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rose\Desktop\00 Administration\01 Budgets and Contracts\01 BPA\01 Lamprey Project\"/>
    </mc:Choice>
  </mc:AlternateContent>
  <bookViews>
    <workbookView xWindow="480" yWindow="135" windowWidth="21030" windowHeight="12675"/>
  </bookViews>
  <sheets>
    <sheet name="Draft 2014 BPA Lamprey Budget" sheetId="1" r:id="rId1"/>
    <sheet name="Draft 2014 BOR Budget" sheetId="2" r:id="rId2"/>
  </sheets>
  <definedNames>
    <definedName name="_xlnm.Print_Area" localSheetId="1">'Draft 2014 BOR Budget'!$B$2:$M$62</definedName>
    <definedName name="_xlnm.Print_Area" localSheetId="0">'Draft 2014 BPA Lamprey Budget'!$B$1:$M$81</definedName>
  </definedNames>
  <calcPr calcId="152511"/>
</workbook>
</file>

<file path=xl/calcChain.xml><?xml version="1.0" encoding="utf-8"?>
<calcChain xmlns="http://schemas.openxmlformats.org/spreadsheetml/2006/main">
  <c r="L60" i="2" l="1"/>
  <c r="K60" i="2"/>
  <c r="J60" i="2"/>
  <c r="I60" i="2"/>
  <c r="M58" i="2"/>
  <c r="M53" i="2"/>
  <c r="M52" i="2"/>
  <c r="F47" i="2"/>
  <c r="M43" i="2"/>
  <c r="M42" i="2"/>
  <c r="M41" i="2"/>
  <c r="L26" i="2"/>
  <c r="K26" i="2"/>
  <c r="J26" i="2"/>
  <c r="I26" i="2"/>
  <c r="E23" i="2"/>
  <c r="D23" i="2"/>
  <c r="Q21" i="2"/>
  <c r="R21" i="2" s="1"/>
  <c r="Q20" i="2"/>
  <c r="D50" i="2" s="1"/>
  <c r="E18" i="2"/>
  <c r="F18" i="2" s="1"/>
  <c r="Q16" i="2"/>
  <c r="E15" i="2"/>
  <c r="E22" i="2" s="1"/>
  <c r="E14" i="2"/>
  <c r="F14" i="2" s="1"/>
  <c r="E13" i="2"/>
  <c r="E46" i="2" s="1"/>
  <c r="E12" i="2"/>
  <c r="E17" i="2" s="1"/>
  <c r="E11" i="2"/>
  <c r="E21" i="2" s="1"/>
  <c r="M10" i="2"/>
  <c r="M9" i="2"/>
  <c r="M8" i="2"/>
  <c r="G7" i="2"/>
  <c r="L74" i="1"/>
  <c r="L73" i="1"/>
  <c r="L72" i="1"/>
  <c r="L71" i="1"/>
  <c r="L70" i="1"/>
  <c r="L69" i="1"/>
  <c r="M67" i="1" s="1"/>
  <c r="L66" i="1"/>
  <c r="M64" i="1" s="1"/>
  <c r="L62" i="1"/>
  <c r="L61" i="1"/>
  <c r="L60" i="1"/>
  <c r="L59" i="1"/>
  <c r="M56" i="1"/>
  <c r="M54" i="1"/>
  <c r="M52" i="1"/>
  <c r="M50" i="1"/>
  <c r="M48" i="1"/>
  <c r="M46" i="1"/>
  <c r="M44" i="1"/>
  <c r="L43" i="1"/>
  <c r="L42" i="1"/>
  <c r="L41" i="1"/>
  <c r="L40" i="1"/>
  <c r="L39" i="1"/>
  <c r="L38" i="1"/>
  <c r="M36" i="1"/>
  <c r="L34" i="1"/>
  <c r="L33" i="1"/>
  <c r="M32" i="1" s="1"/>
  <c r="L30" i="1"/>
  <c r="M29" i="1" s="1"/>
  <c r="M26" i="1"/>
  <c r="L23" i="1"/>
  <c r="M22" i="1" s="1"/>
  <c r="L20" i="1"/>
  <c r="M19" i="1" s="1"/>
  <c r="M13" i="1"/>
  <c r="L12" i="1"/>
  <c r="K12" i="1"/>
  <c r="H12" i="1"/>
  <c r="D12" i="1"/>
  <c r="V11" i="1"/>
  <c r="U11" i="1"/>
  <c r="T11" i="1"/>
  <c r="S11" i="1"/>
  <c r="L11" i="1"/>
  <c r="K11" i="1"/>
  <c r="H11" i="1"/>
  <c r="D11" i="1"/>
  <c r="L10" i="1"/>
  <c r="K10" i="1"/>
  <c r="H10" i="1"/>
  <c r="D10" i="1"/>
  <c r="W9" i="1"/>
  <c r="L9" i="1"/>
  <c r="F9" i="1"/>
  <c r="Q18" i="2" s="1"/>
  <c r="D9" i="1"/>
  <c r="W8" i="1"/>
  <c r="W24" i="1" s="1"/>
  <c r="L8" i="1"/>
  <c r="F8" i="1"/>
  <c r="Q17" i="2" s="1"/>
  <c r="D8" i="1"/>
  <c r="L7" i="1"/>
  <c r="F7" i="1"/>
  <c r="Q19" i="2" s="1"/>
  <c r="D7" i="1"/>
  <c r="L6" i="1"/>
  <c r="K6" i="1"/>
  <c r="Q11" i="2" s="1"/>
  <c r="R11" i="2" s="1"/>
  <c r="H6" i="1"/>
  <c r="D6" i="1"/>
  <c r="F23" i="2" l="1"/>
  <c r="H7" i="2"/>
  <c r="M7" i="2" s="1"/>
  <c r="M58" i="1"/>
  <c r="L13" i="1"/>
  <c r="R16" i="2"/>
  <c r="F13" i="2"/>
  <c r="D49" i="2"/>
  <c r="D24" i="2"/>
  <c r="D16" i="2"/>
  <c r="D11" i="2"/>
  <c r="F11" i="2" s="1"/>
  <c r="D21" i="2"/>
  <c r="F21" i="2" s="1"/>
  <c r="M5" i="1"/>
  <c r="L17" i="1"/>
  <c r="E50" i="2"/>
  <c r="M76" i="1"/>
  <c r="D20" i="2"/>
  <c r="D15" i="2"/>
  <c r="D22" i="2"/>
  <c r="F22" i="2" s="1"/>
  <c r="D17" i="2"/>
  <c r="F17" i="2" s="1"/>
  <c r="D12" i="2"/>
  <c r="F12" i="2" s="1"/>
  <c r="H7" i="1"/>
  <c r="K9" i="1"/>
  <c r="E20" i="2"/>
  <c r="H9" i="1"/>
  <c r="F13" i="1"/>
  <c r="E16" i="2"/>
  <c r="E19" i="2"/>
  <c r="F19" i="2" s="1"/>
  <c r="D46" i="2"/>
  <c r="F46" i="2" s="1"/>
  <c r="E48" i="2"/>
  <c r="K8" i="1"/>
  <c r="E24" i="2"/>
  <c r="F24" i="2" s="1"/>
  <c r="G23" i="2" s="1"/>
  <c r="E45" i="2"/>
  <c r="K7" i="1"/>
  <c r="H8" i="1"/>
  <c r="K13" i="1" l="1"/>
  <c r="K14" i="1" s="1"/>
  <c r="P18" i="1" s="1"/>
  <c r="P27" i="1" s="1"/>
  <c r="P29" i="1" s="1"/>
  <c r="F16" i="2"/>
  <c r="F20" i="2"/>
  <c r="R20" i="2"/>
  <c r="G16" i="2"/>
  <c r="H16" i="2" s="1"/>
  <c r="Q7" i="2"/>
  <c r="R7" i="2" s="1"/>
  <c r="R18" i="2"/>
  <c r="F50" i="2"/>
  <c r="Q10" i="2" s="1"/>
  <c r="R10" i="2" s="1"/>
  <c r="E56" i="2"/>
  <c r="F56" i="2" s="1"/>
  <c r="H23" i="2"/>
  <c r="M23" i="2" s="1"/>
  <c r="F15" i="2"/>
  <c r="Q8" i="2" s="1"/>
  <c r="R8" i="2" s="1"/>
  <c r="G21" i="2"/>
  <c r="R19" i="2"/>
  <c r="R17" i="2"/>
  <c r="E51" i="2"/>
  <c r="F48" i="2"/>
  <c r="E49" i="2"/>
  <c r="F45" i="2"/>
  <c r="L79" i="1"/>
  <c r="M78" i="1" s="1"/>
  <c r="M80" i="1" s="1"/>
  <c r="O80" i="1" s="1"/>
  <c r="P36" i="1" s="1"/>
  <c r="G45" i="2" l="1"/>
  <c r="H45" i="2" s="1"/>
  <c r="G11" i="2"/>
  <c r="G26" i="2" s="1"/>
  <c r="M16" i="2"/>
  <c r="E57" i="2"/>
  <c r="F57" i="2" s="1"/>
  <c r="F51" i="2"/>
  <c r="H21" i="2"/>
  <c r="M21" i="2" s="1"/>
  <c r="E55" i="2"/>
  <c r="F55" i="2" s="1"/>
  <c r="F49" i="2"/>
  <c r="G49" i="2" s="1"/>
  <c r="H11" i="2"/>
  <c r="H26" i="2" l="1"/>
  <c r="M26" i="2" s="1"/>
  <c r="M27" i="2" s="1"/>
  <c r="M28" i="2" s="1"/>
  <c r="Q6" i="2"/>
  <c r="R6" i="2" s="1"/>
  <c r="G55" i="2"/>
  <c r="G60" i="2" s="1"/>
  <c r="H49" i="2"/>
  <c r="M49" i="2" s="1"/>
  <c r="Q35" i="2" s="1"/>
  <c r="Q9" i="2"/>
  <c r="R9" i="2" s="1"/>
  <c r="M45" i="2"/>
  <c r="M11" i="2"/>
  <c r="Q12" i="2" l="1"/>
  <c r="H55" i="2"/>
  <c r="H60" i="2" s="1"/>
  <c r="M60" i="2" s="1"/>
  <c r="M61" i="2" s="1"/>
  <c r="P28" i="2"/>
  <c r="P17" i="1"/>
  <c r="P32" i="1" s="1"/>
  <c r="R12" i="2"/>
  <c r="M55" i="2" l="1"/>
  <c r="M62" i="2"/>
  <c r="P33" i="1" s="1"/>
  <c r="P34" i="1" s="1"/>
</calcChain>
</file>

<file path=xl/comments1.xml><?xml version="1.0" encoding="utf-8"?>
<comments xmlns="http://schemas.openxmlformats.org/spreadsheetml/2006/main">
  <authors>
    <author>b.rose</author>
  </authors>
  <commentList>
    <comment ref="C27" authorId="0" shapeId="0">
      <text>
        <r>
          <rPr>
            <b/>
            <sz val="24"/>
            <color indexed="81"/>
            <rFont val="Tahoma"/>
            <family val="2"/>
          </rPr>
          <t>b.rose:</t>
        </r>
        <r>
          <rPr>
            <sz val="24"/>
            <color indexed="81"/>
            <rFont val="Tahoma"/>
            <family val="2"/>
          </rPr>
          <t xml:space="preserve">
mdeical kits, expendable materials and equipment for collection, measureing, etc.</t>
        </r>
      </text>
    </comment>
  </commentList>
</comments>
</file>

<file path=xl/sharedStrings.xml><?xml version="1.0" encoding="utf-8"?>
<sst xmlns="http://schemas.openxmlformats.org/spreadsheetml/2006/main" count="314" uniqueCount="161">
  <si>
    <t>Yakama Nation Lamprey Research and Restoration Project #2008-470-00/CR #232377</t>
  </si>
  <si>
    <t>2013 Budget March 1, 2013 - February 29, 2014</t>
  </si>
  <si>
    <t>(12 month budget)</t>
  </si>
  <si>
    <t>BR</t>
  </si>
  <si>
    <t>Object Code</t>
  </si>
  <si>
    <t>Description</t>
  </si>
  <si>
    <t>BPA Months</t>
  </si>
  <si>
    <t>Project Year 4 BOR Hours</t>
  </si>
  <si>
    <t>BPA Hours</t>
  </si>
  <si>
    <t>Total Hours</t>
  </si>
  <si>
    <t>rate</t>
  </si>
  <si>
    <t>BOR Amount</t>
  </si>
  <si>
    <t>BPA Amount</t>
  </si>
  <si>
    <t>BPA Total</t>
  </si>
  <si>
    <t>Personnel</t>
  </si>
  <si>
    <t>Available Carry over</t>
  </si>
  <si>
    <t>Jamie</t>
  </si>
  <si>
    <t xml:space="preserve">Bookkeeper </t>
  </si>
  <si>
    <t>months</t>
  </si>
  <si>
    <t>Patrick</t>
  </si>
  <si>
    <t>Fisheries Biologist 3</t>
  </si>
  <si>
    <t>Ralph</t>
  </si>
  <si>
    <t>Fisheries Research Bio</t>
  </si>
  <si>
    <t xml:space="preserve">Carry Over 2010  </t>
  </si>
  <si>
    <t>Dave'y</t>
  </si>
  <si>
    <t>Fisheries Tech 3 (D)</t>
  </si>
  <si>
    <t xml:space="preserve">Carry Over 2011 </t>
  </si>
  <si>
    <t xml:space="preserve">new hire </t>
  </si>
  <si>
    <t>Fisheries Tech 3 (?)</t>
  </si>
  <si>
    <t>new hire</t>
  </si>
  <si>
    <t>Fisheries Bio 1</t>
  </si>
  <si>
    <t>Total Budget</t>
  </si>
  <si>
    <t>Heritage</t>
  </si>
  <si>
    <t>Fisheries Tech I</t>
  </si>
  <si>
    <t>Total Wages</t>
  </si>
  <si>
    <t>Fringe</t>
  </si>
  <si>
    <t xml:space="preserve"> Fringe</t>
  </si>
  <si>
    <t xml:space="preserve"> </t>
  </si>
  <si>
    <t>BOR Total</t>
  </si>
  <si>
    <t>BOR Wages (with fringe)</t>
  </si>
  <si>
    <t>Training</t>
  </si>
  <si>
    <t>Quantity</t>
  </si>
  <si>
    <t>Units</t>
  </si>
  <si>
    <t>Rate</t>
  </si>
  <si>
    <t>Amount</t>
  </si>
  <si>
    <t xml:space="preserve">Training </t>
  </si>
  <si>
    <t>Classes</t>
  </si>
  <si>
    <t>Contract - Jim Simelson</t>
  </si>
  <si>
    <t>Office Supplies</t>
  </si>
  <si>
    <t>Contract - Water Quality</t>
  </si>
  <si>
    <t>Office - Supplies</t>
  </si>
  <si>
    <t>mo</t>
  </si>
  <si>
    <t>pens, pencils, clips, paper, etc</t>
  </si>
  <si>
    <t>Equipment</t>
  </si>
  <si>
    <t>Building Design &amp; Materials</t>
  </si>
  <si>
    <t>Supplies Equipment</t>
  </si>
  <si>
    <t>Misc Field Equipment</t>
  </si>
  <si>
    <t>Months</t>
  </si>
  <si>
    <t>BOR Sub-Total</t>
  </si>
  <si>
    <t>Indirect</t>
  </si>
  <si>
    <t>Repairs &amp; Maintenance</t>
  </si>
  <si>
    <t>Equipment Repair</t>
  </si>
  <si>
    <t>Year</t>
  </si>
  <si>
    <t>Operating Supplies</t>
  </si>
  <si>
    <t>BOR Available</t>
  </si>
  <si>
    <t>Misc. Supplies</t>
  </si>
  <si>
    <t xml:space="preserve">BOR Carry Over </t>
  </si>
  <si>
    <t>Electro shocker batteries</t>
  </si>
  <si>
    <t>each</t>
  </si>
  <si>
    <t xml:space="preserve">Rental </t>
  </si>
  <si>
    <t>Miles</t>
  </si>
  <si>
    <t>BPA Available</t>
  </si>
  <si>
    <t>1. Vehicles (GSA)</t>
  </si>
  <si>
    <t>Patricks Rig</t>
  </si>
  <si>
    <t>63-1244L</t>
  </si>
  <si>
    <t>cents / mile</t>
  </si>
  <si>
    <t>Crew Rig</t>
  </si>
  <si>
    <t>Ralphs Rig</t>
  </si>
  <si>
    <t>1875L</t>
  </si>
  <si>
    <t>Building</t>
  </si>
  <si>
    <t>Electricity</t>
  </si>
  <si>
    <t>Water</t>
  </si>
  <si>
    <t>Garbage</t>
  </si>
  <si>
    <t>Sewer</t>
  </si>
  <si>
    <t>Gas</t>
  </si>
  <si>
    <t>Telephone</t>
  </si>
  <si>
    <t>Cellular Phones</t>
  </si>
  <si>
    <t>Phones</t>
  </si>
  <si>
    <t>Fish Biologist 3</t>
  </si>
  <si>
    <t>Lamprey Research Bio</t>
  </si>
  <si>
    <t>Fish Bio 2</t>
  </si>
  <si>
    <t>Fish Tech 3</t>
  </si>
  <si>
    <t>Insurance</t>
  </si>
  <si>
    <t>Vehicle Insurance 2011-12 (liability, comprehensive, collision)</t>
  </si>
  <si>
    <t>Rigs / annual</t>
  </si>
  <si>
    <t>Travel Expenses</t>
  </si>
  <si>
    <t>Travel Per Diem</t>
  </si>
  <si>
    <t>Regional Coordination</t>
  </si>
  <si>
    <t>Lodging</t>
  </si>
  <si>
    <t>Nights</t>
  </si>
  <si>
    <t>per diem</t>
  </si>
  <si>
    <t>days</t>
  </si>
  <si>
    <t xml:space="preserve"> Surveys - Motel Rooms </t>
  </si>
  <si>
    <t>Surveys - per diem (12 quarters per week)</t>
  </si>
  <si>
    <t>Sub Total</t>
  </si>
  <si>
    <t>Indirect Cost Expense</t>
  </si>
  <si>
    <t xml:space="preserve">GRAND TOTAL </t>
  </si>
  <si>
    <r>
      <rPr>
        <b/>
        <sz val="22"/>
        <color rgb="FFFF0000"/>
        <rFont val="Calibri"/>
        <family val="2"/>
        <scheme val="minor"/>
      </rPr>
      <t>DRAFT</t>
    </r>
    <r>
      <rPr>
        <b/>
        <sz val="22"/>
        <color theme="1"/>
        <rFont val="Calibri"/>
        <family val="2"/>
        <scheme val="minor"/>
      </rPr>
      <t xml:space="preserve"> Budget          BOR - Yakama Nation</t>
    </r>
  </si>
  <si>
    <t>B Rose Nov 11 2013</t>
  </si>
  <si>
    <t>Project Year 4:     January 1, 2014 - December 31, 2014</t>
  </si>
  <si>
    <t>Evaluation and Coordination of Pacific Lamprey Activities in the Yakima River Basin</t>
  </si>
  <si>
    <t>Task</t>
  </si>
  <si>
    <t>Wages / Salaries Calculation</t>
  </si>
  <si>
    <t>Wages / Salaries</t>
  </si>
  <si>
    <t>Fringe Benefits</t>
  </si>
  <si>
    <t>Travel</t>
  </si>
  <si>
    <t>Equipment Rental, Purchase and Maintenance, Utilities</t>
  </si>
  <si>
    <t>Supplies, Materials</t>
  </si>
  <si>
    <t>Contracts</t>
  </si>
  <si>
    <t xml:space="preserve"> Total Cost</t>
  </si>
  <si>
    <t>Title</t>
  </si>
  <si>
    <t>Hours</t>
  </si>
  <si>
    <t>Subtotals</t>
  </si>
  <si>
    <t>RL</t>
  </si>
  <si>
    <t>Adult Lamprey Collection in the Yakima River</t>
  </si>
  <si>
    <t>Task to be completed with non-federal cost-share funds</t>
  </si>
  <si>
    <t>PL</t>
  </si>
  <si>
    <t>Adult Passage - Small Contract</t>
  </si>
  <si>
    <t>Engineer</t>
  </si>
  <si>
    <t xml:space="preserve">Technical Support for Rapid Assessment - Adult Passage Design </t>
  </si>
  <si>
    <t>NA</t>
  </si>
  <si>
    <t>DL</t>
  </si>
  <si>
    <t xml:space="preserve">Development and Installation of Adult Holding Facilities </t>
  </si>
  <si>
    <t>Bio Tech (?)</t>
  </si>
  <si>
    <t>Juvenile Sampling and salvage in canals.</t>
  </si>
  <si>
    <t>Fish Bio 1</t>
  </si>
  <si>
    <t>Entrainment Sutides</t>
  </si>
  <si>
    <t>Research Bio</t>
  </si>
  <si>
    <t>Fish Bio 3</t>
  </si>
  <si>
    <t>Bio Tech 3 (?)</t>
  </si>
  <si>
    <t>Bio Tech 3 (D)</t>
  </si>
  <si>
    <t>Propagation</t>
  </si>
  <si>
    <t>Davey</t>
  </si>
  <si>
    <t>Bio 1</t>
  </si>
  <si>
    <t>Water Quality/Toxicants effects evaluation</t>
  </si>
  <si>
    <t>Bio Tec 3 (?)</t>
  </si>
  <si>
    <t>Coordination / Administration / Reporting</t>
  </si>
  <si>
    <t>Book Keeper</t>
  </si>
  <si>
    <t>Total Direct Costs</t>
  </si>
  <si>
    <t>Indirect Cost (20.38%)</t>
  </si>
  <si>
    <t>Agreement Total</t>
  </si>
  <si>
    <t>Total Available</t>
  </si>
  <si>
    <t>DRAFT:  Project Year 3 Carry-Over Funds</t>
  </si>
  <si>
    <t>Working Draft Budget          BOR - Yakama Nation</t>
  </si>
  <si>
    <t>Carry Over from Project Years 1 &amp; 2 into Project Year 3</t>
  </si>
  <si>
    <t>Total  Cost</t>
  </si>
  <si>
    <t>Development and Installation of Adult Holding Facilities</t>
  </si>
  <si>
    <t>Bio Tech 3D</t>
  </si>
  <si>
    <t>Bio Tech 3(?)</t>
  </si>
  <si>
    <t>Contractor</t>
  </si>
  <si>
    <t>Nov 14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</si>
</sst>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;[Red]#,##0"/>
    <numFmt numFmtId="166" formatCode="_(* #,##0_);_(* \(#,##0\);_(* &quot;-&quot;??_);_(@_)"/>
    <numFmt numFmtId="167" formatCode="&quot;$&quot;#,##0"/>
    <numFmt numFmtId="168" formatCode="_(* #,##0.00_);_(* \(#,##0.00\);_(* &quot;-&quot;_);_(@_)"/>
    <numFmt numFmtId="169" formatCode="&quot;$&quot;#,##0.00"/>
    <numFmt numFmtId="170" formatCode="&quot;$&quot;#,##0\ ;\(&quot;$&quot;#,##0\)"/>
  </numFmts>
  <fonts count="27" x14ac:knownFonts="1">
    <font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sz val="16"/>
      <color indexed="8"/>
      <name val="Times New Roman"/>
      <family val="1"/>
    </font>
    <font>
      <sz val="16"/>
      <color indexed="53"/>
      <name val="Arial"/>
      <family val="2"/>
    </font>
    <font>
      <b/>
      <sz val="16"/>
      <color indexed="53"/>
      <name val="Arial"/>
      <family val="2"/>
    </font>
    <font>
      <b/>
      <sz val="24"/>
      <color indexed="81"/>
      <name val="Tahoma"/>
      <family val="2"/>
    </font>
    <font>
      <sz val="24"/>
      <color indexed="81"/>
      <name val="Tahoma"/>
      <family val="2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2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3" fillId="0" borderId="0"/>
    <xf numFmtId="0" fontId="26" fillId="0" borderId="0">
      <alignment horizontal="center" vertical="center" wrapText="1"/>
    </xf>
  </cellStyleXfs>
  <cellXfs count="375">
    <xf numFmtId="0" fontId="0" fillId="0" borderId="0" xfId="0"/>
    <xf numFmtId="0" fontId="3" fillId="0" borderId="0" xfId="1" applyFont="1" applyBorder="1"/>
    <xf numFmtId="0" fontId="5" fillId="2" borderId="5" xfId="1" applyFont="1" applyFill="1" applyBorder="1"/>
    <xf numFmtId="0" fontId="4" fillId="4" borderId="4" xfId="1" applyFont="1" applyFill="1" applyBorder="1" applyAlignment="1">
      <alignment wrapText="1"/>
    </xf>
    <xf numFmtId="0" fontId="4" fillId="4" borderId="0" xfId="1" applyFont="1" applyFill="1" applyBorder="1" applyAlignment="1">
      <alignment wrapText="1"/>
    </xf>
    <xf numFmtId="0" fontId="4" fillId="5" borderId="6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wrapText="1"/>
    </xf>
    <xf numFmtId="0" fontId="4" fillId="5" borderId="6" xfId="1" applyFont="1" applyFill="1" applyBorder="1" applyAlignment="1">
      <alignment horizontal="center" wrapText="1"/>
    </xf>
    <xf numFmtId="0" fontId="4" fillId="4" borderId="5" xfId="1" applyFont="1" applyFill="1" applyBorder="1" applyAlignment="1">
      <alignment horizontal="center" wrapText="1"/>
    </xf>
    <xf numFmtId="0" fontId="3" fillId="6" borderId="4" xfId="1" applyFont="1" applyFill="1" applyBorder="1" applyAlignment="1">
      <alignment horizontal="left"/>
    </xf>
    <xf numFmtId="0" fontId="4" fillId="6" borderId="0" xfId="1" applyFont="1" applyFill="1" applyBorder="1"/>
    <xf numFmtId="0" fontId="3" fillId="6" borderId="0" xfId="1" applyFont="1" applyFill="1" applyBorder="1"/>
    <xf numFmtId="0" fontId="3" fillId="6" borderId="0" xfId="1" applyFont="1" applyFill="1" applyBorder="1" applyAlignment="1">
      <alignment horizontal="center" vertical="center"/>
    </xf>
    <xf numFmtId="0" fontId="3" fillId="5" borderId="7" xfId="1" applyFont="1" applyFill="1" applyBorder="1"/>
    <xf numFmtId="0" fontId="4" fillId="6" borderId="0" xfId="1" applyFont="1" applyFill="1" applyBorder="1" applyAlignment="1">
      <alignment horizontal="right"/>
    </xf>
    <xf numFmtId="0" fontId="4" fillId="5" borderId="7" xfId="1" applyFont="1" applyFill="1" applyBorder="1" applyAlignment="1">
      <alignment horizontal="right"/>
    </xf>
    <xf numFmtId="41" fontId="3" fillId="6" borderId="0" xfId="2" applyNumberFormat="1" applyFont="1" applyFill="1" applyBorder="1"/>
    <xf numFmtId="41" fontId="4" fillId="6" borderId="5" xfId="1" applyNumberFormat="1" applyFont="1" applyFill="1" applyBorder="1"/>
    <xf numFmtId="0" fontId="3" fillId="3" borderId="0" xfId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0" xfId="1" applyFont="1" applyFill="1" applyBorder="1"/>
    <xf numFmtId="164" fontId="3" fillId="0" borderId="0" xfId="1" applyNumberFormat="1" applyFont="1" applyFill="1" applyBorder="1"/>
    <xf numFmtId="0" fontId="3" fillId="0" borderId="0" xfId="1" applyFont="1" applyFill="1" applyBorder="1" applyAlignment="1">
      <alignment horizontal="center" vertical="center"/>
    </xf>
    <xf numFmtId="165" fontId="7" fillId="0" borderId="0" xfId="1" applyNumberFormat="1" applyFont="1" applyFill="1" applyBorder="1"/>
    <xf numFmtId="165" fontId="3" fillId="0" borderId="0" xfId="1" applyNumberFormat="1" applyFont="1" applyFill="1" applyBorder="1"/>
    <xf numFmtId="43" fontId="8" fillId="0" borderId="0" xfId="2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/>
    </xf>
    <xf numFmtId="41" fontId="3" fillId="5" borderId="7" xfId="2" applyNumberFormat="1" applyFont="1" applyFill="1" applyBorder="1" applyAlignment="1">
      <alignment horizontal="center"/>
    </xf>
    <xf numFmtId="166" fontId="9" fillId="0" borderId="0" xfId="2" applyNumberFormat="1" applyFont="1" applyFill="1" applyBorder="1"/>
    <xf numFmtId="0" fontId="10" fillId="0" borderId="5" xfId="1" applyFont="1" applyBorder="1"/>
    <xf numFmtId="49" fontId="4" fillId="0" borderId="0" xfId="1" applyNumberFormat="1" applyFont="1" applyBorder="1" applyAlignment="1">
      <alignment horizontal="center" vertical="center"/>
    </xf>
    <xf numFmtId="0" fontId="3" fillId="7" borderId="0" xfId="1" applyFont="1" applyFill="1" applyBorder="1"/>
    <xf numFmtId="165" fontId="3" fillId="5" borderId="7" xfId="1" applyNumberFormat="1" applyFont="1" applyFill="1" applyBorder="1"/>
    <xf numFmtId="167" fontId="3" fillId="8" borderId="0" xfId="1" applyNumberFormat="1" applyFont="1" applyFill="1" applyBorder="1"/>
    <xf numFmtId="167" fontId="3" fillId="0" borderId="0" xfId="1" applyNumberFormat="1" applyFont="1" applyBorder="1"/>
    <xf numFmtId="166" fontId="4" fillId="0" borderId="0" xfId="2" applyNumberFormat="1" applyFont="1" applyFill="1" applyBorder="1"/>
    <xf numFmtId="6" fontId="3" fillId="0" borderId="0" xfId="1" applyNumberFormat="1" applyFont="1" applyBorder="1"/>
    <xf numFmtId="0" fontId="3" fillId="9" borderId="0" xfId="1" applyFont="1" applyFill="1" applyBorder="1"/>
    <xf numFmtId="0" fontId="5" fillId="0" borderId="5" xfId="1" applyFont="1" applyBorder="1"/>
    <xf numFmtId="0" fontId="11" fillId="0" borderId="0" xfId="1" applyFont="1" applyBorder="1"/>
    <xf numFmtId="0" fontId="4" fillId="0" borderId="0" xfId="1" applyFont="1" applyBorder="1" applyAlignment="1">
      <alignment horizontal="center" vertical="center"/>
    </xf>
    <xf numFmtId="41" fontId="7" fillId="0" borderId="0" xfId="1" applyNumberFormat="1" applyFont="1" applyFill="1" applyBorder="1"/>
    <xf numFmtId="0" fontId="4" fillId="6" borderId="4" xfId="1" applyFont="1" applyFill="1" applyBorder="1" applyAlignment="1">
      <alignment horizontal="left"/>
    </xf>
    <xf numFmtId="37" fontId="4" fillId="5" borderId="8" xfId="1" applyNumberFormat="1" applyFont="1" applyFill="1" applyBorder="1" applyAlignment="1">
      <alignment horizontal="right"/>
    </xf>
    <xf numFmtId="41" fontId="4" fillId="5" borderId="8" xfId="1" applyNumberFormat="1" applyFont="1" applyFill="1" applyBorder="1" applyAlignment="1">
      <alignment horizontal="right"/>
    </xf>
    <xf numFmtId="41" fontId="4" fillId="6" borderId="0" xfId="2" applyNumberFormat="1" applyFont="1" applyFill="1" applyBorder="1" applyAlignment="1">
      <alignment horizontal="center"/>
    </xf>
    <xf numFmtId="41" fontId="4" fillId="6" borderId="5" xfId="2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/>
    <xf numFmtId="43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41" fontId="4" fillId="0" borderId="0" xfId="2" applyNumberFormat="1" applyFont="1" applyFill="1" applyBorder="1" applyAlignment="1">
      <alignment horizontal="center"/>
    </xf>
    <xf numFmtId="41" fontId="4" fillId="0" borderId="5" xfId="2" applyNumberFormat="1" applyFont="1" applyFill="1" applyBorder="1" applyAlignment="1">
      <alignment horizontal="center"/>
    </xf>
    <xf numFmtId="0" fontId="3" fillId="0" borderId="4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right"/>
    </xf>
    <xf numFmtId="43" fontId="3" fillId="0" borderId="0" xfId="1" applyNumberFormat="1" applyFont="1" applyFill="1" applyBorder="1"/>
    <xf numFmtId="43" fontId="3" fillId="0" borderId="5" xfId="1" applyNumberFormat="1" applyFont="1" applyFill="1" applyBorder="1"/>
    <xf numFmtId="9" fontId="3" fillId="6" borderId="0" xfId="3" applyFont="1" applyFill="1" applyBorder="1" applyAlignment="1">
      <alignment horizontal="right"/>
    </xf>
    <xf numFmtId="41" fontId="3" fillId="6" borderId="0" xfId="1" applyNumberFormat="1" applyFont="1" applyFill="1" applyBorder="1" applyAlignment="1">
      <alignment horizontal="right"/>
    </xf>
    <xf numFmtId="41" fontId="4" fillId="6" borderId="0" xfId="2" applyNumberFormat="1" applyFont="1" applyFill="1" applyBorder="1"/>
    <xf numFmtId="41" fontId="4" fillId="6" borderId="5" xfId="2" applyNumberFormat="1" applyFont="1" applyFill="1" applyBorder="1"/>
    <xf numFmtId="167" fontId="3" fillId="0" borderId="0" xfId="1" applyNumberFormat="1" applyFont="1" applyBorder="1" applyAlignment="1">
      <alignment horizontal="right" vertical="center"/>
    </xf>
    <xf numFmtId="0" fontId="3" fillId="0" borderId="4" xfId="1" applyFont="1" applyFill="1" applyBorder="1" applyAlignment="1">
      <alignment horizontal="left"/>
    </xf>
    <xf numFmtId="9" fontId="3" fillId="0" borderId="0" xfId="1" applyNumberFormat="1" applyFont="1" applyFill="1" applyBorder="1" applyAlignment="1">
      <alignment horizontal="center" vertical="center"/>
    </xf>
    <xf numFmtId="9" fontId="3" fillId="0" borderId="0" xfId="1" applyNumberFormat="1" applyFont="1" applyFill="1" applyBorder="1"/>
    <xf numFmtId="168" fontId="3" fillId="0" borderId="0" xfId="1" applyNumberFormat="1" applyFont="1" applyFill="1" applyBorder="1"/>
    <xf numFmtId="0" fontId="3" fillId="0" borderId="5" xfId="1" applyFont="1" applyFill="1" applyBorder="1"/>
    <xf numFmtId="0" fontId="4" fillId="10" borderId="4" xfId="1" applyFont="1" applyFill="1" applyBorder="1" applyAlignment="1">
      <alignment horizontal="left"/>
    </xf>
    <xf numFmtId="0" fontId="4" fillId="10" borderId="0" xfId="1" applyFont="1" applyFill="1" applyBorder="1"/>
    <xf numFmtId="0" fontId="4" fillId="10" borderId="0" xfId="2" applyNumberFormat="1" applyFont="1" applyFill="1" applyBorder="1" applyAlignment="1">
      <alignment horizontal="center" vertical="center"/>
    </xf>
    <xf numFmtId="0" fontId="4" fillId="10" borderId="0" xfId="2" applyNumberFormat="1" applyFont="1" applyFill="1" applyBorder="1" applyAlignment="1">
      <alignment horizontal="center"/>
    </xf>
    <xf numFmtId="0" fontId="4" fillId="10" borderId="0" xfId="1" applyFont="1" applyFill="1" applyBorder="1" applyAlignment="1">
      <alignment horizontal="center"/>
    </xf>
    <xf numFmtId="166" fontId="4" fillId="10" borderId="0" xfId="2" applyNumberFormat="1" applyFont="1" applyFill="1" applyBorder="1" applyAlignment="1">
      <alignment horizontal="center"/>
    </xf>
    <xf numFmtId="41" fontId="4" fillId="10" borderId="5" xfId="2" applyNumberFormat="1" applyFont="1" applyFill="1" applyBorder="1"/>
    <xf numFmtId="0" fontId="10" fillId="0" borderId="0" xfId="1" applyFont="1" applyBorder="1" applyAlignment="1">
      <alignment wrapText="1"/>
    </xf>
    <xf numFmtId="0" fontId="10" fillId="0" borderId="0" xfId="1" applyFont="1" applyFill="1" applyBorder="1"/>
    <xf numFmtId="0" fontId="12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/>
    </xf>
    <xf numFmtId="166" fontId="10" fillId="0" borderId="0" xfId="2" applyNumberFormat="1" applyFont="1" applyFill="1" applyBorder="1" applyAlignment="1">
      <alignment horizontal="center"/>
    </xf>
    <xf numFmtId="166" fontId="9" fillId="0" borderId="0" xfId="2" applyNumberFormat="1" applyFont="1" applyFill="1" applyBorder="1" applyAlignment="1">
      <alignment horizontal="center"/>
    </xf>
    <xf numFmtId="41" fontId="4" fillId="0" borderId="5" xfId="2" applyNumberFormat="1" applyFont="1" applyFill="1" applyBorder="1"/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 wrapText="1"/>
    </xf>
    <xf numFmtId="166" fontId="3" fillId="0" borderId="0" xfId="2" applyNumberFormat="1" applyFont="1" applyFill="1" applyBorder="1" applyAlignment="1">
      <alignment horizontal="center"/>
    </xf>
    <xf numFmtId="166" fontId="4" fillId="0" borderId="0" xfId="2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right" wrapText="1"/>
    </xf>
    <xf numFmtId="0" fontId="3" fillId="0" borderId="0" xfId="1" applyFont="1" applyBorder="1" applyAlignment="1">
      <alignment horizontal="center" vertical="center"/>
    </xf>
    <xf numFmtId="0" fontId="3" fillId="11" borderId="0" xfId="1" applyFont="1" applyFill="1" applyBorder="1"/>
    <xf numFmtId="167" fontId="3" fillId="11" borderId="0" xfId="1" applyNumberFormat="1" applyFont="1" applyFill="1" applyBorder="1"/>
    <xf numFmtId="0" fontId="3" fillId="0" borderId="4" xfId="1" applyFont="1" applyFill="1" applyBorder="1"/>
    <xf numFmtId="0" fontId="4" fillId="0" borderId="0" xfId="1" applyFont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167" fontId="4" fillId="0" borderId="0" xfId="1" applyNumberFormat="1" applyFont="1" applyBorder="1"/>
    <xf numFmtId="0" fontId="4" fillId="1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166" fontId="13" fillId="0" borderId="0" xfId="2" applyNumberFormat="1" applyFont="1" applyFill="1" applyBorder="1" applyAlignment="1"/>
    <xf numFmtId="0" fontId="3" fillId="0" borderId="1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/>
    </xf>
    <xf numFmtId="166" fontId="3" fillId="0" borderId="2" xfId="2" applyNumberFormat="1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/>
    </xf>
    <xf numFmtId="0" fontId="3" fillId="0" borderId="9" xfId="1" applyFont="1" applyFill="1" applyBorder="1" applyAlignment="1">
      <alignment horizontal="left"/>
    </xf>
    <xf numFmtId="3" fontId="3" fillId="0" borderId="10" xfId="1" applyNumberFormat="1" applyFont="1" applyFill="1" applyBorder="1" applyAlignment="1">
      <alignment horizont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/>
    </xf>
    <xf numFmtId="166" fontId="3" fillId="0" borderId="10" xfId="2" applyNumberFormat="1" applyFont="1" applyFill="1" applyBorder="1" applyAlignment="1">
      <alignment horizontal="center"/>
    </xf>
    <xf numFmtId="39" fontId="3" fillId="0" borderId="10" xfId="2" applyNumberFormat="1" applyFont="1" applyFill="1" applyBorder="1" applyAlignment="1"/>
    <xf numFmtId="166" fontId="4" fillId="0" borderId="11" xfId="2" applyNumberFormat="1" applyFont="1" applyFill="1" applyBorder="1" applyAlignment="1">
      <alignment horizontal="center"/>
    </xf>
    <xf numFmtId="0" fontId="3" fillId="0" borderId="4" xfId="1" applyFont="1" applyBorder="1"/>
    <xf numFmtId="0" fontId="3" fillId="0" borderId="1" xfId="1" applyFont="1" applyBorder="1"/>
    <xf numFmtId="166" fontId="3" fillId="0" borderId="2" xfId="2" applyNumberFormat="1" applyFont="1" applyFill="1" applyBorder="1" applyAlignment="1"/>
    <xf numFmtId="0" fontId="3" fillId="0" borderId="9" xfId="1" applyFont="1" applyBorder="1"/>
    <xf numFmtId="0" fontId="4" fillId="12" borderId="4" xfId="1" applyFont="1" applyFill="1" applyBorder="1" applyAlignment="1">
      <alignment horizontal="left"/>
    </xf>
    <xf numFmtId="0" fontId="4" fillId="12" borderId="0" xfId="1" applyFont="1" applyFill="1" applyBorder="1"/>
    <xf numFmtId="0" fontId="4" fillId="12" borderId="0" xfId="2" applyNumberFormat="1" applyFont="1" applyFill="1" applyBorder="1" applyAlignment="1">
      <alignment horizontal="center" vertical="center"/>
    </xf>
    <xf numFmtId="0" fontId="4" fillId="12" borderId="0" xfId="2" applyNumberFormat="1" applyFont="1" applyFill="1" applyBorder="1" applyAlignment="1">
      <alignment horizontal="center"/>
    </xf>
    <xf numFmtId="166" fontId="4" fillId="12" borderId="0" xfId="2" applyNumberFormat="1" applyFont="1" applyFill="1" applyBorder="1" applyAlignment="1">
      <alignment horizontal="center"/>
    </xf>
    <xf numFmtId="166" fontId="3" fillId="12" borderId="0" xfId="2" applyNumberFormat="1" applyFont="1" applyFill="1" applyBorder="1" applyAlignment="1">
      <alignment horizontal="center"/>
    </xf>
    <xf numFmtId="166" fontId="14" fillId="12" borderId="0" xfId="2" applyNumberFormat="1" applyFont="1" applyFill="1" applyBorder="1" applyAlignment="1"/>
    <xf numFmtId="41" fontId="4" fillId="12" borderId="5" xfId="2" applyNumberFormat="1" applyFont="1" applyFill="1" applyBorder="1"/>
    <xf numFmtId="0" fontId="3" fillId="12" borderId="4" xfId="1" applyFont="1" applyFill="1" applyBorder="1" applyAlignment="1">
      <alignment horizontal="left"/>
    </xf>
    <xf numFmtId="0" fontId="3" fillId="12" borderId="0" xfId="1" applyFont="1" applyFill="1" applyBorder="1"/>
    <xf numFmtId="0" fontId="3" fillId="12" borderId="0" xfId="2" applyNumberFormat="1" applyFont="1" applyFill="1" applyBorder="1" applyAlignment="1">
      <alignment horizontal="center" vertical="center"/>
    </xf>
    <xf numFmtId="0" fontId="3" fillId="12" borderId="0" xfId="2" applyNumberFormat="1" applyFont="1" applyFill="1" applyBorder="1" applyAlignment="1">
      <alignment horizontal="center"/>
    </xf>
    <xf numFmtId="0" fontId="4" fillId="12" borderId="0" xfId="1" applyFont="1" applyFill="1" applyBorder="1" applyAlignment="1">
      <alignment horizontal="left"/>
    </xf>
    <xf numFmtId="0" fontId="4" fillId="12" borderId="0" xfId="1" applyFont="1" applyFill="1" applyBorder="1" applyAlignment="1">
      <alignment horizontal="center"/>
    </xf>
    <xf numFmtId="41" fontId="4" fillId="12" borderId="5" xfId="2" applyNumberFormat="1" applyFont="1" applyFill="1" applyBorder="1" applyAlignment="1">
      <alignment horizontal="center"/>
    </xf>
    <xf numFmtId="0" fontId="11" fillId="12" borderId="4" xfId="1" applyFont="1" applyFill="1" applyBorder="1" applyAlignment="1">
      <alignment horizontal="left"/>
    </xf>
    <xf numFmtId="0" fontId="11" fillId="12" borderId="0" xfId="1" applyFont="1" applyFill="1" applyBorder="1"/>
    <xf numFmtId="41" fontId="5" fillId="12" borderId="5" xfId="2" applyNumberFormat="1" applyFont="1" applyFill="1" applyBorder="1"/>
    <xf numFmtId="43" fontId="3" fillId="12" borderId="0" xfId="2" applyNumberFormat="1" applyFont="1" applyFill="1" applyBorder="1" applyAlignment="1">
      <alignment horizontal="center"/>
    </xf>
    <xf numFmtId="0" fontId="4" fillId="6" borderId="0" xfId="1" applyFont="1" applyFill="1" applyBorder="1" applyAlignment="1">
      <alignment horizontal="left"/>
    </xf>
    <xf numFmtId="0" fontId="4" fillId="6" borderId="0" xfId="1" applyFont="1" applyFill="1" applyBorder="1" applyAlignment="1">
      <alignment horizontal="center"/>
    </xf>
    <xf numFmtId="0" fontId="4" fillId="6" borderId="0" xfId="2" applyNumberFormat="1" applyFont="1" applyFill="1" applyBorder="1" applyAlignment="1">
      <alignment horizontal="center" vertical="center"/>
    </xf>
    <xf numFmtId="0" fontId="4" fillId="6" borderId="0" xfId="2" applyNumberFormat="1" applyFont="1" applyFill="1" applyBorder="1" applyAlignment="1">
      <alignment horizontal="center"/>
    </xf>
    <xf numFmtId="166" fontId="4" fillId="6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wrapText="1" shrinkToFit="1"/>
    </xf>
    <xf numFmtId="0" fontId="4" fillId="0" borderId="0" xfId="1" applyFont="1" applyFill="1" applyBorder="1" applyAlignment="1">
      <alignment shrinkToFit="1"/>
    </xf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/>
    </xf>
    <xf numFmtId="0" fontId="11" fillId="0" borderId="4" xfId="1" applyFont="1" applyFill="1" applyBorder="1" applyAlignment="1">
      <alignment horizontal="left"/>
    </xf>
    <xf numFmtId="166" fontId="11" fillId="0" borderId="5" xfId="2" applyNumberFormat="1" applyFont="1" applyFill="1" applyBorder="1" applyAlignment="1">
      <alignment horizontal="center"/>
    </xf>
    <xf numFmtId="41" fontId="4" fillId="0" borderId="5" xfId="1" applyNumberFormat="1" applyFont="1" applyFill="1" applyBorder="1"/>
    <xf numFmtId="41" fontId="3" fillId="0" borderId="0" xfId="1" applyNumberFormat="1" applyFont="1" applyBorder="1"/>
    <xf numFmtId="43" fontId="4" fillId="0" borderId="0" xfId="1" applyNumberFormat="1" applyFont="1" applyFill="1" applyBorder="1" applyAlignment="1">
      <alignment horizontal="center" vertical="center" shrinkToFit="1"/>
    </xf>
    <xf numFmtId="43" fontId="4" fillId="0" borderId="0" xfId="1" applyNumberFormat="1" applyFont="1" applyFill="1" applyBorder="1" applyAlignment="1">
      <alignment shrinkToFit="1"/>
    </xf>
    <xf numFmtId="10" fontId="4" fillId="0" borderId="0" xfId="1" applyNumberFormat="1" applyFont="1" applyFill="1" applyBorder="1"/>
    <xf numFmtId="41" fontId="4" fillId="0" borderId="0" xfId="1" applyNumberFormat="1" applyFont="1" applyFill="1" applyBorder="1"/>
    <xf numFmtId="41" fontId="5" fillId="0" borderId="5" xfId="2" applyNumberFormat="1" applyFont="1" applyFill="1" applyBorder="1"/>
    <xf numFmtId="0" fontId="3" fillId="0" borderId="10" xfId="1" applyFont="1" applyBorder="1"/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/>
    <xf numFmtId="0" fontId="3" fillId="2" borderId="0" xfId="1" applyFont="1" applyFill="1" applyBorder="1"/>
    <xf numFmtId="0" fontId="3" fillId="2" borderId="0" xfId="1" applyFont="1" applyFill="1" applyBorder="1" applyAlignment="1">
      <alignment horizontal="center" vertical="center"/>
    </xf>
    <xf numFmtId="0" fontId="0" fillId="0" borderId="0" xfId="0" applyFill="1"/>
    <xf numFmtId="0" fontId="20" fillId="0" borderId="0" xfId="0" applyFont="1" applyAlignment="1">
      <alignment horizontal="center" wrapText="1"/>
    </xf>
    <xf numFmtId="0" fontId="21" fillId="15" borderId="21" xfId="0" applyFont="1" applyFill="1" applyBorder="1" applyAlignment="1">
      <alignment horizontal="center" vertical="center" wrapText="1"/>
    </xf>
    <xf numFmtId="0" fontId="21" fillId="15" borderId="22" xfId="0" applyFont="1" applyFill="1" applyBorder="1" applyAlignment="1">
      <alignment horizontal="center" vertical="center" wrapText="1"/>
    </xf>
    <xf numFmtId="0" fontId="21" fillId="15" borderId="23" xfId="0" applyFont="1" applyFill="1" applyBorder="1" applyAlignment="1">
      <alignment horizontal="center" vertical="center" wrapText="1"/>
    </xf>
    <xf numFmtId="169" fontId="0" fillId="0" borderId="0" xfId="0" applyNumberFormat="1"/>
    <xf numFmtId="0" fontId="21" fillId="0" borderId="25" xfId="0" applyFont="1" applyBorder="1" applyAlignment="1">
      <alignment horizontal="center" vertical="center" wrapText="1"/>
    </xf>
    <xf numFmtId="169" fontId="22" fillId="0" borderId="26" xfId="0" applyNumberFormat="1" applyFont="1" applyBorder="1" applyAlignment="1">
      <alignment horizontal="right" vertical="center" wrapText="1"/>
    </xf>
    <xf numFmtId="169" fontId="22" fillId="0" borderId="28" xfId="0" applyNumberFormat="1" applyFont="1" applyBorder="1" applyAlignment="1">
      <alignment horizontal="right" vertical="center" wrapText="1"/>
    </xf>
    <xf numFmtId="169" fontId="22" fillId="0" borderId="27" xfId="0" applyNumberFormat="1" applyFont="1" applyBorder="1" applyAlignment="1">
      <alignment horizontal="right" vertical="center" wrapText="1"/>
    </xf>
    <xf numFmtId="169" fontId="22" fillId="0" borderId="27" xfId="0" applyNumberFormat="1" applyFont="1" applyFill="1" applyBorder="1" applyAlignment="1">
      <alignment horizontal="right" vertical="center" wrapText="1"/>
    </xf>
    <xf numFmtId="167" fontId="21" fillId="0" borderId="29" xfId="0" applyNumberFormat="1" applyFont="1" applyBorder="1" applyAlignment="1">
      <alignment horizontal="right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169" fontId="22" fillId="0" borderId="31" xfId="0" applyNumberFormat="1" applyFont="1" applyBorder="1" applyAlignment="1">
      <alignment horizontal="right" vertical="center" wrapText="1"/>
    </xf>
    <xf numFmtId="169" fontId="22" fillId="0" borderId="33" xfId="0" applyNumberFormat="1" applyFont="1" applyBorder="1" applyAlignment="1">
      <alignment horizontal="right" vertical="center" wrapText="1"/>
    </xf>
    <xf numFmtId="169" fontId="22" fillId="0" borderId="32" xfId="0" applyNumberFormat="1" applyFont="1" applyBorder="1" applyAlignment="1">
      <alignment horizontal="right" vertical="center" wrapText="1"/>
    </xf>
    <xf numFmtId="169" fontId="22" fillId="0" borderId="32" xfId="0" applyNumberFormat="1" applyFont="1" applyFill="1" applyBorder="1" applyAlignment="1">
      <alignment horizontal="right" vertical="center" wrapText="1"/>
    </xf>
    <xf numFmtId="167" fontId="21" fillId="0" borderId="34" xfId="0" applyNumberFormat="1" applyFont="1" applyBorder="1" applyAlignment="1">
      <alignment horizontal="right" vertical="center" wrapText="1"/>
    </xf>
    <xf numFmtId="167" fontId="0" fillId="0" borderId="0" xfId="0" applyNumberFormat="1"/>
    <xf numFmtId="4" fontId="0" fillId="0" borderId="0" xfId="0" applyNumberFormat="1"/>
    <xf numFmtId="0" fontId="22" fillId="0" borderId="26" xfId="0" applyFont="1" applyFill="1" applyBorder="1" applyAlignment="1">
      <alignment horizontal="center" vertical="center" wrapText="1"/>
    </xf>
    <xf numFmtId="1" fontId="22" fillId="0" borderId="27" xfId="0" applyNumberFormat="1" applyFont="1" applyFill="1" applyBorder="1" applyAlignment="1">
      <alignment horizontal="center" vertical="center" wrapText="1"/>
    </xf>
    <xf numFmtId="169" fontId="21" fillId="0" borderId="27" xfId="0" applyNumberFormat="1" applyFont="1" applyFill="1" applyBorder="1" applyAlignment="1">
      <alignment horizontal="right" vertical="center" wrapText="1"/>
    </xf>
    <xf numFmtId="167" fontId="22" fillId="0" borderId="28" xfId="0" applyNumberFormat="1" applyFont="1" applyFill="1" applyBorder="1" applyAlignment="1">
      <alignment horizontal="right" vertical="center" wrapText="1"/>
    </xf>
    <xf numFmtId="41" fontId="0" fillId="0" borderId="0" xfId="0" applyNumberFormat="1"/>
    <xf numFmtId="0" fontId="22" fillId="0" borderId="39" xfId="0" applyFont="1" applyFill="1" applyBorder="1" applyAlignment="1">
      <alignment horizontal="center" vertical="center" wrapText="1"/>
    </xf>
    <xf numFmtId="1" fontId="22" fillId="0" borderId="40" xfId="0" applyNumberFormat="1" applyFont="1" applyFill="1" applyBorder="1" applyAlignment="1">
      <alignment horizontal="center" vertical="center" wrapText="1"/>
    </xf>
    <xf numFmtId="169" fontId="21" fillId="0" borderId="40" xfId="0" applyNumberFormat="1" applyFont="1" applyFill="1" applyBorder="1" applyAlignment="1">
      <alignment horizontal="right" vertical="center" wrapText="1"/>
    </xf>
    <xf numFmtId="167" fontId="22" fillId="0" borderId="41" xfId="0" applyNumberFormat="1" applyFont="1" applyFill="1" applyBorder="1" applyAlignment="1">
      <alignment horizontal="right" vertical="center" wrapText="1"/>
    </xf>
    <xf numFmtId="169" fontId="0" fillId="5" borderId="0" xfId="0" applyNumberFormat="1" applyFill="1"/>
    <xf numFmtId="0" fontId="22" fillId="0" borderId="21" xfId="0" applyFont="1" applyFill="1" applyBorder="1" applyAlignment="1">
      <alignment horizontal="center" vertical="center" wrapText="1"/>
    </xf>
    <xf numFmtId="1" fontId="22" fillId="8" borderId="40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169" fontId="21" fillId="0" borderId="22" xfId="0" applyNumberFormat="1" applyFont="1" applyFill="1" applyBorder="1" applyAlignment="1">
      <alignment horizontal="right" vertical="center" wrapText="1"/>
    </xf>
    <xf numFmtId="167" fontId="22" fillId="0" borderId="23" xfId="0" applyNumberFormat="1" applyFont="1" applyFill="1" applyBorder="1" applyAlignment="1">
      <alignment horizontal="right" vertical="center" wrapText="1"/>
    </xf>
    <xf numFmtId="169" fontId="22" fillId="0" borderId="40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1" fontId="22" fillId="0" borderId="51" xfId="0" applyNumberFormat="1" applyFont="1" applyFill="1" applyBorder="1" applyAlignment="1">
      <alignment horizontal="center" vertical="center" wrapText="1"/>
    </xf>
    <xf numFmtId="169" fontId="0" fillId="0" borderId="51" xfId="0" applyNumberFormat="1" applyFill="1" applyBorder="1" applyAlignment="1">
      <alignment horizontal="right" vertical="center"/>
    </xf>
    <xf numFmtId="167" fontId="22" fillId="0" borderId="49" xfId="0" applyNumberFormat="1" applyFont="1" applyFill="1" applyBorder="1" applyAlignment="1">
      <alignment horizontal="right" vertical="center" wrapText="1"/>
    </xf>
    <xf numFmtId="0" fontId="22" fillId="0" borderId="53" xfId="0" applyFont="1" applyFill="1" applyBorder="1" applyAlignment="1">
      <alignment horizontal="center" vertical="center" wrapText="1"/>
    </xf>
    <xf numFmtId="1" fontId="22" fillId="0" borderId="54" xfId="0" applyNumberFormat="1" applyFont="1" applyFill="1" applyBorder="1" applyAlignment="1">
      <alignment horizontal="center" vertical="center" wrapText="1"/>
    </xf>
    <xf numFmtId="169" fontId="22" fillId="0" borderId="54" xfId="0" applyNumberFormat="1" applyFont="1" applyFill="1" applyBorder="1" applyAlignment="1">
      <alignment horizontal="right" vertical="center" wrapText="1"/>
    </xf>
    <xf numFmtId="167" fontId="22" fillId="0" borderId="55" xfId="0" applyNumberFormat="1" applyFont="1" applyFill="1" applyBorder="1" applyAlignment="1">
      <alignment horizontal="right" vertical="center" wrapText="1"/>
    </xf>
    <xf numFmtId="169" fontId="22" fillId="0" borderId="51" xfId="0" applyNumberFormat="1" applyFont="1" applyFill="1" applyBorder="1" applyAlignment="1">
      <alignment horizontal="right" vertical="center" wrapText="1"/>
    </xf>
    <xf numFmtId="0" fontId="22" fillId="0" borderId="50" xfId="0" applyFont="1" applyFill="1" applyBorder="1" applyAlignment="1">
      <alignment horizontal="center" vertical="center" wrapText="1"/>
    </xf>
    <xf numFmtId="3" fontId="0" fillId="0" borderId="0" xfId="0" applyNumberFormat="1"/>
    <xf numFmtId="0" fontId="21" fillId="16" borderId="56" xfId="0" applyFont="1" applyFill="1" applyBorder="1" applyAlignment="1">
      <alignment vertical="center" wrapText="1"/>
    </xf>
    <xf numFmtId="0" fontId="21" fillId="16" borderId="0" xfId="0" applyFont="1" applyFill="1" applyBorder="1" applyAlignment="1">
      <alignment horizontal="center" wrapText="1"/>
    </xf>
    <xf numFmtId="0" fontId="21" fillId="17" borderId="0" xfId="0" applyFont="1" applyFill="1" applyBorder="1" applyAlignment="1">
      <alignment horizontal="center" wrapText="1"/>
    </xf>
    <xf numFmtId="167" fontId="21" fillId="16" borderId="16" xfId="0" applyNumberFormat="1" applyFont="1" applyFill="1" applyBorder="1" applyAlignment="1">
      <alignment horizontal="center" wrapText="1"/>
    </xf>
    <xf numFmtId="0" fontId="21" fillId="0" borderId="57" xfId="0" applyFont="1" applyBorder="1" applyAlignment="1">
      <alignment horizontal="right" vertical="center" wrapText="1"/>
    </xf>
    <xf numFmtId="0" fontId="21" fillId="0" borderId="56" xfId="0" applyFont="1" applyBorder="1" applyAlignment="1">
      <alignment horizontal="right" vertical="center" wrapText="1"/>
    </xf>
    <xf numFmtId="167" fontId="21" fillId="0" borderId="16" xfId="0" applyNumberFormat="1" applyFont="1" applyBorder="1" applyAlignment="1">
      <alignment horizontal="right" vertical="center" wrapText="1"/>
    </xf>
    <xf numFmtId="0" fontId="21" fillId="0" borderId="58" xfId="0" applyFont="1" applyBorder="1" applyAlignment="1">
      <alignment horizontal="right" vertical="center" wrapText="1"/>
    </xf>
    <xf numFmtId="167" fontId="21" fillId="0" borderId="6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167" fontId="1" fillId="0" borderId="0" xfId="0" applyNumberFormat="1" applyFont="1"/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169" fontId="21" fillId="0" borderId="0" xfId="0" applyNumberFormat="1" applyFont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169" fontId="22" fillId="0" borderId="31" xfId="0" applyNumberFormat="1" applyFont="1" applyFill="1" applyBorder="1" applyAlignment="1">
      <alignment horizontal="right" vertical="center" wrapText="1"/>
    </xf>
    <xf numFmtId="169" fontId="22" fillId="0" borderId="33" xfId="0" applyNumberFormat="1" applyFont="1" applyFill="1" applyBorder="1" applyAlignment="1">
      <alignment horizontal="right" vertical="center" wrapText="1"/>
    </xf>
    <xf numFmtId="169" fontId="21" fillId="0" borderId="34" xfId="0" applyNumberFormat="1" applyFont="1" applyFill="1" applyBorder="1" applyAlignment="1">
      <alignment horizontal="righ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69" fontId="22" fillId="0" borderId="22" xfId="0" applyNumberFormat="1" applyFont="1" applyFill="1" applyBorder="1" applyAlignment="1">
      <alignment horizontal="right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167" fontId="22" fillId="0" borderId="50" xfId="0" applyNumberFormat="1" applyFont="1" applyFill="1" applyBorder="1" applyAlignment="1">
      <alignment horizontal="right" vertical="center" wrapText="1"/>
    </xf>
    <xf numFmtId="167" fontId="22" fillId="0" borderId="51" xfId="0" applyNumberFormat="1" applyFont="1" applyFill="1" applyBorder="1" applyAlignment="1">
      <alignment horizontal="right" vertical="center" wrapText="1"/>
    </xf>
    <xf numFmtId="167" fontId="22" fillId="0" borderId="51" xfId="0" applyNumberFormat="1" applyFont="1" applyFill="1" applyBorder="1" applyAlignment="1">
      <alignment horizontal="center" vertical="center" wrapText="1"/>
    </xf>
    <xf numFmtId="167" fontId="21" fillId="0" borderId="46" xfId="0" applyNumberFormat="1" applyFont="1" applyFill="1" applyBorder="1" applyAlignment="1">
      <alignment horizontal="right" vertical="center" wrapText="1"/>
    </xf>
    <xf numFmtId="167" fontId="22" fillId="0" borderId="42" xfId="0" applyNumberFormat="1" applyFont="1" applyFill="1" applyBorder="1" applyAlignment="1">
      <alignment horizontal="center" vertical="center" wrapText="1"/>
    </xf>
    <xf numFmtId="167" fontId="22" fillId="0" borderId="43" xfId="0" applyNumberFormat="1" applyFont="1" applyFill="1" applyBorder="1" applyAlignment="1">
      <alignment horizontal="center" vertical="center" wrapText="1"/>
    </xf>
    <xf numFmtId="167" fontId="22" fillId="0" borderId="44" xfId="0" applyNumberFormat="1" applyFont="1" applyFill="1" applyBorder="1" applyAlignment="1">
      <alignment horizontal="center" vertical="center" wrapText="1"/>
    </xf>
    <xf numFmtId="167" fontId="22" fillId="0" borderId="45" xfId="0" applyNumberFormat="1" applyFont="1" applyFill="1" applyBorder="1" applyAlignment="1">
      <alignment horizontal="center" vertical="center" wrapText="1"/>
    </xf>
    <xf numFmtId="167" fontId="22" fillId="0" borderId="26" xfId="0" applyNumberFormat="1" applyFont="1" applyBorder="1" applyAlignment="1">
      <alignment horizontal="right" vertical="center" wrapText="1"/>
    </xf>
    <xf numFmtId="167" fontId="22" fillId="0" borderId="28" xfId="0" applyNumberFormat="1" applyFont="1" applyBorder="1" applyAlignment="1">
      <alignment horizontal="right" vertical="center" wrapText="1"/>
    </xf>
    <xf numFmtId="167" fontId="22" fillId="0" borderId="27" xfId="0" applyNumberFormat="1" applyFont="1" applyBorder="1" applyAlignment="1">
      <alignment horizontal="right" vertical="center" wrapText="1"/>
    </xf>
    <xf numFmtId="0" fontId="21" fillId="16" borderId="85" xfId="0" applyFont="1" applyFill="1" applyBorder="1" applyAlignment="1">
      <alignment horizontal="center" wrapText="1"/>
    </xf>
    <xf numFmtId="169" fontId="21" fillId="0" borderId="86" xfId="0" applyNumberFormat="1" applyFont="1" applyBorder="1" applyAlignment="1">
      <alignment horizontal="right" vertical="center" wrapText="1"/>
    </xf>
    <xf numFmtId="169" fontId="21" fillId="0" borderId="16" xfId="0" applyNumberFormat="1" applyFont="1" applyBorder="1" applyAlignment="1">
      <alignment horizontal="right" vertical="center" wrapText="1"/>
    </xf>
    <xf numFmtId="169" fontId="21" fillId="0" borderId="60" xfId="0" applyNumberFormat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5" fontId="5" fillId="3" borderId="3" xfId="1" applyNumberFormat="1" applyFont="1" applyFill="1" applyBorder="1" applyAlignment="1">
      <alignment horizontal="center" vertical="center"/>
    </xf>
    <xf numFmtId="15" fontId="5" fillId="3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22" fontId="3" fillId="2" borderId="4" xfId="1" applyNumberFormat="1" applyFont="1" applyFill="1" applyBorder="1" applyAlignment="1">
      <alignment horizontal="center" shrinkToFit="1"/>
    </xf>
    <xf numFmtId="22" fontId="3" fillId="2" borderId="0" xfId="1" applyNumberFormat="1" applyFont="1" applyFill="1" applyBorder="1" applyAlignment="1">
      <alignment horizontal="center" shrinkToFit="1"/>
    </xf>
    <xf numFmtId="0" fontId="4" fillId="4" borderId="0" xfId="1" applyFont="1" applyFill="1" applyBorder="1" applyAlignment="1">
      <alignment horizontal="center" wrapText="1"/>
    </xf>
    <xf numFmtId="0" fontId="17" fillId="13" borderId="12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horizontal="center" vertical="center" wrapText="1"/>
    </xf>
    <xf numFmtId="0" fontId="17" fillId="13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wrapText="1"/>
    </xf>
    <xf numFmtId="0" fontId="1" fillId="0" borderId="0" xfId="0" applyFont="1" applyAlignment="1"/>
    <xf numFmtId="0" fontId="17" fillId="14" borderId="15" xfId="0" applyFont="1" applyFill="1" applyBorder="1" applyAlignment="1">
      <alignment horizontal="center" vertical="center" wrapText="1"/>
    </xf>
    <xf numFmtId="0" fontId="17" fillId="14" borderId="0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17" fillId="13" borderId="15" xfId="0" applyFont="1" applyFill="1" applyBorder="1" applyAlignment="1">
      <alignment horizontal="center" vertical="center" wrapText="1"/>
    </xf>
    <xf numFmtId="0" fontId="17" fillId="13" borderId="0" xfId="0" applyFont="1" applyFill="1" applyBorder="1" applyAlignment="1">
      <alignment horizontal="center" vertical="center" wrapText="1"/>
    </xf>
    <xf numFmtId="0" fontId="17" fillId="13" borderId="16" xfId="0" applyFont="1" applyFill="1" applyBorder="1" applyAlignment="1">
      <alignment horizontal="center" vertical="center" wrapText="1"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horizontal="center" vertical="center" wrapText="1"/>
    </xf>
    <xf numFmtId="0" fontId="21" fillId="15" borderId="17" xfId="0" applyFont="1" applyFill="1" applyBorder="1" applyAlignment="1">
      <alignment horizontal="center" vertical="center" wrapText="1"/>
    </xf>
    <xf numFmtId="0" fontId="21" fillId="15" borderId="18" xfId="0" applyFont="1" applyFill="1" applyBorder="1" applyAlignment="1">
      <alignment horizontal="center" vertical="center" wrapText="1"/>
    </xf>
    <xf numFmtId="0" fontId="21" fillId="15" borderId="19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 wrapText="1"/>
    </xf>
    <xf numFmtId="0" fontId="21" fillId="15" borderId="23" xfId="0" applyFont="1" applyFill="1" applyBorder="1" applyAlignment="1">
      <alignment horizontal="center" vertical="center" wrapText="1"/>
    </xf>
    <xf numFmtId="0" fontId="21" fillId="15" borderId="22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167" fontId="22" fillId="0" borderId="38" xfId="0" applyNumberFormat="1" applyFont="1" applyBorder="1" applyAlignment="1">
      <alignment horizontal="right" vertical="center" wrapText="1"/>
    </xf>
    <xf numFmtId="167" fontId="22" fillId="0" borderId="42" xfId="0" applyNumberFormat="1" applyFont="1" applyBorder="1" applyAlignment="1">
      <alignment horizontal="right" vertical="center" wrapText="1"/>
    </xf>
    <xf numFmtId="167" fontId="22" fillId="0" borderId="48" xfId="0" applyNumberFormat="1" applyFont="1" applyBorder="1" applyAlignment="1">
      <alignment horizontal="right" vertical="center" wrapText="1"/>
    </xf>
    <xf numFmtId="167" fontId="22" fillId="0" borderId="28" xfId="0" applyNumberFormat="1" applyFont="1" applyBorder="1" applyAlignment="1">
      <alignment horizontal="right" vertical="center" wrapText="1"/>
    </xf>
    <xf numFmtId="167" fontId="22" fillId="0" borderId="43" xfId="0" applyNumberFormat="1" applyFont="1" applyBorder="1" applyAlignment="1">
      <alignment horizontal="right" vertical="center" wrapText="1"/>
    </xf>
    <xf numFmtId="167" fontId="22" fillId="0" borderId="49" xfId="0" applyNumberFormat="1" applyFont="1" applyBorder="1" applyAlignment="1">
      <alignment horizontal="right" vertical="center" wrapText="1"/>
    </xf>
    <xf numFmtId="167" fontId="22" fillId="0" borderId="26" xfId="0" applyNumberFormat="1" applyFont="1" applyBorder="1" applyAlignment="1">
      <alignment horizontal="right" vertical="center" wrapText="1"/>
    </xf>
    <xf numFmtId="167" fontId="22" fillId="0" borderId="44" xfId="0" applyNumberFormat="1" applyFont="1" applyBorder="1" applyAlignment="1">
      <alignment horizontal="right" vertical="center" wrapText="1"/>
    </xf>
    <xf numFmtId="167" fontId="22" fillId="0" borderId="50" xfId="0" applyNumberFormat="1" applyFont="1" applyBorder="1" applyAlignment="1">
      <alignment horizontal="right" vertical="center" wrapText="1"/>
    </xf>
    <xf numFmtId="167" fontId="22" fillId="0" borderId="27" xfId="0" applyNumberFormat="1" applyFont="1" applyBorder="1" applyAlignment="1">
      <alignment horizontal="right" vertical="center" wrapText="1"/>
    </xf>
    <xf numFmtId="167" fontId="22" fillId="0" borderId="45" xfId="0" applyNumberFormat="1" applyFont="1" applyBorder="1" applyAlignment="1">
      <alignment horizontal="right" vertical="center" wrapText="1"/>
    </xf>
    <xf numFmtId="167" fontId="22" fillId="0" borderId="51" xfId="0" applyNumberFormat="1" applyFont="1" applyBorder="1" applyAlignment="1">
      <alignment horizontal="right" vertical="center" wrapText="1"/>
    </xf>
    <xf numFmtId="0" fontId="21" fillId="15" borderId="20" xfId="0" applyFont="1" applyFill="1" applyBorder="1" applyAlignment="1">
      <alignment horizontal="center" vertical="center" wrapText="1"/>
    </xf>
    <xf numFmtId="0" fontId="21" fillId="15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167" fontId="21" fillId="0" borderId="29" xfId="0" applyNumberFormat="1" applyFont="1" applyBorder="1" applyAlignment="1">
      <alignment horizontal="right" vertical="center" wrapText="1"/>
    </xf>
    <xf numFmtId="167" fontId="21" fillId="0" borderId="46" xfId="0" applyNumberFormat="1" applyFont="1" applyBorder="1" applyAlignment="1">
      <alignment horizontal="right" vertical="center" wrapText="1"/>
    </xf>
    <xf numFmtId="167" fontId="21" fillId="0" borderId="5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1" fillId="0" borderId="59" xfId="0" applyFont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167" fontId="22" fillId="0" borderId="70" xfId="0" applyNumberFormat="1" applyFont="1" applyFill="1" applyBorder="1" applyAlignment="1">
      <alignment horizontal="center" vertical="center" wrapText="1"/>
    </xf>
    <xf numFmtId="167" fontId="22" fillId="0" borderId="42" xfId="0" applyNumberFormat="1" applyFont="1" applyFill="1" applyBorder="1" applyAlignment="1">
      <alignment horizontal="center" vertical="center" wrapText="1"/>
    </xf>
    <xf numFmtId="167" fontId="22" fillId="0" borderId="37" xfId="0" applyNumberFormat="1" applyFont="1" applyFill="1" applyBorder="1" applyAlignment="1">
      <alignment horizontal="center" vertical="center" wrapText="1"/>
    </xf>
    <xf numFmtId="167" fontId="22" fillId="0" borderId="43" xfId="0" applyNumberFormat="1" applyFont="1" applyFill="1" applyBorder="1" applyAlignment="1">
      <alignment horizontal="center" vertical="center" wrapText="1"/>
    </xf>
    <xf numFmtId="167" fontId="22" fillId="0" borderId="35" xfId="0" applyNumberFormat="1" applyFont="1" applyFill="1" applyBorder="1" applyAlignment="1">
      <alignment horizontal="center" vertical="center" wrapText="1"/>
    </xf>
    <xf numFmtId="167" fontId="22" fillId="0" borderId="44" xfId="0" applyNumberFormat="1" applyFont="1" applyFill="1" applyBorder="1" applyAlignment="1">
      <alignment horizontal="center" vertical="center" wrapText="1"/>
    </xf>
    <xf numFmtId="167" fontId="22" fillId="0" borderId="36" xfId="0" applyNumberFormat="1" applyFont="1" applyFill="1" applyBorder="1" applyAlignment="1">
      <alignment horizontal="center" vertical="center" wrapText="1"/>
    </xf>
    <xf numFmtId="167" fontId="22" fillId="0" borderId="45" xfId="0" applyNumberFormat="1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167" fontId="22" fillId="0" borderId="80" xfId="0" applyNumberFormat="1" applyFont="1" applyBorder="1" applyAlignment="1">
      <alignment horizontal="right" vertical="center" wrapText="1"/>
    </xf>
    <xf numFmtId="167" fontId="22" fillId="0" borderId="41" xfId="0" applyNumberFormat="1" applyFont="1" applyBorder="1" applyAlignment="1">
      <alignment horizontal="right" vertical="center" wrapText="1"/>
    </xf>
    <xf numFmtId="167" fontId="22" fillId="0" borderId="39" xfId="0" applyNumberFormat="1" applyFont="1" applyBorder="1" applyAlignment="1">
      <alignment horizontal="right" vertical="center" wrapText="1"/>
    </xf>
    <xf numFmtId="167" fontId="22" fillId="0" borderId="27" xfId="0" applyNumberFormat="1" applyFont="1" applyBorder="1" applyAlignment="1">
      <alignment horizontal="center" vertical="center" wrapText="1"/>
    </xf>
    <xf numFmtId="167" fontId="22" fillId="0" borderId="40" xfId="0" applyNumberFormat="1" applyFont="1" applyBorder="1" applyAlignment="1">
      <alignment horizontal="center" vertical="center" wrapText="1"/>
    </xf>
    <xf numFmtId="167" fontId="22" fillId="0" borderId="51" xfId="0" applyNumberFormat="1" applyFont="1" applyBorder="1" applyAlignment="1">
      <alignment horizontal="center" vertical="center" wrapText="1"/>
    </xf>
    <xf numFmtId="167" fontId="21" fillId="0" borderId="71" xfId="0" applyNumberFormat="1" applyFont="1" applyFill="1" applyBorder="1" applyAlignment="1">
      <alignment horizontal="right" vertical="center" wrapText="1"/>
    </xf>
    <xf numFmtId="167" fontId="21" fillId="0" borderId="46" xfId="0" applyNumberFormat="1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center" vertical="center" wrapText="1"/>
    </xf>
    <xf numFmtId="167" fontId="22" fillId="0" borderId="72" xfId="0" applyNumberFormat="1" applyFont="1" applyFill="1" applyBorder="1" applyAlignment="1">
      <alignment horizontal="center" vertical="center" wrapText="1"/>
    </xf>
    <xf numFmtId="167" fontId="22" fillId="0" borderId="73" xfId="0" applyNumberFormat="1" applyFont="1" applyFill="1" applyBorder="1" applyAlignment="1">
      <alignment horizontal="center" vertical="center" wrapText="1"/>
    </xf>
    <xf numFmtId="167" fontId="22" fillId="0" borderId="74" xfId="0" applyNumberFormat="1" applyFont="1" applyFill="1" applyBorder="1" applyAlignment="1">
      <alignment horizontal="center" vertical="center" wrapText="1"/>
    </xf>
    <xf numFmtId="167" fontId="22" fillId="0" borderId="75" xfId="0" applyNumberFormat="1" applyFont="1" applyFill="1" applyBorder="1" applyAlignment="1">
      <alignment horizontal="center" vertical="center" wrapText="1"/>
    </xf>
    <xf numFmtId="0" fontId="21" fillId="0" borderId="87" xfId="0" applyFont="1" applyBorder="1" applyAlignment="1">
      <alignment horizontal="right" vertical="center" wrapText="1"/>
    </xf>
    <xf numFmtId="167" fontId="22" fillId="0" borderId="40" xfId="0" applyNumberFormat="1" applyFont="1" applyBorder="1" applyAlignment="1">
      <alignment horizontal="right" vertical="center" wrapText="1"/>
    </xf>
    <xf numFmtId="167" fontId="21" fillId="0" borderId="81" xfId="0" applyNumberFormat="1" applyFont="1" applyBorder="1" applyAlignment="1">
      <alignment horizontal="right"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2" fillId="0" borderId="83" xfId="0" applyFont="1" applyFill="1" applyBorder="1" applyAlignment="1">
      <alignment horizontal="center" vertical="center" wrapText="1"/>
    </xf>
    <xf numFmtId="0" fontId="22" fillId="0" borderId="84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right" vertical="center" wrapText="1"/>
    </xf>
    <xf numFmtId="167" fontId="21" fillId="0" borderId="76" xfId="0" applyNumberFormat="1" applyFont="1" applyFill="1" applyBorder="1" applyAlignment="1">
      <alignment horizontal="right" vertical="center" wrapText="1"/>
    </xf>
    <xf numFmtId="0" fontId="22" fillId="0" borderId="77" xfId="0" applyFont="1" applyFill="1" applyBorder="1" applyAlignment="1">
      <alignment horizontal="center" vertical="center" wrapText="1"/>
    </xf>
  </cellXfs>
  <cellStyles count="14">
    <cellStyle name="Comma 2" xfId="4"/>
    <cellStyle name="Comma 3" xfId="2"/>
    <cellStyle name="Comma0" xfId="5"/>
    <cellStyle name="Currency [0] 2" xfId="6"/>
    <cellStyle name="Currency [0] 3" xfId="7"/>
    <cellStyle name="Currency 2" xfId="8"/>
    <cellStyle name="Currency0" xfId="9"/>
    <cellStyle name="Hyperlink 2" xfId="10"/>
    <cellStyle name="Normal" xfId="0" builtinId="0"/>
    <cellStyle name="Normal 2" xfId="11"/>
    <cellStyle name="Normal 2 2" xfId="1"/>
    <cellStyle name="Normal 3" xfId="12"/>
    <cellStyle name="Percent 2" xfId="3"/>
    <cellStyle name="Rose Calendar 2005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06"/>
  <sheetViews>
    <sheetView tabSelected="1" zoomScale="40" zoomScaleNormal="40" workbookViewId="0">
      <selection activeCell="P43" sqref="P43"/>
    </sheetView>
  </sheetViews>
  <sheetFormatPr defaultColWidth="19.125" defaultRowHeight="20.25" x14ac:dyDescent="0.3"/>
  <cols>
    <col min="1" max="1" width="5.5" style="1" customWidth="1"/>
    <col min="2" max="2" width="18" style="1" customWidth="1"/>
    <col min="3" max="3" width="42.5" style="1" customWidth="1"/>
    <col min="4" max="4" width="19.125" style="1" customWidth="1"/>
    <col min="5" max="5" width="19.75" style="88" customWidth="1"/>
    <col min="6" max="6" width="19.75" style="1" hidden="1" customWidth="1"/>
    <col min="7" max="8" width="21.25" style="1" customWidth="1"/>
    <col min="9" max="9" width="14.5" style="1" customWidth="1"/>
    <col min="10" max="10" width="17.125" style="1" customWidth="1"/>
    <col min="11" max="11" width="21.25" style="1" hidden="1" customWidth="1"/>
    <col min="12" max="12" width="21.875" style="1" customWidth="1"/>
    <col min="13" max="13" width="18.5" style="1" customWidth="1"/>
    <col min="14" max="14" width="9.125" style="1" customWidth="1"/>
    <col min="15" max="15" width="33.375" style="1" customWidth="1"/>
    <col min="16" max="16" width="27.875" style="1" customWidth="1"/>
    <col min="17" max="17" width="19.125" style="1" customWidth="1"/>
    <col min="18" max="18" width="3.75" style="1" customWidth="1"/>
    <col min="19" max="26" width="15.375" style="1" customWidth="1"/>
    <col min="27" max="184" width="9.125" style="1" customWidth="1"/>
    <col min="185" max="16384" width="19.125" style="1"/>
  </cols>
  <sheetData>
    <row r="1" spans="1:23" x14ac:dyDescent="0.3">
      <c r="B1" s="253" t="s">
        <v>0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 t="s">
        <v>160</v>
      </c>
    </row>
    <row r="2" spans="1:23" x14ac:dyDescent="0.3">
      <c r="B2" s="257" t="s">
        <v>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6"/>
    </row>
    <row r="3" spans="1:23" ht="21" thickBot="1" x14ac:dyDescent="0.35">
      <c r="B3" s="259" t="s">
        <v>2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" t="s">
        <v>3</v>
      </c>
    </row>
    <row r="4" spans="1:23" ht="87.75" customHeight="1" x14ac:dyDescent="0.3">
      <c r="B4" s="3" t="s">
        <v>4</v>
      </c>
      <c r="C4" s="4" t="s">
        <v>5</v>
      </c>
      <c r="D4" s="261" t="s">
        <v>6</v>
      </c>
      <c r="E4" s="261"/>
      <c r="F4" s="5" t="s">
        <v>7</v>
      </c>
      <c r="G4" s="6" t="s">
        <v>8</v>
      </c>
      <c r="H4" s="6" t="s">
        <v>9</v>
      </c>
      <c r="I4" s="6" t="s">
        <v>10</v>
      </c>
      <c r="J4" s="6"/>
      <c r="K4" s="7" t="s">
        <v>11</v>
      </c>
      <c r="L4" s="6" t="s">
        <v>12</v>
      </c>
      <c r="M4" s="8" t="s">
        <v>13</v>
      </c>
    </row>
    <row r="5" spans="1:23" ht="28.5" customHeight="1" x14ac:dyDescent="0.3">
      <c r="B5" s="9"/>
      <c r="C5" s="10" t="s">
        <v>14</v>
      </c>
      <c r="D5" s="11"/>
      <c r="E5" s="12"/>
      <c r="F5" s="13"/>
      <c r="G5" s="14"/>
      <c r="H5" s="14"/>
      <c r="I5" s="14"/>
      <c r="J5" s="14"/>
      <c r="K5" s="15"/>
      <c r="L5" s="16"/>
      <c r="M5" s="17">
        <f>SUM(L13,L17)</f>
        <v>183604.04640000002</v>
      </c>
      <c r="W5" s="252" t="s">
        <v>15</v>
      </c>
    </row>
    <row r="6" spans="1:23" ht="28.5" customHeight="1" x14ac:dyDescent="0.3">
      <c r="A6" s="18"/>
      <c r="B6" s="19" t="s">
        <v>16</v>
      </c>
      <c r="C6" s="20" t="s">
        <v>17</v>
      </c>
      <c r="D6" s="21">
        <f t="shared" ref="D6:D12" si="0">G6/40/4.33</f>
        <v>0.92378752886836024</v>
      </c>
      <c r="E6" s="22" t="s">
        <v>18</v>
      </c>
      <c r="F6" s="13">
        <v>200</v>
      </c>
      <c r="G6" s="23">
        <v>160</v>
      </c>
      <c r="H6" s="24">
        <f t="shared" ref="H6:H12" si="1">SUM(F6:G6)</f>
        <v>360</v>
      </c>
      <c r="I6" s="25">
        <v>22.42</v>
      </c>
      <c r="J6" s="26"/>
      <c r="K6" s="27">
        <f t="shared" ref="K6:K12" si="2">I6*F6</f>
        <v>4484</v>
      </c>
      <c r="L6" s="28">
        <f t="shared" ref="L6:L12" si="3">(I6*G6)</f>
        <v>3587.2000000000003</v>
      </c>
      <c r="M6" s="29"/>
      <c r="S6" s="30">
        <v>2014</v>
      </c>
      <c r="T6" s="30">
        <v>2015</v>
      </c>
      <c r="U6" s="30">
        <v>2016</v>
      </c>
      <c r="V6" s="30">
        <v>2017</v>
      </c>
      <c r="W6" s="252"/>
    </row>
    <row r="7" spans="1:23" ht="30" customHeight="1" x14ac:dyDescent="0.3">
      <c r="A7" s="31"/>
      <c r="B7" s="19" t="s">
        <v>19</v>
      </c>
      <c r="C7" s="20" t="s">
        <v>20</v>
      </c>
      <c r="D7" s="21">
        <f t="shared" si="0"/>
        <v>7.806004618937644</v>
      </c>
      <c r="E7" s="22" t="s">
        <v>18</v>
      </c>
      <c r="F7" s="32">
        <f>2080-G7</f>
        <v>728</v>
      </c>
      <c r="G7" s="23">
        <v>1352</v>
      </c>
      <c r="H7" s="24">
        <f t="shared" si="1"/>
        <v>2080</v>
      </c>
      <c r="I7" s="25">
        <v>31.09</v>
      </c>
      <c r="J7" s="26"/>
      <c r="K7" s="27">
        <f t="shared" si="2"/>
        <v>22633.52</v>
      </c>
      <c r="L7" s="28">
        <f t="shared" si="3"/>
        <v>42033.68</v>
      </c>
      <c r="M7" s="29"/>
      <c r="S7" s="33">
        <v>275472</v>
      </c>
      <c r="T7" s="34">
        <v>289923</v>
      </c>
      <c r="U7" s="34">
        <v>297171</v>
      </c>
      <c r="V7" s="34">
        <v>304601</v>
      </c>
    </row>
    <row r="8" spans="1:23" ht="27" customHeight="1" x14ac:dyDescent="0.3">
      <c r="B8" s="19" t="s">
        <v>21</v>
      </c>
      <c r="C8" s="20" t="s">
        <v>22</v>
      </c>
      <c r="D8" s="21">
        <f t="shared" si="0"/>
        <v>5.7736720554272516</v>
      </c>
      <c r="E8" s="22" t="s">
        <v>18</v>
      </c>
      <c r="F8" s="32">
        <f>2080-G8</f>
        <v>1080</v>
      </c>
      <c r="G8" s="23">
        <v>1000</v>
      </c>
      <c r="H8" s="24">
        <f t="shared" si="1"/>
        <v>2080</v>
      </c>
      <c r="I8" s="25">
        <v>36.04</v>
      </c>
      <c r="J8" s="26"/>
      <c r="K8" s="27">
        <f t="shared" si="2"/>
        <v>38923.199999999997</v>
      </c>
      <c r="L8" s="35">
        <f t="shared" si="3"/>
        <v>36040</v>
      </c>
      <c r="M8" s="29"/>
      <c r="P8" s="1" t="s">
        <v>23</v>
      </c>
      <c r="Q8" s="36">
        <v>30862</v>
      </c>
      <c r="S8" s="34">
        <v>0</v>
      </c>
      <c r="T8" s="34">
        <v>30862</v>
      </c>
      <c r="U8" s="34"/>
      <c r="V8" s="34"/>
      <c r="W8" s="34">
        <f>Q8-S8-T8-U8-V8</f>
        <v>0</v>
      </c>
    </row>
    <row r="9" spans="1:23" x14ac:dyDescent="0.3">
      <c r="A9" s="37"/>
      <c r="B9" s="19" t="s">
        <v>24</v>
      </c>
      <c r="C9" s="20" t="s">
        <v>25</v>
      </c>
      <c r="D9" s="21">
        <f t="shared" si="0"/>
        <v>7.806004618937644</v>
      </c>
      <c r="E9" s="22" t="s">
        <v>18</v>
      </c>
      <c r="F9" s="32">
        <f>2080-G9</f>
        <v>728</v>
      </c>
      <c r="G9" s="23">
        <v>1352</v>
      </c>
      <c r="H9" s="24">
        <f t="shared" si="1"/>
        <v>2080</v>
      </c>
      <c r="I9" s="25">
        <v>18.02</v>
      </c>
      <c r="J9" s="26"/>
      <c r="K9" s="27">
        <f t="shared" si="2"/>
        <v>13118.56</v>
      </c>
      <c r="L9" s="28">
        <f t="shared" si="3"/>
        <v>24363.040000000001</v>
      </c>
      <c r="M9" s="29"/>
      <c r="P9" s="1" t="s">
        <v>26</v>
      </c>
      <c r="Q9" s="36">
        <v>67878</v>
      </c>
      <c r="S9" s="34"/>
      <c r="T9" s="34">
        <v>27000</v>
      </c>
      <c r="U9" s="34">
        <v>20000</v>
      </c>
      <c r="V9" s="34">
        <v>20878</v>
      </c>
      <c r="W9" s="34">
        <f>Q9-S9-T9-U9-V9</f>
        <v>0</v>
      </c>
    </row>
    <row r="10" spans="1:23" x14ac:dyDescent="0.3">
      <c r="A10" s="37"/>
      <c r="B10" s="19" t="s">
        <v>27</v>
      </c>
      <c r="C10" s="20" t="s">
        <v>28</v>
      </c>
      <c r="D10" s="21">
        <f t="shared" si="0"/>
        <v>5.7736720554272516</v>
      </c>
      <c r="E10" s="22" t="s">
        <v>18</v>
      </c>
      <c r="F10" s="13">
        <v>448</v>
      </c>
      <c r="G10" s="23">
        <v>1000</v>
      </c>
      <c r="H10" s="24">
        <f t="shared" si="1"/>
        <v>1448</v>
      </c>
      <c r="I10" s="25">
        <v>17</v>
      </c>
      <c r="J10" s="26"/>
      <c r="K10" s="27">
        <f t="shared" si="2"/>
        <v>7616</v>
      </c>
      <c r="L10" s="28">
        <f t="shared" si="3"/>
        <v>17000</v>
      </c>
      <c r="M10" s="29"/>
      <c r="S10" s="34"/>
      <c r="T10" s="34"/>
      <c r="U10" s="34"/>
      <c r="V10" s="34"/>
    </row>
    <row r="11" spans="1:23" s="39" customFormat="1" x14ac:dyDescent="0.3">
      <c r="A11" s="31"/>
      <c r="B11" s="19" t="s">
        <v>29</v>
      </c>
      <c r="C11" s="20" t="s">
        <v>30</v>
      </c>
      <c r="D11" s="21">
        <f t="shared" si="0"/>
        <v>5.7736720554272516</v>
      </c>
      <c r="E11" s="22" t="s">
        <v>18</v>
      </c>
      <c r="F11" s="32">
        <v>700</v>
      </c>
      <c r="G11" s="23">
        <v>1000</v>
      </c>
      <c r="H11" s="24">
        <f t="shared" si="1"/>
        <v>1700</v>
      </c>
      <c r="I11" s="25">
        <v>23</v>
      </c>
      <c r="J11" s="26"/>
      <c r="K11" s="27">
        <f t="shared" si="2"/>
        <v>16100</v>
      </c>
      <c r="L11" s="28">
        <f t="shared" si="3"/>
        <v>23000</v>
      </c>
      <c r="M11" s="38"/>
      <c r="P11" s="40" t="s">
        <v>31</v>
      </c>
      <c r="S11" s="34">
        <f>SUM(S7:S9)</f>
        <v>275472</v>
      </c>
      <c r="T11" s="34">
        <f>SUM(T7:T9)</f>
        <v>347785</v>
      </c>
      <c r="U11" s="34">
        <f>SUM(U7:U9)</f>
        <v>317171</v>
      </c>
      <c r="V11" s="34">
        <f>SUM(V7:V9)</f>
        <v>325479</v>
      </c>
    </row>
    <row r="12" spans="1:23" x14ac:dyDescent="0.3">
      <c r="A12" s="37"/>
      <c r="B12" s="19" t="s">
        <v>32</v>
      </c>
      <c r="C12" s="20" t="s">
        <v>33</v>
      </c>
      <c r="D12" s="21">
        <f t="shared" si="0"/>
        <v>2.0785219399538106</v>
      </c>
      <c r="E12" s="22" t="s">
        <v>18</v>
      </c>
      <c r="F12" s="13"/>
      <c r="G12" s="41">
        <v>360</v>
      </c>
      <c r="H12" s="24">
        <f t="shared" si="1"/>
        <v>360</v>
      </c>
      <c r="I12" s="25">
        <v>12.42</v>
      </c>
      <c r="J12" s="26"/>
      <c r="K12" s="27">
        <f t="shared" si="2"/>
        <v>0</v>
      </c>
      <c r="L12" s="28">
        <f t="shared" si="3"/>
        <v>4471.2</v>
      </c>
      <c r="M12" s="29"/>
      <c r="S12" s="34"/>
      <c r="T12" s="34"/>
      <c r="U12" s="34"/>
      <c r="V12" s="34"/>
    </row>
    <row r="13" spans="1:23" ht="21" thickBot="1" x14ac:dyDescent="0.35">
      <c r="B13" s="42">
        <v>512111</v>
      </c>
      <c r="C13" s="10" t="s">
        <v>34</v>
      </c>
      <c r="D13" s="11"/>
      <c r="E13" s="12"/>
      <c r="F13" s="43">
        <f>SUM(F6:F12)</f>
        <v>3884</v>
      </c>
      <c r="G13" s="14"/>
      <c r="H13" s="14"/>
      <c r="I13" s="14"/>
      <c r="J13" s="14"/>
      <c r="K13" s="44">
        <f>SUM(K6:K12)</f>
        <v>102875.28</v>
      </c>
      <c r="L13" s="45">
        <f>SUM(L6:L12)</f>
        <v>150495.12000000002</v>
      </c>
      <c r="M13" s="46">
        <f>SUM(M7:M11)</f>
        <v>0</v>
      </c>
    </row>
    <row r="14" spans="1:23" x14ac:dyDescent="0.3">
      <c r="B14" s="47"/>
      <c r="C14" s="48"/>
      <c r="D14" s="20"/>
      <c r="E14" s="22"/>
      <c r="F14" s="49"/>
      <c r="G14" s="50"/>
      <c r="H14" s="50"/>
      <c r="I14" s="50" t="s">
        <v>35</v>
      </c>
      <c r="J14" s="50">
        <v>1.22</v>
      </c>
      <c r="K14" s="51">
        <f>K13*J14</f>
        <v>125507.8416</v>
      </c>
      <c r="L14" s="52"/>
      <c r="M14" s="53"/>
    </row>
    <row r="15" spans="1:23" x14ac:dyDescent="0.3">
      <c r="B15" s="47"/>
      <c r="C15" s="48"/>
      <c r="D15" s="20"/>
      <c r="E15" s="22"/>
      <c r="F15" s="49"/>
      <c r="G15" s="50"/>
      <c r="H15" s="50"/>
      <c r="I15" s="50"/>
      <c r="J15" s="50"/>
      <c r="K15" s="49"/>
      <c r="L15" s="52"/>
      <c r="M15" s="53"/>
    </row>
    <row r="16" spans="1:23" x14ac:dyDescent="0.3">
      <c r="B16" s="54"/>
      <c r="C16" s="55"/>
      <c r="D16" s="55"/>
      <c r="E16" s="22"/>
      <c r="F16" s="20"/>
      <c r="G16" s="55"/>
      <c r="H16" s="55"/>
      <c r="I16" s="56"/>
      <c r="J16" s="56"/>
      <c r="K16" s="56"/>
      <c r="M16" s="57"/>
    </row>
    <row r="17" spans="2:23" x14ac:dyDescent="0.3">
      <c r="B17" s="42">
        <v>519111</v>
      </c>
      <c r="C17" s="10" t="s">
        <v>36</v>
      </c>
      <c r="D17" s="11"/>
      <c r="E17" s="12"/>
      <c r="F17" s="11"/>
      <c r="G17" s="58">
        <v>0.22</v>
      </c>
      <c r="H17" s="58"/>
      <c r="I17" s="59"/>
      <c r="J17" s="59"/>
      <c r="K17" s="59"/>
      <c r="L17" s="60">
        <f>L13*0.22</f>
        <v>33108.926400000004</v>
      </c>
      <c r="M17" s="61" t="s">
        <v>37</v>
      </c>
      <c r="O17" s="1" t="s">
        <v>38</v>
      </c>
      <c r="P17" s="62">
        <f>'Draft 2014 BOR Budget'!M28</f>
        <v>110192.22904352001</v>
      </c>
    </row>
    <row r="18" spans="2:23" x14ac:dyDescent="0.3">
      <c r="B18" s="63"/>
      <c r="C18" s="20"/>
      <c r="D18" s="20"/>
      <c r="E18" s="64"/>
      <c r="F18" s="65"/>
      <c r="G18" s="55"/>
      <c r="H18" s="55"/>
      <c r="I18" s="66"/>
      <c r="J18" s="66"/>
      <c r="K18" s="66"/>
      <c r="L18" s="66"/>
      <c r="M18" s="67"/>
      <c r="O18" s="1" t="s">
        <v>39</v>
      </c>
      <c r="P18" s="62">
        <f>K14</f>
        <v>125507.8416</v>
      </c>
    </row>
    <row r="19" spans="2:23" x14ac:dyDescent="0.3">
      <c r="B19" s="68">
        <v>531141</v>
      </c>
      <c r="C19" s="69" t="s">
        <v>40</v>
      </c>
      <c r="D19" s="69"/>
      <c r="E19" s="70" t="s">
        <v>41</v>
      </c>
      <c r="F19" s="71"/>
      <c r="G19" s="72" t="s">
        <v>42</v>
      </c>
      <c r="H19" s="73"/>
      <c r="I19" s="73" t="s">
        <v>43</v>
      </c>
      <c r="J19" s="73"/>
      <c r="K19" s="73"/>
      <c r="L19" s="73" t="s">
        <v>44</v>
      </c>
      <c r="M19" s="74">
        <f>SUM(L20:L20)</f>
        <v>1500</v>
      </c>
      <c r="P19" s="62"/>
    </row>
    <row r="20" spans="2:23" x14ac:dyDescent="0.3">
      <c r="B20" s="63"/>
      <c r="C20" s="75" t="s">
        <v>45</v>
      </c>
      <c r="D20" s="76"/>
      <c r="E20" s="77">
        <v>3</v>
      </c>
      <c r="F20" s="78"/>
      <c r="G20" s="79" t="s">
        <v>46</v>
      </c>
      <c r="H20" s="79"/>
      <c r="I20" s="79">
        <v>500</v>
      </c>
      <c r="J20" s="79"/>
      <c r="K20" s="79"/>
      <c r="L20" s="80">
        <f>I20*E20</f>
        <v>1500</v>
      </c>
      <c r="M20" s="81"/>
      <c r="P20" s="62"/>
    </row>
    <row r="21" spans="2:23" x14ac:dyDescent="0.3">
      <c r="B21" s="63"/>
      <c r="C21" s="75"/>
      <c r="D21" s="76"/>
      <c r="E21" s="77"/>
      <c r="F21" s="78"/>
      <c r="G21" s="79"/>
      <c r="H21" s="79"/>
      <c r="I21" s="79"/>
      <c r="J21" s="79"/>
      <c r="K21" s="79"/>
      <c r="L21" s="80"/>
      <c r="M21" s="81"/>
      <c r="O21" s="1" t="s">
        <v>47</v>
      </c>
      <c r="P21" s="62">
        <v>5000</v>
      </c>
    </row>
    <row r="22" spans="2:23" x14ac:dyDescent="0.3">
      <c r="B22" s="68">
        <v>541111</v>
      </c>
      <c r="C22" s="69" t="s">
        <v>48</v>
      </c>
      <c r="D22" s="69"/>
      <c r="E22" s="70"/>
      <c r="F22" s="71"/>
      <c r="G22" s="72"/>
      <c r="H22" s="73"/>
      <c r="I22" s="73"/>
      <c r="J22" s="73"/>
      <c r="K22" s="73"/>
      <c r="L22" s="73"/>
      <c r="M22" s="74">
        <f>L23</f>
        <v>600</v>
      </c>
      <c r="O22" s="1" t="s">
        <v>49</v>
      </c>
      <c r="P22" s="62">
        <v>5000</v>
      </c>
    </row>
    <row r="23" spans="2:23" x14ac:dyDescent="0.3">
      <c r="B23" s="63"/>
      <c r="C23" s="48" t="s">
        <v>50</v>
      </c>
      <c r="D23" s="48"/>
      <c r="E23" s="82">
        <v>12</v>
      </c>
      <c r="F23" s="83"/>
      <c r="G23" s="84" t="s">
        <v>51</v>
      </c>
      <c r="H23" s="84"/>
      <c r="I23" s="85">
        <v>50</v>
      </c>
      <c r="J23" s="85"/>
      <c r="K23" s="85"/>
      <c r="L23" s="86">
        <f>I23*E23</f>
        <v>600</v>
      </c>
      <c r="M23" s="81"/>
      <c r="P23" s="62"/>
    </row>
    <row r="24" spans="2:23" x14ac:dyDescent="0.3">
      <c r="B24" s="63"/>
      <c r="C24" s="87" t="s">
        <v>52</v>
      </c>
      <c r="D24" s="76"/>
      <c r="E24" s="77"/>
      <c r="F24" s="78"/>
      <c r="G24" s="79"/>
      <c r="H24" s="79"/>
      <c r="I24" s="79"/>
      <c r="J24" s="79"/>
      <c r="K24" s="79"/>
      <c r="L24" s="80"/>
      <c r="M24" s="81"/>
      <c r="O24" s="1" t="s">
        <v>53</v>
      </c>
      <c r="P24" s="62"/>
      <c r="W24" s="34">
        <f>T8+W8</f>
        <v>30862</v>
      </c>
    </row>
    <row r="25" spans="2:23" x14ac:dyDescent="0.3">
      <c r="B25" s="63"/>
      <c r="M25" s="81"/>
      <c r="O25" s="1" t="s">
        <v>54</v>
      </c>
      <c r="P25" s="62"/>
    </row>
    <row r="26" spans="2:23" x14ac:dyDescent="0.3">
      <c r="B26" s="68">
        <v>541121</v>
      </c>
      <c r="C26" s="69" t="s">
        <v>55</v>
      </c>
      <c r="D26" s="69"/>
      <c r="E26" s="70" t="s">
        <v>41</v>
      </c>
      <c r="F26" s="71"/>
      <c r="G26" s="72" t="s">
        <v>42</v>
      </c>
      <c r="H26" s="73"/>
      <c r="I26" s="73" t="s">
        <v>43</v>
      </c>
      <c r="J26" s="73"/>
      <c r="K26" s="73"/>
      <c r="L26" s="73" t="s">
        <v>44</v>
      </c>
      <c r="M26" s="74">
        <f>SUM(L27:L27)</f>
        <v>3704</v>
      </c>
      <c r="P26" s="62"/>
    </row>
    <row r="27" spans="2:23" x14ac:dyDescent="0.3">
      <c r="B27" s="47"/>
      <c r="C27" s="20" t="s">
        <v>56</v>
      </c>
      <c r="D27" s="48"/>
      <c r="E27" s="82">
        <v>12</v>
      </c>
      <c r="F27" s="83"/>
      <c r="G27" s="85" t="s">
        <v>57</v>
      </c>
      <c r="H27" s="85"/>
      <c r="I27" s="85">
        <v>300</v>
      </c>
      <c r="J27" s="85"/>
      <c r="K27" s="85"/>
      <c r="L27" s="86">
        <v>3704</v>
      </c>
      <c r="M27" s="81"/>
      <c r="O27" s="1" t="s">
        <v>58</v>
      </c>
      <c r="P27" s="62">
        <f>SUM(P18:P25)</f>
        <v>135507.84159999999</v>
      </c>
    </row>
    <row r="28" spans="2:23" x14ac:dyDescent="0.3">
      <c r="B28" s="47"/>
      <c r="C28" s="20"/>
      <c r="D28" s="48"/>
      <c r="E28" s="82"/>
      <c r="F28" s="83"/>
      <c r="G28" s="85"/>
      <c r="H28" s="85"/>
      <c r="I28" s="85"/>
      <c r="J28" s="85"/>
      <c r="K28" s="85"/>
      <c r="L28" s="86"/>
      <c r="M28" s="81"/>
      <c r="O28" s="1" t="s">
        <v>59</v>
      </c>
      <c r="P28" s="1">
        <v>1.2038</v>
      </c>
    </row>
    <row r="29" spans="2:23" x14ac:dyDescent="0.3">
      <c r="B29" s="68">
        <v>541161</v>
      </c>
      <c r="C29" s="69" t="s">
        <v>60</v>
      </c>
      <c r="D29" s="69"/>
      <c r="E29" s="70" t="s">
        <v>41</v>
      </c>
      <c r="F29" s="71"/>
      <c r="G29" s="72" t="s">
        <v>42</v>
      </c>
      <c r="H29" s="73"/>
      <c r="I29" s="73" t="s">
        <v>43</v>
      </c>
      <c r="J29" s="73"/>
      <c r="K29" s="73"/>
      <c r="L29" s="73" t="s">
        <v>44</v>
      </c>
      <c r="M29" s="74">
        <f>L30</f>
        <v>1000</v>
      </c>
      <c r="O29" s="89" t="s">
        <v>38</v>
      </c>
      <c r="P29" s="90">
        <f>P28*P27</f>
        <v>163124.33971807998</v>
      </c>
    </row>
    <row r="30" spans="2:23" x14ac:dyDescent="0.3">
      <c r="B30" s="91"/>
      <c r="C30" s="20" t="s">
        <v>61</v>
      </c>
      <c r="D30" s="20"/>
      <c r="E30" s="82">
        <v>1</v>
      </c>
      <c r="F30" s="83"/>
      <c r="G30" s="85" t="s">
        <v>62</v>
      </c>
      <c r="H30" s="85"/>
      <c r="I30" s="85">
        <v>1000</v>
      </c>
      <c r="J30" s="85"/>
      <c r="K30" s="85"/>
      <c r="L30" s="85">
        <f>I30*E30</f>
        <v>1000</v>
      </c>
      <c r="M30" s="81"/>
    </row>
    <row r="31" spans="2:23" x14ac:dyDescent="0.3">
      <c r="B31" s="91"/>
      <c r="C31" s="20"/>
      <c r="D31" s="20"/>
      <c r="E31" s="82"/>
      <c r="F31" s="83"/>
      <c r="G31" s="85"/>
      <c r="H31" s="85"/>
      <c r="I31" s="85"/>
      <c r="J31" s="85"/>
      <c r="K31" s="85"/>
      <c r="L31" s="85"/>
      <c r="M31" s="81"/>
      <c r="P31" s="62"/>
    </row>
    <row r="32" spans="2:23" x14ac:dyDescent="0.3">
      <c r="B32" s="68">
        <v>551111</v>
      </c>
      <c r="C32" s="69" t="s">
        <v>63</v>
      </c>
      <c r="D32" s="69"/>
      <c r="E32" s="70" t="s">
        <v>41</v>
      </c>
      <c r="F32" s="71"/>
      <c r="G32" s="72" t="s">
        <v>42</v>
      </c>
      <c r="H32" s="73"/>
      <c r="I32" s="73" t="s">
        <v>43</v>
      </c>
      <c r="J32" s="73"/>
      <c r="K32" s="73"/>
      <c r="L32" s="73" t="s">
        <v>44</v>
      </c>
      <c r="M32" s="74">
        <f>SUM(L33:L35)</f>
        <v>3600</v>
      </c>
      <c r="O32" s="92" t="s">
        <v>64</v>
      </c>
      <c r="P32" s="62">
        <f>P17-P29</f>
        <v>-52932.110674559968</v>
      </c>
    </row>
    <row r="33" spans="2:16" x14ac:dyDescent="0.3">
      <c r="B33" s="47"/>
      <c r="C33" s="93" t="s">
        <v>65</v>
      </c>
      <c r="D33" s="48"/>
      <c r="E33" s="82">
        <v>1</v>
      </c>
      <c r="F33" s="83"/>
      <c r="G33" s="84" t="s">
        <v>51</v>
      </c>
      <c r="H33" s="84"/>
      <c r="I33" s="85">
        <v>3200</v>
      </c>
      <c r="J33" s="85"/>
      <c r="K33" s="85"/>
      <c r="L33" s="86">
        <f>I33*E33</f>
        <v>3200</v>
      </c>
      <c r="M33" s="81"/>
      <c r="O33" s="1" t="s">
        <v>66</v>
      </c>
      <c r="P33" s="62">
        <f>'Draft 2014 BOR Budget'!M62</f>
        <v>40794.243426559995</v>
      </c>
    </row>
    <row r="34" spans="2:16" x14ac:dyDescent="0.3">
      <c r="B34" s="47"/>
      <c r="C34" s="93" t="s">
        <v>67</v>
      </c>
      <c r="D34" s="48"/>
      <c r="E34" s="82">
        <v>4</v>
      </c>
      <c r="F34" s="83"/>
      <c r="G34" s="85" t="s">
        <v>68</v>
      </c>
      <c r="H34" s="85"/>
      <c r="I34" s="85">
        <v>100</v>
      </c>
      <c r="J34" s="85"/>
      <c r="K34" s="85"/>
      <c r="L34" s="86">
        <f>I34*E34</f>
        <v>400</v>
      </c>
      <c r="M34" s="81"/>
      <c r="P34" s="94">
        <f>P32+P33</f>
        <v>-12137.867247999973</v>
      </c>
    </row>
    <row r="35" spans="2:16" x14ac:dyDescent="0.3">
      <c r="B35" s="47"/>
      <c r="C35" s="93"/>
      <c r="D35" s="48"/>
      <c r="E35" s="82"/>
      <c r="F35" s="83"/>
      <c r="G35" s="85"/>
      <c r="H35" s="85"/>
      <c r="I35" s="85"/>
      <c r="J35" s="85"/>
      <c r="K35" s="85"/>
      <c r="L35" s="86"/>
      <c r="M35" s="81"/>
    </row>
    <row r="36" spans="2:16" x14ac:dyDescent="0.3">
      <c r="B36" s="68">
        <v>551291</v>
      </c>
      <c r="C36" s="69" t="s">
        <v>69</v>
      </c>
      <c r="D36" s="95" t="s">
        <v>70</v>
      </c>
      <c r="E36" s="70" t="s">
        <v>41</v>
      </c>
      <c r="F36" s="71"/>
      <c r="G36" s="72" t="s">
        <v>42</v>
      </c>
      <c r="H36" s="73"/>
      <c r="I36" s="73" t="s">
        <v>43</v>
      </c>
      <c r="J36" s="73"/>
      <c r="K36" s="73"/>
      <c r="L36" s="73" t="s">
        <v>44</v>
      </c>
      <c r="M36" s="74">
        <f>SUM(L38:L43)</f>
        <v>19780</v>
      </c>
      <c r="O36" s="92" t="s">
        <v>71</v>
      </c>
      <c r="P36" s="94">
        <f>O80</f>
        <v>0.37114367994945496</v>
      </c>
    </row>
    <row r="37" spans="2:16" ht="21" thickBot="1" x14ac:dyDescent="0.35">
      <c r="B37" s="47"/>
      <c r="C37" s="48" t="s">
        <v>72</v>
      </c>
      <c r="D37" s="96"/>
      <c r="E37" s="82"/>
      <c r="F37" s="83"/>
      <c r="G37" s="85"/>
      <c r="H37" s="85"/>
      <c r="I37" s="86"/>
      <c r="J37" s="86"/>
      <c r="K37" s="86"/>
      <c r="L37" s="97"/>
      <c r="M37" s="81"/>
    </row>
    <row r="38" spans="2:16" x14ac:dyDescent="0.3">
      <c r="B38" s="91"/>
      <c r="C38" s="98" t="s">
        <v>73</v>
      </c>
      <c r="D38" s="99"/>
      <c r="E38" s="100">
        <v>12</v>
      </c>
      <c r="F38" s="101"/>
      <c r="G38" s="102" t="s">
        <v>51</v>
      </c>
      <c r="H38" s="102"/>
      <c r="I38" s="102">
        <v>313</v>
      </c>
      <c r="J38" s="102"/>
      <c r="K38" s="102"/>
      <c r="L38" s="103">
        <f>I38*E38</f>
        <v>3756</v>
      </c>
      <c r="M38" s="81"/>
    </row>
    <row r="39" spans="2:16" ht="21" thickBot="1" x14ac:dyDescent="0.35">
      <c r="B39" s="91"/>
      <c r="C39" s="104" t="s">
        <v>74</v>
      </c>
      <c r="D39" s="105">
        <v>10000</v>
      </c>
      <c r="E39" s="106" t="s">
        <v>62</v>
      </c>
      <c r="F39" s="107"/>
      <c r="G39" s="108" t="s">
        <v>75</v>
      </c>
      <c r="H39" s="108"/>
      <c r="I39" s="109">
        <v>0.3</v>
      </c>
      <c r="J39" s="109"/>
      <c r="K39" s="109"/>
      <c r="L39" s="110">
        <f>I39*D39</f>
        <v>3000</v>
      </c>
      <c r="M39" s="81"/>
    </row>
    <row r="40" spans="2:16" ht="26.25" customHeight="1" x14ac:dyDescent="0.3">
      <c r="B40" s="111"/>
      <c r="C40" s="112" t="s">
        <v>76</v>
      </c>
      <c r="D40" s="99"/>
      <c r="E40" s="100">
        <v>12</v>
      </c>
      <c r="F40" s="101"/>
      <c r="G40" s="102" t="s">
        <v>51</v>
      </c>
      <c r="H40" s="102"/>
      <c r="I40" s="113">
        <v>313</v>
      </c>
      <c r="J40" s="113"/>
      <c r="K40" s="113"/>
      <c r="L40" s="103">
        <f>I40*E40</f>
        <v>3756</v>
      </c>
      <c r="M40" s="81"/>
    </row>
    <row r="41" spans="2:16" ht="21" thickBot="1" x14ac:dyDescent="0.35">
      <c r="B41" s="111"/>
      <c r="C41" s="114"/>
      <c r="D41" s="105">
        <v>12000</v>
      </c>
      <c r="E41" s="106" t="s">
        <v>62</v>
      </c>
      <c r="F41" s="107"/>
      <c r="G41" s="108" t="s">
        <v>75</v>
      </c>
      <c r="H41" s="108"/>
      <c r="I41" s="109">
        <v>0.31</v>
      </c>
      <c r="J41" s="109"/>
      <c r="K41" s="109"/>
      <c r="L41" s="110">
        <f>I41*D41</f>
        <v>3720</v>
      </c>
      <c r="M41" s="81"/>
    </row>
    <row r="42" spans="2:16" ht="28.5" customHeight="1" x14ac:dyDescent="0.3">
      <c r="B42" s="111"/>
      <c r="C42" s="112" t="s">
        <v>77</v>
      </c>
      <c r="D42" s="99"/>
      <c r="E42" s="100">
        <v>12</v>
      </c>
      <c r="F42" s="101"/>
      <c r="G42" s="102" t="s">
        <v>51</v>
      </c>
      <c r="H42" s="102"/>
      <c r="I42" s="113">
        <v>254</v>
      </c>
      <c r="J42" s="113"/>
      <c r="K42" s="113"/>
      <c r="L42" s="103">
        <f>I42*E42</f>
        <v>3048</v>
      </c>
      <c r="M42" s="81"/>
    </row>
    <row r="43" spans="2:16" ht="25.5" customHeight="1" thickBot="1" x14ac:dyDescent="0.35">
      <c r="B43" s="111"/>
      <c r="C43" s="114" t="s">
        <v>78</v>
      </c>
      <c r="D43" s="105">
        <v>10000</v>
      </c>
      <c r="E43" s="106" t="s">
        <v>62</v>
      </c>
      <c r="F43" s="107"/>
      <c r="G43" s="108" t="s">
        <v>75</v>
      </c>
      <c r="H43" s="108"/>
      <c r="I43" s="109">
        <v>0.25</v>
      </c>
      <c r="J43" s="109"/>
      <c r="K43" s="109"/>
      <c r="L43" s="110">
        <f>I43*D43</f>
        <v>2500</v>
      </c>
      <c r="M43" s="81"/>
    </row>
    <row r="44" spans="2:16" hidden="1" x14ac:dyDescent="0.3">
      <c r="B44" s="115"/>
      <c r="C44" s="116" t="s">
        <v>79</v>
      </c>
      <c r="D44" s="116"/>
      <c r="E44" s="117"/>
      <c r="F44" s="118"/>
      <c r="G44" s="119"/>
      <c r="H44" s="119"/>
      <c r="I44" s="120"/>
      <c r="J44" s="120"/>
      <c r="K44" s="120"/>
      <c r="L44" s="121"/>
      <c r="M44" s="122">
        <f>SUM(L45)</f>
        <v>0</v>
      </c>
    </row>
    <row r="45" spans="2:16" hidden="1" x14ac:dyDescent="0.3">
      <c r="B45" s="123"/>
      <c r="C45" s="124"/>
      <c r="D45" s="124"/>
      <c r="E45" s="125"/>
      <c r="F45" s="126"/>
      <c r="G45" s="120"/>
      <c r="H45" s="120"/>
      <c r="I45" s="120"/>
      <c r="J45" s="120"/>
      <c r="K45" s="120"/>
      <c r="L45" s="119"/>
      <c r="M45" s="122"/>
    </row>
    <row r="46" spans="2:16" hidden="1" x14ac:dyDescent="0.3">
      <c r="B46" s="115">
        <v>561111</v>
      </c>
      <c r="C46" s="127" t="s">
        <v>80</v>
      </c>
      <c r="D46" s="128"/>
      <c r="E46" s="117" t="s">
        <v>41</v>
      </c>
      <c r="F46" s="118"/>
      <c r="G46" s="119" t="s">
        <v>42</v>
      </c>
      <c r="H46" s="119"/>
      <c r="I46" s="119" t="s">
        <v>43</v>
      </c>
      <c r="J46" s="119"/>
      <c r="K46" s="119"/>
      <c r="L46" s="119" t="s">
        <v>44</v>
      </c>
      <c r="M46" s="129">
        <f>L47</f>
        <v>0</v>
      </c>
    </row>
    <row r="47" spans="2:16" hidden="1" x14ac:dyDescent="0.3">
      <c r="B47" s="130"/>
      <c r="C47" s="124"/>
      <c r="D47" s="131"/>
      <c r="E47" s="125"/>
      <c r="F47" s="126"/>
      <c r="G47" s="120"/>
      <c r="H47" s="120"/>
      <c r="I47" s="120"/>
      <c r="J47" s="120"/>
      <c r="K47" s="120"/>
      <c r="L47" s="119"/>
      <c r="M47" s="132"/>
    </row>
    <row r="48" spans="2:16" hidden="1" x14ac:dyDescent="0.3">
      <c r="B48" s="115">
        <v>561121</v>
      </c>
      <c r="C48" s="127" t="s">
        <v>81</v>
      </c>
      <c r="D48" s="128"/>
      <c r="E48" s="117" t="s">
        <v>41</v>
      </c>
      <c r="F48" s="118"/>
      <c r="G48" s="119" t="s">
        <v>42</v>
      </c>
      <c r="H48" s="119"/>
      <c r="I48" s="119" t="s">
        <v>43</v>
      </c>
      <c r="J48" s="119"/>
      <c r="K48" s="119"/>
      <c r="L48" s="119" t="s">
        <v>44</v>
      </c>
      <c r="M48" s="129">
        <f>L49</f>
        <v>0</v>
      </c>
    </row>
    <row r="49" spans="2:13" hidden="1" x14ac:dyDescent="0.3">
      <c r="B49" s="130"/>
      <c r="C49" s="124"/>
      <c r="D49" s="131"/>
      <c r="E49" s="125"/>
      <c r="F49" s="126"/>
      <c r="G49" s="120"/>
      <c r="H49" s="120"/>
      <c r="I49" s="120"/>
      <c r="J49" s="120"/>
      <c r="K49" s="120"/>
      <c r="L49" s="119"/>
      <c r="M49" s="132"/>
    </row>
    <row r="50" spans="2:13" hidden="1" x14ac:dyDescent="0.3">
      <c r="B50" s="115">
        <v>561131</v>
      </c>
      <c r="C50" s="127" t="s">
        <v>82</v>
      </c>
      <c r="D50" s="128"/>
      <c r="E50" s="117" t="s">
        <v>41</v>
      </c>
      <c r="F50" s="118"/>
      <c r="G50" s="119" t="s">
        <v>42</v>
      </c>
      <c r="H50" s="119"/>
      <c r="I50" s="119" t="s">
        <v>43</v>
      </c>
      <c r="J50" s="119"/>
      <c r="K50" s="119"/>
      <c r="L50" s="119" t="s">
        <v>44</v>
      </c>
      <c r="M50" s="129">
        <f>L51</f>
        <v>0</v>
      </c>
    </row>
    <row r="51" spans="2:13" hidden="1" x14ac:dyDescent="0.3">
      <c r="B51" s="130"/>
      <c r="C51" s="124"/>
      <c r="D51" s="131"/>
      <c r="E51" s="125"/>
      <c r="F51" s="126"/>
      <c r="G51" s="120"/>
      <c r="H51" s="120"/>
      <c r="I51" s="120"/>
      <c r="J51" s="120"/>
      <c r="K51" s="120"/>
      <c r="L51" s="119"/>
      <c r="M51" s="132"/>
    </row>
    <row r="52" spans="2:13" hidden="1" x14ac:dyDescent="0.3">
      <c r="B52" s="115">
        <v>561141</v>
      </c>
      <c r="C52" s="127" t="s">
        <v>83</v>
      </c>
      <c r="D52" s="128"/>
      <c r="E52" s="117" t="s">
        <v>41</v>
      </c>
      <c r="F52" s="118"/>
      <c r="G52" s="119" t="s">
        <v>42</v>
      </c>
      <c r="H52" s="119"/>
      <c r="I52" s="119" t="s">
        <v>43</v>
      </c>
      <c r="J52" s="119"/>
      <c r="K52" s="119"/>
      <c r="L52" s="119" t="s">
        <v>44</v>
      </c>
      <c r="M52" s="129">
        <f>L53</f>
        <v>0</v>
      </c>
    </row>
    <row r="53" spans="2:13" hidden="1" x14ac:dyDescent="0.3">
      <c r="B53" s="130"/>
      <c r="C53" s="124"/>
      <c r="D53" s="131"/>
      <c r="E53" s="125"/>
      <c r="F53" s="126"/>
      <c r="G53" s="120"/>
      <c r="H53" s="120"/>
      <c r="I53" s="120"/>
      <c r="J53" s="120"/>
      <c r="K53" s="120"/>
      <c r="L53" s="119"/>
      <c r="M53" s="132"/>
    </row>
    <row r="54" spans="2:13" hidden="1" x14ac:dyDescent="0.3">
      <c r="B54" s="115">
        <v>561161</v>
      </c>
      <c r="C54" s="127" t="s">
        <v>84</v>
      </c>
      <c r="D54" s="128"/>
      <c r="E54" s="117" t="s">
        <v>41</v>
      </c>
      <c r="F54" s="118"/>
      <c r="G54" s="119" t="s">
        <v>42</v>
      </c>
      <c r="H54" s="119"/>
      <c r="I54" s="119" t="s">
        <v>43</v>
      </c>
      <c r="J54" s="119"/>
      <c r="K54" s="119"/>
      <c r="L54" s="119" t="s">
        <v>44</v>
      </c>
      <c r="M54" s="129">
        <f>L55</f>
        <v>0</v>
      </c>
    </row>
    <row r="55" spans="2:13" hidden="1" x14ac:dyDescent="0.3">
      <c r="B55" s="123"/>
      <c r="C55" s="124"/>
      <c r="D55" s="124"/>
      <c r="E55" s="125"/>
      <c r="F55" s="126"/>
      <c r="G55" s="120"/>
      <c r="H55" s="120"/>
      <c r="I55" s="133"/>
      <c r="J55" s="133"/>
      <c r="K55" s="133"/>
      <c r="L55" s="119"/>
      <c r="M55" s="122"/>
    </row>
    <row r="56" spans="2:13" hidden="1" x14ac:dyDescent="0.3">
      <c r="B56" s="115">
        <v>561171</v>
      </c>
      <c r="C56" s="127" t="s">
        <v>85</v>
      </c>
      <c r="D56" s="128" t="s">
        <v>37</v>
      </c>
      <c r="E56" s="117" t="s">
        <v>41</v>
      </c>
      <c r="F56" s="118"/>
      <c r="G56" s="119" t="s">
        <v>42</v>
      </c>
      <c r="H56" s="119"/>
      <c r="I56" s="119" t="s">
        <v>43</v>
      </c>
      <c r="J56" s="119"/>
      <c r="K56" s="119"/>
      <c r="L56" s="119" t="s">
        <v>44</v>
      </c>
      <c r="M56" s="129">
        <f>L57</f>
        <v>0</v>
      </c>
    </row>
    <row r="57" spans="2:13" x14ac:dyDescent="0.3">
      <c r="B57" s="63"/>
      <c r="C57" s="20"/>
      <c r="D57" s="20"/>
      <c r="E57" s="82"/>
      <c r="F57" s="83"/>
      <c r="G57" s="85"/>
      <c r="H57" s="85"/>
      <c r="I57" s="85"/>
      <c r="J57" s="85"/>
      <c r="K57" s="85"/>
      <c r="L57" s="86"/>
      <c r="M57" s="81"/>
    </row>
    <row r="58" spans="2:13" x14ac:dyDescent="0.3">
      <c r="B58" s="42">
        <v>561175</v>
      </c>
      <c r="C58" s="134" t="s">
        <v>86</v>
      </c>
      <c r="D58" s="135" t="s">
        <v>87</v>
      </c>
      <c r="E58" s="136" t="s">
        <v>41</v>
      </c>
      <c r="F58" s="137"/>
      <c r="G58" s="138" t="s">
        <v>42</v>
      </c>
      <c r="H58" s="138"/>
      <c r="I58" s="138" t="s">
        <v>43</v>
      </c>
      <c r="J58" s="138"/>
      <c r="K58" s="138"/>
      <c r="L58" s="138" t="s">
        <v>44</v>
      </c>
      <c r="M58" s="46">
        <f>SUM(L59:L62)</f>
        <v>5520</v>
      </c>
    </row>
    <row r="59" spans="2:13" x14ac:dyDescent="0.3">
      <c r="B59" s="47"/>
      <c r="C59" s="20" t="s">
        <v>88</v>
      </c>
      <c r="D59" s="139">
        <v>1</v>
      </c>
      <c r="E59" s="82">
        <v>12</v>
      </c>
      <c r="F59" s="83"/>
      <c r="G59" s="85" t="s">
        <v>51</v>
      </c>
      <c r="H59" s="85"/>
      <c r="I59" s="85">
        <v>125</v>
      </c>
      <c r="J59" s="85"/>
      <c r="K59" s="85"/>
      <c r="L59" s="86">
        <f>(I59*E59)*D59</f>
        <v>1500</v>
      </c>
      <c r="M59" s="81"/>
    </row>
    <row r="60" spans="2:13" x14ac:dyDescent="0.3">
      <c r="B60" s="47"/>
      <c r="C60" s="20" t="s">
        <v>89</v>
      </c>
      <c r="D60" s="139">
        <v>1</v>
      </c>
      <c r="E60" s="82">
        <v>12</v>
      </c>
      <c r="F60" s="83"/>
      <c r="G60" s="85" t="s">
        <v>51</v>
      </c>
      <c r="H60" s="85"/>
      <c r="I60" s="85">
        <v>125</v>
      </c>
      <c r="J60" s="85"/>
      <c r="K60" s="85"/>
      <c r="L60" s="86">
        <f>(I60*E60)*D60</f>
        <v>1500</v>
      </c>
      <c r="M60" s="81"/>
    </row>
    <row r="61" spans="2:13" x14ac:dyDescent="0.3">
      <c r="B61" s="47"/>
      <c r="C61" s="20" t="s">
        <v>90</v>
      </c>
      <c r="D61" s="139">
        <v>1</v>
      </c>
      <c r="E61" s="82">
        <v>12</v>
      </c>
      <c r="F61" s="83"/>
      <c r="G61" s="85" t="s">
        <v>51</v>
      </c>
      <c r="H61" s="85"/>
      <c r="I61" s="85">
        <v>105</v>
      </c>
      <c r="J61" s="85"/>
      <c r="K61" s="85"/>
      <c r="L61" s="86">
        <f>(I61*E61)*D61</f>
        <v>1260</v>
      </c>
      <c r="M61" s="81"/>
    </row>
    <row r="62" spans="2:13" x14ac:dyDescent="0.3">
      <c r="B62" s="47"/>
      <c r="C62" s="20" t="s">
        <v>91</v>
      </c>
      <c r="D62" s="139">
        <v>1</v>
      </c>
      <c r="E62" s="82">
        <v>12</v>
      </c>
      <c r="F62" s="83"/>
      <c r="G62" s="85" t="s">
        <v>51</v>
      </c>
      <c r="H62" s="85"/>
      <c r="I62" s="85">
        <v>105</v>
      </c>
      <c r="J62" s="85"/>
      <c r="K62" s="85"/>
      <c r="L62" s="86">
        <f>E62*I62</f>
        <v>1260</v>
      </c>
      <c r="M62" s="81"/>
    </row>
    <row r="63" spans="2:13" x14ac:dyDescent="0.3">
      <c r="B63" s="47"/>
      <c r="C63" s="20"/>
      <c r="D63" s="139"/>
      <c r="E63" s="82"/>
      <c r="F63" s="83"/>
      <c r="G63" s="85"/>
      <c r="H63" s="85"/>
      <c r="I63" s="85"/>
      <c r="J63" s="85"/>
      <c r="K63" s="85"/>
      <c r="L63" s="86"/>
      <c r="M63" s="81"/>
    </row>
    <row r="64" spans="2:13" x14ac:dyDescent="0.3">
      <c r="B64" s="42">
        <v>571111</v>
      </c>
      <c r="C64" s="134" t="s">
        <v>92</v>
      </c>
      <c r="D64" s="135"/>
      <c r="E64" s="136" t="s">
        <v>41</v>
      </c>
      <c r="F64" s="137"/>
      <c r="G64" s="138" t="s">
        <v>42</v>
      </c>
      <c r="H64" s="138"/>
      <c r="I64" s="138" t="s">
        <v>43</v>
      </c>
      <c r="J64" s="138"/>
      <c r="K64" s="138"/>
      <c r="L64" s="138" t="s">
        <v>44</v>
      </c>
      <c r="M64" s="46">
        <f>SUM(L65:L66)</f>
        <v>1230</v>
      </c>
    </row>
    <row r="65" spans="2:17" ht="21" customHeight="1" x14ac:dyDescent="0.3">
      <c r="B65" s="140"/>
      <c r="C65" s="141"/>
      <c r="D65" s="142"/>
      <c r="E65" s="143"/>
      <c r="F65" s="144"/>
      <c r="G65" s="86"/>
      <c r="H65" s="86"/>
      <c r="I65" s="86"/>
      <c r="J65" s="86"/>
      <c r="K65" s="86"/>
      <c r="L65" s="86"/>
      <c r="M65" s="81"/>
    </row>
    <row r="66" spans="2:17" ht="83.25" customHeight="1" x14ac:dyDescent="0.3">
      <c r="B66" s="140"/>
      <c r="C66" s="141" t="s">
        <v>93</v>
      </c>
      <c r="D66" s="48"/>
      <c r="E66" s="143">
        <v>3</v>
      </c>
      <c r="F66" s="144"/>
      <c r="G66" s="86" t="s">
        <v>94</v>
      </c>
      <c r="H66" s="86"/>
      <c r="I66" s="86">
        <v>410</v>
      </c>
      <c r="J66" s="86"/>
      <c r="K66" s="86"/>
      <c r="L66" s="86">
        <f>E66*I66</f>
        <v>1230</v>
      </c>
      <c r="M66" s="145"/>
    </row>
    <row r="67" spans="2:17" x14ac:dyDescent="0.3">
      <c r="B67" s="42">
        <v>581141</v>
      </c>
      <c r="C67" s="134" t="s">
        <v>95</v>
      </c>
      <c r="D67" s="135"/>
      <c r="E67" s="136" t="s">
        <v>41</v>
      </c>
      <c r="F67" s="137"/>
      <c r="G67" s="138" t="s">
        <v>42</v>
      </c>
      <c r="H67" s="138"/>
      <c r="I67" s="138" t="s">
        <v>43</v>
      </c>
      <c r="J67" s="138"/>
      <c r="K67" s="138"/>
      <c r="L67" s="138" t="s">
        <v>44</v>
      </c>
      <c r="M67" s="46">
        <f>SUM(L68:L75)</f>
        <v>8297</v>
      </c>
    </row>
    <row r="68" spans="2:17" x14ac:dyDescent="0.3">
      <c r="B68" s="47"/>
      <c r="C68" s="48" t="s">
        <v>96</v>
      </c>
      <c r="D68" s="48"/>
      <c r="E68" s="143"/>
      <c r="F68" s="144"/>
      <c r="G68" s="86"/>
      <c r="H68" s="86"/>
      <c r="I68" s="85"/>
      <c r="J68" s="85"/>
      <c r="K68" s="85"/>
      <c r="L68" s="86"/>
      <c r="M68" s="81"/>
    </row>
    <row r="69" spans="2:17" x14ac:dyDescent="0.3">
      <c r="B69" s="47"/>
      <c r="C69" s="55" t="s">
        <v>97</v>
      </c>
      <c r="D69" s="139" t="s">
        <v>98</v>
      </c>
      <c r="E69" s="82">
        <v>6</v>
      </c>
      <c r="F69" s="83"/>
      <c r="G69" s="85" t="s">
        <v>99</v>
      </c>
      <c r="H69" s="85"/>
      <c r="I69" s="85">
        <v>120</v>
      </c>
      <c r="J69" s="85"/>
      <c r="K69" s="85"/>
      <c r="L69" s="86">
        <f t="shared" ref="L69:L74" si="4">E69*I69</f>
        <v>720</v>
      </c>
      <c r="M69" s="81"/>
    </row>
    <row r="70" spans="2:17" x14ac:dyDescent="0.3">
      <c r="B70" s="146"/>
      <c r="C70" s="55" t="s">
        <v>97</v>
      </c>
      <c r="D70" s="139" t="s">
        <v>100</v>
      </c>
      <c r="E70" s="82">
        <v>12</v>
      </c>
      <c r="F70" s="83"/>
      <c r="G70" s="85" t="s">
        <v>101</v>
      </c>
      <c r="H70" s="85"/>
      <c r="I70" s="85">
        <v>46</v>
      </c>
      <c r="J70" s="85"/>
      <c r="K70" s="85"/>
      <c r="L70" s="86">
        <f t="shared" si="4"/>
        <v>552</v>
      </c>
      <c r="M70" s="147"/>
    </row>
    <row r="71" spans="2:17" x14ac:dyDescent="0.3">
      <c r="B71" s="47"/>
      <c r="C71" s="55" t="s">
        <v>40</v>
      </c>
      <c r="D71" s="139" t="s">
        <v>98</v>
      </c>
      <c r="E71" s="82">
        <v>8</v>
      </c>
      <c r="F71" s="83"/>
      <c r="G71" s="85" t="s">
        <v>99</v>
      </c>
      <c r="H71" s="85"/>
      <c r="I71" s="85">
        <v>77</v>
      </c>
      <c r="J71" s="85"/>
      <c r="K71" s="85"/>
      <c r="L71" s="86">
        <f t="shared" si="4"/>
        <v>616</v>
      </c>
      <c r="M71" s="81"/>
    </row>
    <row r="72" spans="2:17" x14ac:dyDescent="0.3">
      <c r="B72" s="47"/>
      <c r="C72" s="55" t="s">
        <v>40</v>
      </c>
      <c r="D72" s="139" t="s">
        <v>100</v>
      </c>
      <c r="E72" s="82">
        <v>14</v>
      </c>
      <c r="F72" s="83"/>
      <c r="G72" s="85" t="s">
        <v>101</v>
      </c>
      <c r="H72" s="85"/>
      <c r="I72" s="85">
        <v>46</v>
      </c>
      <c r="J72" s="85"/>
      <c r="K72" s="85"/>
      <c r="L72" s="86">
        <f t="shared" si="4"/>
        <v>644</v>
      </c>
      <c r="M72" s="81"/>
    </row>
    <row r="73" spans="2:17" x14ac:dyDescent="0.3">
      <c r="B73" s="47"/>
      <c r="C73" s="55" t="s">
        <v>102</v>
      </c>
      <c r="D73" s="139" t="s">
        <v>98</v>
      </c>
      <c r="E73" s="82">
        <v>45</v>
      </c>
      <c r="F73" s="83"/>
      <c r="G73" s="85" t="s">
        <v>99</v>
      </c>
      <c r="H73" s="85"/>
      <c r="I73" s="85">
        <v>77</v>
      </c>
      <c r="J73" s="85"/>
      <c r="K73" s="85"/>
      <c r="L73" s="86">
        <f t="shared" si="4"/>
        <v>3465</v>
      </c>
      <c r="M73" s="81"/>
    </row>
    <row r="74" spans="2:17" x14ac:dyDescent="0.3">
      <c r="B74" s="47"/>
      <c r="C74" s="55" t="s">
        <v>103</v>
      </c>
      <c r="D74" s="139" t="s">
        <v>100</v>
      </c>
      <c r="E74" s="82">
        <v>50</v>
      </c>
      <c r="F74" s="83"/>
      <c r="G74" s="85" t="s">
        <v>101</v>
      </c>
      <c r="H74" s="85"/>
      <c r="I74" s="85">
        <v>46</v>
      </c>
      <c r="J74" s="85"/>
      <c r="K74" s="85"/>
      <c r="L74" s="86">
        <f t="shared" si="4"/>
        <v>2300</v>
      </c>
      <c r="M74" s="81"/>
    </row>
    <row r="75" spans="2:17" x14ac:dyDescent="0.3">
      <c r="B75" s="47"/>
      <c r="C75" s="20"/>
      <c r="D75" s="20"/>
      <c r="E75" s="82"/>
      <c r="F75" s="83"/>
      <c r="G75" s="85"/>
      <c r="H75" s="85"/>
      <c r="I75" s="85"/>
      <c r="J75" s="85"/>
      <c r="K75" s="85"/>
      <c r="L75" s="86"/>
      <c r="M75" s="81"/>
    </row>
    <row r="76" spans="2:17" x14ac:dyDescent="0.3">
      <c r="B76" s="42"/>
      <c r="C76" s="134" t="s">
        <v>104</v>
      </c>
      <c r="D76" s="135"/>
      <c r="E76" s="136"/>
      <c r="F76" s="137"/>
      <c r="G76" s="138"/>
      <c r="H76" s="138"/>
      <c r="I76" s="138"/>
      <c r="J76" s="138"/>
      <c r="K76" s="138"/>
      <c r="L76" s="138"/>
      <c r="M76" s="46">
        <f>SUM(M67,M64,M58,M36,M32,M29,M26,M22,M19,M5)</f>
        <v>228835.04640000002</v>
      </c>
    </row>
    <row r="77" spans="2:17" x14ac:dyDescent="0.3">
      <c r="B77" s="63"/>
      <c r="C77" s="20"/>
      <c r="D77" s="20"/>
      <c r="E77" s="22"/>
      <c r="F77" s="20"/>
      <c r="G77" s="20"/>
      <c r="H77" s="20"/>
      <c r="I77" s="20"/>
      <c r="J77" s="20"/>
      <c r="K77" s="20"/>
      <c r="L77" s="20"/>
      <c r="M77" s="148"/>
    </row>
    <row r="78" spans="2:17" x14ac:dyDescent="0.3">
      <c r="B78" s="42">
        <v>621251</v>
      </c>
      <c r="C78" s="134" t="s">
        <v>105</v>
      </c>
      <c r="D78" s="135"/>
      <c r="E78" s="136"/>
      <c r="F78" s="137"/>
      <c r="G78" s="138"/>
      <c r="H78" s="138"/>
      <c r="I78" s="138" t="s">
        <v>43</v>
      </c>
      <c r="J78" s="138"/>
      <c r="K78" s="138"/>
      <c r="L78" s="138" t="s">
        <v>44</v>
      </c>
      <c r="M78" s="46">
        <f>L79*I79</f>
        <v>46636.582456320008</v>
      </c>
      <c r="P78" s="149"/>
      <c r="Q78" s="149"/>
    </row>
    <row r="79" spans="2:17" x14ac:dyDescent="0.3">
      <c r="B79" s="146"/>
      <c r="C79" s="20"/>
      <c r="D79" s="20"/>
      <c r="E79" s="150"/>
      <c r="F79" s="151"/>
      <c r="G79" s="20"/>
      <c r="H79" s="20"/>
      <c r="I79" s="152">
        <v>0.20380000000000001</v>
      </c>
      <c r="J79" s="152"/>
      <c r="K79" s="152"/>
      <c r="L79" s="153">
        <f>M76</f>
        <v>228835.04640000002</v>
      </c>
      <c r="M79" s="154"/>
    </row>
    <row r="80" spans="2:17" x14ac:dyDescent="0.3">
      <c r="B80" s="42"/>
      <c r="C80" s="134" t="s">
        <v>106</v>
      </c>
      <c r="D80" s="135"/>
      <c r="E80" s="136"/>
      <c r="F80" s="137"/>
      <c r="G80" s="138"/>
      <c r="H80" s="138"/>
      <c r="I80" s="138"/>
      <c r="J80" s="138"/>
      <c r="K80" s="138"/>
      <c r="L80" s="138"/>
      <c r="M80" s="46">
        <f>M76+M78</f>
        <v>275471.62885632005</v>
      </c>
      <c r="O80" s="34">
        <f>S11-M80</f>
        <v>0.37114367994945496</v>
      </c>
    </row>
    <row r="81" spans="1:13" ht="21" thickBot="1" x14ac:dyDescent="0.35">
      <c r="B81" s="114"/>
      <c r="C81" s="155"/>
      <c r="D81" s="155"/>
      <c r="E81" s="156"/>
      <c r="F81" s="155"/>
      <c r="G81" s="155"/>
      <c r="H81" s="155"/>
      <c r="I81" s="155"/>
      <c r="J81" s="155"/>
      <c r="K81" s="155"/>
      <c r="L81" s="155"/>
      <c r="M81" s="157"/>
    </row>
    <row r="82" spans="1:13" x14ac:dyDescent="0.3">
      <c r="A82" s="158"/>
      <c r="B82" s="158"/>
      <c r="C82" s="158"/>
      <c r="D82" s="158"/>
      <c r="E82" s="159"/>
      <c r="F82" s="158"/>
      <c r="G82" s="158"/>
      <c r="H82" s="158"/>
      <c r="I82" s="158"/>
      <c r="J82" s="158"/>
      <c r="K82" s="158"/>
      <c r="L82" s="158"/>
      <c r="M82" s="158"/>
    </row>
    <row r="83" spans="1:13" x14ac:dyDescent="0.3">
      <c r="A83" s="158"/>
      <c r="B83" s="158"/>
      <c r="C83" s="158"/>
      <c r="D83" s="158"/>
      <c r="E83" s="159"/>
      <c r="F83" s="158"/>
      <c r="G83" s="158"/>
      <c r="H83" s="158"/>
      <c r="I83" s="158"/>
      <c r="J83" s="158"/>
      <c r="K83" s="158"/>
      <c r="L83" s="158"/>
      <c r="M83" s="158"/>
    </row>
    <row r="84" spans="1:13" x14ac:dyDescent="0.3">
      <c r="A84" s="158"/>
      <c r="B84" s="158"/>
      <c r="C84" s="158"/>
      <c r="D84" s="158"/>
      <c r="E84" s="159"/>
      <c r="F84" s="158"/>
      <c r="G84" s="158"/>
      <c r="H84" s="158"/>
      <c r="I84" s="158"/>
      <c r="J84" s="158"/>
      <c r="K84" s="158"/>
      <c r="L84" s="158"/>
      <c r="M84" s="158"/>
    </row>
    <row r="85" spans="1:13" x14ac:dyDescent="0.3">
      <c r="A85" s="158"/>
      <c r="B85" s="158"/>
      <c r="C85" s="158"/>
      <c r="D85" s="158"/>
      <c r="E85" s="159"/>
      <c r="F85" s="158"/>
      <c r="G85" s="158"/>
      <c r="H85" s="158"/>
      <c r="I85" s="158"/>
      <c r="J85" s="158"/>
      <c r="K85" s="158"/>
      <c r="L85" s="158"/>
      <c r="M85" s="158"/>
    </row>
    <row r="86" spans="1:13" x14ac:dyDescent="0.3">
      <c r="A86" s="158"/>
      <c r="B86" s="158"/>
      <c r="C86" s="158"/>
      <c r="D86" s="158"/>
      <c r="E86" s="159"/>
      <c r="F86" s="158"/>
      <c r="G86" s="158"/>
      <c r="H86" s="158"/>
      <c r="I86" s="158"/>
      <c r="J86" s="158"/>
      <c r="K86" s="158"/>
      <c r="L86" s="158"/>
      <c r="M86" s="158"/>
    </row>
    <row r="87" spans="1:13" x14ac:dyDescent="0.3">
      <c r="A87" s="158"/>
      <c r="B87" s="158"/>
      <c r="C87" s="158"/>
      <c r="D87" s="158"/>
      <c r="E87" s="159"/>
      <c r="F87" s="158"/>
      <c r="G87" s="158"/>
      <c r="H87" s="158"/>
      <c r="I87" s="158"/>
      <c r="J87" s="158"/>
      <c r="K87" s="158"/>
      <c r="L87" s="158"/>
      <c r="M87" s="158"/>
    </row>
    <row r="88" spans="1:13" x14ac:dyDescent="0.3">
      <c r="A88" s="158"/>
      <c r="B88" s="158"/>
      <c r="C88" s="158"/>
      <c r="D88" s="158"/>
      <c r="E88" s="159"/>
      <c r="F88" s="158"/>
      <c r="G88" s="158"/>
      <c r="H88" s="158"/>
      <c r="I88" s="158"/>
      <c r="J88" s="158"/>
      <c r="K88" s="158"/>
      <c r="L88" s="158"/>
      <c r="M88" s="158"/>
    </row>
    <row r="89" spans="1:13" x14ac:dyDescent="0.3">
      <c r="A89" s="158"/>
      <c r="B89" s="158"/>
      <c r="C89" s="158"/>
      <c r="D89" s="158"/>
      <c r="E89" s="159"/>
      <c r="F89" s="158"/>
      <c r="G89" s="158"/>
      <c r="H89" s="158"/>
      <c r="I89" s="158"/>
      <c r="J89" s="158"/>
      <c r="K89" s="158"/>
      <c r="L89" s="158"/>
      <c r="M89" s="158"/>
    </row>
    <row r="90" spans="1:13" x14ac:dyDescent="0.3">
      <c r="A90" s="158"/>
      <c r="B90" s="158"/>
      <c r="C90" s="158"/>
      <c r="D90" s="158"/>
      <c r="E90" s="159"/>
      <c r="F90" s="158"/>
      <c r="G90" s="158"/>
      <c r="H90" s="158"/>
      <c r="I90" s="158"/>
      <c r="J90" s="158"/>
      <c r="K90" s="158"/>
      <c r="L90" s="158"/>
      <c r="M90" s="158"/>
    </row>
    <row r="91" spans="1:13" x14ac:dyDescent="0.3">
      <c r="A91" s="158"/>
      <c r="B91" s="158"/>
      <c r="C91" s="158"/>
      <c r="D91" s="158"/>
      <c r="E91" s="159"/>
      <c r="F91" s="158"/>
      <c r="G91" s="158"/>
      <c r="H91" s="158"/>
      <c r="I91" s="158"/>
      <c r="J91" s="158"/>
      <c r="K91" s="158"/>
      <c r="L91" s="158"/>
      <c r="M91" s="158"/>
    </row>
    <row r="92" spans="1:13" x14ac:dyDescent="0.3">
      <c r="A92" s="158"/>
      <c r="B92" s="158"/>
      <c r="C92" s="158"/>
      <c r="D92" s="158"/>
      <c r="E92" s="159"/>
      <c r="F92" s="158"/>
      <c r="G92" s="158"/>
      <c r="H92" s="158"/>
      <c r="I92" s="158"/>
      <c r="J92" s="158"/>
      <c r="K92" s="158"/>
      <c r="L92" s="158"/>
      <c r="M92" s="158"/>
    </row>
    <row r="93" spans="1:13" x14ac:dyDescent="0.3">
      <c r="A93" s="158"/>
      <c r="B93" s="158"/>
      <c r="C93" s="158"/>
      <c r="D93" s="158"/>
      <c r="E93" s="159"/>
      <c r="F93" s="158"/>
      <c r="G93" s="158"/>
      <c r="H93" s="158"/>
      <c r="I93" s="158"/>
      <c r="J93" s="158"/>
      <c r="K93" s="158"/>
      <c r="L93" s="158"/>
      <c r="M93" s="158"/>
    </row>
    <row r="94" spans="1:13" x14ac:dyDescent="0.3">
      <c r="A94" s="158"/>
      <c r="B94" s="158"/>
      <c r="C94" s="158"/>
      <c r="D94" s="158"/>
      <c r="E94" s="159"/>
      <c r="F94" s="158"/>
      <c r="G94" s="158"/>
      <c r="H94" s="158"/>
      <c r="I94" s="158"/>
      <c r="J94" s="158"/>
      <c r="K94" s="158"/>
      <c r="L94" s="158"/>
      <c r="M94" s="158"/>
    </row>
    <row r="95" spans="1:13" x14ac:dyDescent="0.3">
      <c r="A95" s="158"/>
      <c r="B95" s="158"/>
      <c r="C95" s="158"/>
      <c r="D95" s="158"/>
      <c r="E95" s="159"/>
      <c r="F95" s="158"/>
      <c r="G95" s="158"/>
      <c r="H95" s="158"/>
      <c r="I95" s="158"/>
      <c r="J95" s="158"/>
      <c r="K95" s="158"/>
      <c r="L95" s="158"/>
      <c r="M95" s="158"/>
    </row>
    <row r="96" spans="1:13" x14ac:dyDescent="0.3">
      <c r="A96" s="158"/>
      <c r="B96" s="158"/>
      <c r="C96" s="158"/>
      <c r="D96" s="158"/>
      <c r="E96" s="159"/>
      <c r="F96" s="158"/>
      <c r="G96" s="158"/>
      <c r="H96" s="158"/>
      <c r="I96" s="158"/>
      <c r="J96" s="158"/>
      <c r="K96" s="158"/>
      <c r="L96" s="158"/>
      <c r="M96" s="158"/>
    </row>
    <row r="97" spans="1:13" x14ac:dyDescent="0.3">
      <c r="A97" s="158"/>
      <c r="B97" s="158"/>
      <c r="C97" s="158"/>
      <c r="D97" s="158"/>
      <c r="E97" s="159"/>
      <c r="F97" s="158"/>
      <c r="G97" s="158"/>
      <c r="H97" s="158"/>
      <c r="I97" s="158"/>
      <c r="J97" s="158"/>
      <c r="K97" s="158"/>
      <c r="L97" s="158"/>
      <c r="M97" s="158"/>
    </row>
    <row r="98" spans="1:13" x14ac:dyDescent="0.3">
      <c r="A98" s="158"/>
      <c r="B98" s="158"/>
      <c r="C98" s="158"/>
      <c r="D98" s="158"/>
      <c r="E98" s="159"/>
      <c r="F98" s="158"/>
      <c r="G98" s="158"/>
      <c r="H98" s="158"/>
      <c r="I98" s="158"/>
      <c r="J98" s="158"/>
      <c r="K98" s="158"/>
      <c r="L98" s="158"/>
      <c r="M98" s="158"/>
    </row>
    <row r="99" spans="1:13" x14ac:dyDescent="0.3">
      <c r="A99" s="158"/>
      <c r="B99" s="158"/>
      <c r="C99" s="158"/>
      <c r="D99" s="158"/>
      <c r="E99" s="159"/>
      <c r="F99" s="158"/>
      <c r="G99" s="158"/>
      <c r="H99" s="158"/>
      <c r="I99" s="158"/>
      <c r="J99" s="158"/>
      <c r="K99" s="158"/>
      <c r="L99" s="158"/>
      <c r="M99" s="158"/>
    </row>
    <row r="100" spans="1:13" x14ac:dyDescent="0.3">
      <c r="A100" s="158"/>
      <c r="B100" s="158"/>
      <c r="C100" s="158"/>
      <c r="D100" s="158"/>
      <c r="E100" s="159"/>
      <c r="F100" s="158"/>
      <c r="G100" s="158"/>
      <c r="H100" s="158"/>
      <c r="I100" s="158"/>
      <c r="J100" s="158"/>
      <c r="K100" s="158"/>
      <c r="L100" s="158"/>
      <c r="M100" s="158"/>
    </row>
    <row r="101" spans="1:13" x14ac:dyDescent="0.3">
      <c r="A101" s="158"/>
      <c r="B101" s="158"/>
      <c r="C101" s="158"/>
      <c r="D101" s="158"/>
      <c r="E101" s="159"/>
      <c r="F101" s="158"/>
      <c r="G101" s="158"/>
      <c r="H101" s="158"/>
      <c r="I101" s="158"/>
      <c r="J101" s="158"/>
      <c r="K101" s="158"/>
      <c r="L101" s="158"/>
      <c r="M101" s="158"/>
    </row>
    <row r="102" spans="1:13" x14ac:dyDescent="0.3">
      <c r="A102" s="158"/>
      <c r="B102" s="158"/>
      <c r="C102" s="158"/>
      <c r="D102" s="158"/>
      <c r="E102" s="159"/>
      <c r="F102" s="158"/>
      <c r="G102" s="158"/>
      <c r="H102" s="158"/>
      <c r="I102" s="158"/>
      <c r="J102" s="158"/>
      <c r="K102" s="158"/>
      <c r="L102" s="158"/>
      <c r="M102" s="158"/>
    </row>
    <row r="103" spans="1:13" x14ac:dyDescent="0.3">
      <c r="A103" s="158"/>
      <c r="B103" s="158"/>
      <c r="C103" s="158"/>
      <c r="D103" s="158"/>
      <c r="E103" s="159"/>
      <c r="F103" s="158"/>
      <c r="G103" s="158"/>
      <c r="H103" s="158"/>
      <c r="I103" s="158"/>
      <c r="J103" s="158"/>
      <c r="K103" s="158"/>
      <c r="L103" s="158"/>
      <c r="M103" s="158"/>
    </row>
    <row r="104" spans="1:13" x14ac:dyDescent="0.3">
      <c r="A104" s="158"/>
      <c r="B104" s="158"/>
      <c r="C104" s="158"/>
      <c r="D104" s="158"/>
      <c r="E104" s="159"/>
      <c r="F104" s="158"/>
      <c r="G104" s="158"/>
      <c r="H104" s="158"/>
      <c r="I104" s="158"/>
      <c r="J104" s="158"/>
      <c r="K104" s="158"/>
      <c r="L104" s="158"/>
      <c r="M104" s="158"/>
    </row>
    <row r="105" spans="1:13" x14ac:dyDescent="0.3">
      <c r="A105" s="158"/>
      <c r="B105" s="158"/>
      <c r="C105" s="158"/>
      <c r="D105" s="158"/>
      <c r="E105" s="159"/>
      <c r="F105" s="158"/>
      <c r="G105" s="158"/>
      <c r="H105" s="158"/>
      <c r="I105" s="158"/>
      <c r="J105" s="158"/>
      <c r="K105" s="158"/>
      <c r="L105" s="158"/>
      <c r="M105" s="158"/>
    </row>
    <row r="106" spans="1:13" x14ac:dyDescent="0.3">
      <c r="A106" s="158"/>
      <c r="B106" s="158"/>
      <c r="C106" s="158"/>
      <c r="D106" s="158"/>
      <c r="E106" s="159"/>
      <c r="F106" s="158"/>
      <c r="G106" s="158"/>
      <c r="H106" s="158"/>
      <c r="I106" s="158"/>
      <c r="J106" s="158"/>
      <c r="K106" s="158"/>
      <c r="L106" s="158"/>
      <c r="M106" s="158"/>
    </row>
    <row r="107" spans="1:13" x14ac:dyDescent="0.3">
      <c r="A107" s="158"/>
      <c r="B107" s="158"/>
      <c r="C107" s="158"/>
      <c r="D107" s="158"/>
      <c r="E107" s="159"/>
      <c r="F107" s="158"/>
      <c r="G107" s="158"/>
      <c r="H107" s="158"/>
      <c r="I107" s="158"/>
      <c r="J107" s="158"/>
      <c r="K107" s="158"/>
      <c r="L107" s="158"/>
      <c r="M107" s="158"/>
    </row>
    <row r="108" spans="1:13" x14ac:dyDescent="0.3">
      <c r="A108" s="158"/>
      <c r="B108" s="158"/>
      <c r="C108" s="158"/>
      <c r="D108" s="158"/>
      <c r="E108" s="159"/>
      <c r="F108" s="158"/>
      <c r="G108" s="158"/>
      <c r="H108" s="158"/>
      <c r="I108" s="158"/>
      <c r="J108" s="158"/>
      <c r="K108" s="158"/>
      <c r="L108" s="158"/>
      <c r="M108" s="158"/>
    </row>
    <row r="109" spans="1:13" x14ac:dyDescent="0.3">
      <c r="A109" s="158"/>
      <c r="B109" s="158"/>
      <c r="C109" s="158"/>
      <c r="D109" s="158"/>
      <c r="E109" s="159"/>
      <c r="F109" s="158"/>
      <c r="G109" s="158"/>
      <c r="H109" s="158"/>
      <c r="I109" s="158"/>
      <c r="J109" s="158"/>
      <c r="K109" s="158"/>
      <c r="L109" s="158"/>
      <c r="M109" s="158"/>
    </row>
    <row r="110" spans="1:13" x14ac:dyDescent="0.3">
      <c r="A110" s="158"/>
      <c r="B110" s="158"/>
      <c r="C110" s="158"/>
      <c r="D110" s="158"/>
      <c r="E110" s="159"/>
      <c r="F110" s="158"/>
      <c r="G110" s="158"/>
      <c r="H110" s="158"/>
      <c r="I110" s="158"/>
      <c r="J110" s="158"/>
      <c r="K110" s="158"/>
      <c r="L110" s="158"/>
      <c r="M110" s="158"/>
    </row>
    <row r="111" spans="1:13" x14ac:dyDescent="0.3">
      <c r="A111" s="158"/>
      <c r="B111" s="158"/>
      <c r="C111" s="158"/>
      <c r="D111" s="158"/>
      <c r="E111" s="159"/>
      <c r="F111" s="158"/>
      <c r="G111" s="158"/>
      <c r="H111" s="158"/>
      <c r="I111" s="158"/>
      <c r="J111" s="158"/>
      <c r="K111" s="158"/>
      <c r="L111" s="158"/>
      <c r="M111" s="158"/>
    </row>
    <row r="112" spans="1:13" x14ac:dyDescent="0.3">
      <c r="A112" s="158"/>
      <c r="B112" s="158"/>
      <c r="C112" s="158"/>
      <c r="D112" s="158"/>
      <c r="E112" s="159"/>
      <c r="F112" s="158"/>
      <c r="G112" s="158"/>
      <c r="H112" s="158"/>
      <c r="I112" s="158"/>
      <c r="J112" s="158"/>
      <c r="K112" s="158"/>
      <c r="L112" s="158"/>
      <c r="M112" s="158"/>
    </row>
    <row r="113" spans="1:13" x14ac:dyDescent="0.3">
      <c r="A113" s="158"/>
      <c r="B113" s="158"/>
      <c r="C113" s="158"/>
      <c r="D113" s="158"/>
      <c r="E113" s="159"/>
      <c r="F113" s="158"/>
      <c r="G113" s="158"/>
      <c r="H113" s="158"/>
      <c r="I113" s="158"/>
      <c r="J113" s="158"/>
      <c r="K113" s="158"/>
      <c r="L113" s="158"/>
      <c r="M113" s="158"/>
    </row>
    <row r="114" spans="1:13" x14ac:dyDescent="0.3">
      <c r="A114" s="158"/>
      <c r="B114" s="158"/>
      <c r="C114" s="158"/>
      <c r="D114" s="158"/>
      <c r="E114" s="159"/>
      <c r="F114" s="158"/>
      <c r="G114" s="158"/>
      <c r="H114" s="158"/>
      <c r="I114" s="158"/>
      <c r="J114" s="158"/>
      <c r="K114" s="158"/>
      <c r="L114" s="158"/>
      <c r="M114" s="158"/>
    </row>
    <row r="115" spans="1:13" x14ac:dyDescent="0.3">
      <c r="A115" s="158"/>
      <c r="B115" s="158"/>
      <c r="C115" s="158"/>
      <c r="D115" s="158"/>
      <c r="E115" s="159"/>
      <c r="F115" s="158"/>
      <c r="G115" s="158"/>
      <c r="H115" s="158"/>
      <c r="I115" s="158"/>
      <c r="J115" s="158"/>
      <c r="K115" s="158"/>
      <c r="L115" s="158"/>
      <c r="M115" s="158"/>
    </row>
    <row r="116" spans="1:13" x14ac:dyDescent="0.3">
      <c r="A116" s="158"/>
      <c r="B116" s="158"/>
      <c r="C116" s="158"/>
      <c r="D116" s="158"/>
      <c r="E116" s="159"/>
      <c r="F116" s="158"/>
      <c r="G116" s="158"/>
      <c r="H116" s="158"/>
      <c r="I116" s="158"/>
      <c r="J116" s="158"/>
      <c r="K116" s="158"/>
      <c r="L116" s="158"/>
      <c r="M116" s="158"/>
    </row>
    <row r="117" spans="1:13" x14ac:dyDescent="0.3">
      <c r="A117" s="158"/>
      <c r="B117" s="158"/>
      <c r="C117" s="158"/>
      <c r="D117" s="158"/>
      <c r="E117" s="159"/>
      <c r="F117" s="158"/>
      <c r="G117" s="158"/>
      <c r="H117" s="158"/>
      <c r="I117" s="158"/>
      <c r="J117" s="158"/>
      <c r="K117" s="158"/>
      <c r="L117" s="158"/>
      <c r="M117" s="158"/>
    </row>
    <row r="118" spans="1:13" x14ac:dyDescent="0.3">
      <c r="A118" s="158"/>
      <c r="B118" s="158"/>
      <c r="C118" s="158"/>
      <c r="D118" s="158"/>
      <c r="E118" s="159"/>
      <c r="F118" s="158"/>
      <c r="G118" s="158"/>
      <c r="H118" s="158"/>
      <c r="I118" s="158"/>
      <c r="J118" s="158"/>
      <c r="K118" s="158"/>
      <c r="L118" s="158"/>
      <c r="M118" s="158"/>
    </row>
    <row r="119" spans="1:13" x14ac:dyDescent="0.3">
      <c r="A119" s="158"/>
      <c r="B119" s="158"/>
      <c r="C119" s="158"/>
      <c r="D119" s="158"/>
      <c r="E119" s="159"/>
      <c r="F119" s="158"/>
      <c r="G119" s="158"/>
      <c r="H119" s="158"/>
      <c r="I119" s="158"/>
      <c r="J119" s="158"/>
      <c r="K119" s="158"/>
      <c r="L119" s="158"/>
      <c r="M119" s="158"/>
    </row>
    <row r="120" spans="1:13" x14ac:dyDescent="0.3">
      <c r="A120" s="158"/>
      <c r="B120" s="158"/>
      <c r="C120" s="158"/>
      <c r="D120" s="158"/>
      <c r="E120" s="159"/>
      <c r="F120" s="158"/>
      <c r="G120" s="158"/>
      <c r="H120" s="158"/>
      <c r="I120" s="158"/>
      <c r="J120" s="158"/>
      <c r="K120" s="158"/>
      <c r="L120" s="158"/>
      <c r="M120" s="158"/>
    </row>
    <row r="121" spans="1:13" x14ac:dyDescent="0.3">
      <c r="A121" s="158"/>
      <c r="B121" s="158"/>
      <c r="C121" s="158"/>
      <c r="D121" s="158"/>
      <c r="E121" s="159"/>
      <c r="F121" s="158"/>
      <c r="G121" s="158"/>
      <c r="H121" s="158"/>
      <c r="I121" s="158"/>
      <c r="J121" s="158"/>
      <c r="K121" s="158"/>
      <c r="L121" s="158"/>
      <c r="M121" s="158"/>
    </row>
    <row r="122" spans="1:13" x14ac:dyDescent="0.3">
      <c r="A122" s="158"/>
      <c r="B122" s="158"/>
      <c r="C122" s="158"/>
      <c r="D122" s="158"/>
      <c r="E122" s="159"/>
      <c r="F122" s="158"/>
      <c r="G122" s="158"/>
      <c r="H122" s="158"/>
      <c r="I122" s="158"/>
      <c r="J122" s="158"/>
      <c r="K122" s="158"/>
      <c r="L122" s="158"/>
      <c r="M122" s="158"/>
    </row>
    <row r="123" spans="1:13" x14ac:dyDescent="0.3">
      <c r="A123" s="158"/>
      <c r="B123" s="158"/>
      <c r="C123" s="158"/>
      <c r="D123" s="158"/>
      <c r="E123" s="159"/>
      <c r="F123" s="158"/>
      <c r="G123" s="158"/>
      <c r="H123" s="158"/>
      <c r="I123" s="158"/>
      <c r="J123" s="158"/>
      <c r="K123" s="158"/>
      <c r="L123" s="158"/>
      <c r="M123" s="158"/>
    </row>
    <row r="124" spans="1:13" x14ac:dyDescent="0.3">
      <c r="A124" s="158"/>
      <c r="B124" s="158"/>
      <c r="C124" s="158"/>
      <c r="D124" s="158"/>
      <c r="E124" s="159"/>
      <c r="F124" s="158"/>
      <c r="G124" s="158"/>
      <c r="H124" s="158"/>
      <c r="I124" s="158"/>
      <c r="J124" s="158"/>
      <c r="K124" s="158"/>
      <c r="L124" s="158"/>
      <c r="M124" s="158"/>
    </row>
    <row r="125" spans="1:13" x14ac:dyDescent="0.3">
      <c r="A125" s="158"/>
      <c r="B125" s="158"/>
      <c r="C125" s="158"/>
      <c r="D125" s="158"/>
      <c r="E125" s="159"/>
      <c r="F125" s="158"/>
      <c r="G125" s="158"/>
      <c r="H125" s="158"/>
      <c r="I125" s="158"/>
      <c r="J125" s="158"/>
      <c r="K125" s="158"/>
      <c r="L125" s="158"/>
      <c r="M125" s="158"/>
    </row>
    <row r="126" spans="1:13" x14ac:dyDescent="0.3">
      <c r="A126" s="158"/>
      <c r="B126" s="158"/>
      <c r="C126" s="158"/>
      <c r="D126" s="158"/>
      <c r="E126" s="159"/>
      <c r="F126" s="158"/>
      <c r="G126" s="158"/>
      <c r="H126" s="158"/>
      <c r="I126" s="158"/>
      <c r="J126" s="158"/>
      <c r="K126" s="158"/>
      <c r="L126" s="158"/>
      <c r="M126" s="158"/>
    </row>
    <row r="127" spans="1:13" x14ac:dyDescent="0.3">
      <c r="A127" s="158"/>
      <c r="B127" s="158"/>
      <c r="C127" s="158"/>
      <c r="D127" s="158"/>
      <c r="E127" s="159"/>
      <c r="F127" s="158"/>
      <c r="G127" s="158"/>
      <c r="H127" s="158"/>
      <c r="I127" s="158"/>
      <c r="J127" s="158"/>
      <c r="K127" s="158"/>
      <c r="L127" s="158"/>
      <c r="M127" s="158"/>
    </row>
    <row r="128" spans="1:13" x14ac:dyDescent="0.3">
      <c r="A128" s="158"/>
      <c r="B128" s="158"/>
      <c r="C128" s="158"/>
      <c r="D128" s="158"/>
      <c r="E128" s="159"/>
      <c r="F128" s="158"/>
      <c r="G128" s="158"/>
      <c r="H128" s="158"/>
      <c r="I128" s="158"/>
      <c r="J128" s="158"/>
      <c r="K128" s="158"/>
      <c r="L128" s="158"/>
      <c r="M128" s="158"/>
    </row>
    <row r="129" spans="1:13" x14ac:dyDescent="0.3">
      <c r="A129" s="158"/>
      <c r="B129" s="158"/>
      <c r="C129" s="158"/>
      <c r="D129" s="158"/>
      <c r="E129" s="159"/>
      <c r="F129" s="158"/>
      <c r="G129" s="158"/>
      <c r="H129" s="158"/>
      <c r="I129" s="158"/>
      <c r="J129" s="158"/>
      <c r="K129" s="158"/>
      <c r="L129" s="158"/>
      <c r="M129" s="158"/>
    </row>
    <row r="130" spans="1:13" x14ac:dyDescent="0.3">
      <c r="A130" s="158"/>
      <c r="B130" s="158"/>
      <c r="C130" s="158"/>
      <c r="D130" s="158"/>
      <c r="E130" s="159"/>
      <c r="F130" s="158"/>
      <c r="G130" s="158"/>
      <c r="H130" s="158"/>
      <c r="I130" s="158"/>
      <c r="J130" s="158"/>
      <c r="K130" s="158"/>
      <c r="L130" s="158"/>
      <c r="M130" s="158"/>
    </row>
    <row r="131" spans="1:13" x14ac:dyDescent="0.3">
      <c r="A131" s="158"/>
      <c r="B131" s="158"/>
      <c r="C131" s="158"/>
      <c r="D131" s="158"/>
      <c r="E131" s="159"/>
      <c r="F131" s="158"/>
      <c r="G131" s="158"/>
      <c r="H131" s="158"/>
      <c r="I131" s="158"/>
      <c r="J131" s="158"/>
      <c r="K131" s="158"/>
      <c r="L131" s="158"/>
      <c r="M131" s="158"/>
    </row>
    <row r="132" spans="1:13" x14ac:dyDescent="0.3">
      <c r="A132" s="158"/>
      <c r="B132" s="158"/>
      <c r="C132" s="158"/>
      <c r="D132" s="158"/>
      <c r="E132" s="159"/>
      <c r="F132" s="158"/>
      <c r="G132" s="158"/>
      <c r="H132" s="158"/>
      <c r="I132" s="158"/>
      <c r="J132" s="158"/>
      <c r="K132" s="158"/>
      <c r="L132" s="158"/>
      <c r="M132" s="158"/>
    </row>
    <row r="133" spans="1:13" x14ac:dyDescent="0.3">
      <c r="A133" s="158"/>
      <c r="B133" s="158"/>
      <c r="C133" s="158"/>
      <c r="D133" s="158"/>
      <c r="E133" s="159"/>
      <c r="F133" s="158"/>
      <c r="G133" s="158"/>
      <c r="H133" s="158"/>
      <c r="I133" s="158"/>
      <c r="J133" s="158"/>
      <c r="K133" s="158"/>
      <c r="L133" s="158"/>
      <c r="M133" s="158"/>
    </row>
    <row r="134" spans="1:13" x14ac:dyDescent="0.3">
      <c r="A134" s="158"/>
      <c r="B134" s="158"/>
      <c r="C134" s="158"/>
      <c r="D134" s="158"/>
      <c r="E134" s="159"/>
      <c r="F134" s="158"/>
      <c r="G134" s="158"/>
      <c r="H134" s="158"/>
      <c r="I134" s="158"/>
      <c r="J134" s="158"/>
      <c r="K134" s="158"/>
      <c r="L134" s="158"/>
      <c r="M134" s="158"/>
    </row>
    <row r="135" spans="1:13" x14ac:dyDescent="0.3">
      <c r="A135" s="158"/>
      <c r="B135" s="158"/>
      <c r="C135" s="158"/>
      <c r="D135" s="158"/>
      <c r="E135" s="159"/>
      <c r="F135" s="158"/>
      <c r="G135" s="158"/>
      <c r="H135" s="158"/>
      <c r="I135" s="158"/>
      <c r="J135" s="158"/>
      <c r="K135" s="158"/>
      <c r="L135" s="158"/>
      <c r="M135" s="158"/>
    </row>
    <row r="136" spans="1:13" x14ac:dyDescent="0.3">
      <c r="A136" s="158"/>
      <c r="B136" s="158"/>
      <c r="C136" s="158"/>
      <c r="D136" s="158"/>
      <c r="E136" s="159"/>
      <c r="F136" s="158"/>
      <c r="G136" s="158"/>
      <c r="H136" s="158"/>
      <c r="I136" s="158"/>
      <c r="J136" s="158"/>
      <c r="K136" s="158"/>
      <c r="L136" s="158"/>
      <c r="M136" s="158"/>
    </row>
    <row r="137" spans="1:13" x14ac:dyDescent="0.3">
      <c r="A137" s="158"/>
      <c r="B137" s="158"/>
      <c r="C137" s="158"/>
      <c r="D137" s="158"/>
      <c r="E137" s="159"/>
      <c r="F137" s="158"/>
      <c r="G137" s="158"/>
      <c r="H137" s="158"/>
      <c r="I137" s="158"/>
      <c r="J137" s="158"/>
      <c r="K137" s="158"/>
      <c r="L137" s="158"/>
      <c r="M137" s="158"/>
    </row>
    <row r="138" spans="1:13" x14ac:dyDescent="0.3">
      <c r="A138" s="158"/>
      <c r="B138" s="158"/>
      <c r="C138" s="158"/>
      <c r="D138" s="158"/>
      <c r="E138" s="159"/>
      <c r="F138" s="158"/>
      <c r="G138" s="158"/>
      <c r="H138" s="158"/>
      <c r="I138" s="158"/>
      <c r="J138" s="158"/>
      <c r="K138" s="158"/>
      <c r="L138" s="158"/>
      <c r="M138" s="158"/>
    </row>
    <row r="139" spans="1:13" x14ac:dyDescent="0.3">
      <c r="A139" s="158"/>
      <c r="B139" s="158"/>
      <c r="C139" s="158"/>
      <c r="D139" s="158"/>
      <c r="E139" s="159"/>
      <c r="F139" s="158"/>
      <c r="G139" s="158"/>
      <c r="H139" s="158"/>
      <c r="I139" s="158"/>
      <c r="J139" s="158"/>
      <c r="K139" s="158"/>
      <c r="L139" s="158"/>
      <c r="M139" s="158"/>
    </row>
    <row r="140" spans="1:13" x14ac:dyDescent="0.3">
      <c r="A140" s="158"/>
      <c r="B140" s="158"/>
      <c r="C140" s="158"/>
      <c r="D140" s="158"/>
      <c r="E140" s="159"/>
      <c r="F140" s="158"/>
      <c r="G140" s="158"/>
      <c r="H140" s="158"/>
      <c r="I140" s="158"/>
      <c r="J140" s="158"/>
      <c r="K140" s="158"/>
      <c r="L140" s="158"/>
      <c r="M140" s="158"/>
    </row>
    <row r="141" spans="1:13" x14ac:dyDescent="0.3">
      <c r="A141" s="158"/>
      <c r="B141" s="158"/>
      <c r="C141" s="158"/>
      <c r="D141" s="158"/>
      <c r="E141" s="159"/>
      <c r="F141" s="158"/>
      <c r="G141" s="158"/>
      <c r="H141" s="158"/>
      <c r="I141" s="158"/>
      <c r="J141" s="158"/>
      <c r="K141" s="158"/>
      <c r="L141" s="158"/>
      <c r="M141" s="158"/>
    </row>
    <row r="142" spans="1:13" x14ac:dyDescent="0.3">
      <c r="A142" s="158"/>
      <c r="B142" s="158"/>
      <c r="C142" s="158"/>
      <c r="D142" s="158"/>
      <c r="E142" s="159"/>
      <c r="F142" s="158"/>
      <c r="G142" s="158"/>
      <c r="H142" s="158"/>
      <c r="I142" s="158"/>
      <c r="J142" s="158"/>
      <c r="K142" s="158"/>
      <c r="L142" s="158"/>
      <c r="M142" s="158"/>
    </row>
    <row r="143" spans="1:13" x14ac:dyDescent="0.3">
      <c r="A143" s="158"/>
      <c r="B143" s="158"/>
      <c r="C143" s="158"/>
      <c r="D143" s="158"/>
      <c r="E143" s="159"/>
      <c r="F143" s="158"/>
      <c r="G143" s="158"/>
      <c r="H143" s="158"/>
      <c r="I143" s="158"/>
      <c r="J143" s="158"/>
      <c r="K143" s="158"/>
      <c r="L143" s="158"/>
      <c r="M143" s="158"/>
    </row>
    <row r="144" spans="1:13" x14ac:dyDescent="0.3">
      <c r="A144" s="158"/>
      <c r="B144" s="158"/>
      <c r="C144" s="158"/>
      <c r="D144" s="158"/>
      <c r="E144" s="159"/>
      <c r="F144" s="158"/>
      <c r="G144" s="158"/>
      <c r="H144" s="158"/>
      <c r="I144" s="158"/>
      <c r="J144" s="158"/>
      <c r="K144" s="158"/>
      <c r="L144" s="158"/>
      <c r="M144" s="158"/>
    </row>
    <row r="145" spans="1:13" x14ac:dyDescent="0.3">
      <c r="A145" s="158"/>
      <c r="B145" s="158"/>
      <c r="C145" s="158"/>
      <c r="D145" s="158"/>
      <c r="E145" s="159"/>
      <c r="F145" s="158"/>
      <c r="G145" s="158"/>
      <c r="H145" s="158"/>
      <c r="I145" s="158"/>
      <c r="J145" s="158"/>
      <c r="K145" s="158"/>
      <c r="L145" s="158"/>
      <c r="M145" s="158"/>
    </row>
    <row r="146" spans="1:13" x14ac:dyDescent="0.3">
      <c r="A146" s="158"/>
      <c r="B146" s="158"/>
      <c r="C146" s="158"/>
      <c r="D146" s="158"/>
      <c r="E146" s="159"/>
      <c r="F146" s="158"/>
      <c r="G146" s="158"/>
      <c r="H146" s="158"/>
      <c r="I146" s="158"/>
      <c r="J146" s="158"/>
      <c r="K146" s="158"/>
      <c r="L146" s="158"/>
      <c r="M146" s="158"/>
    </row>
    <row r="147" spans="1:13" x14ac:dyDescent="0.3">
      <c r="A147" s="158"/>
      <c r="B147" s="158"/>
      <c r="C147" s="158"/>
      <c r="D147" s="158"/>
      <c r="E147" s="159"/>
      <c r="F147" s="158"/>
      <c r="G147" s="158"/>
      <c r="H147" s="158"/>
      <c r="I147" s="158"/>
      <c r="J147" s="158"/>
      <c r="K147" s="158"/>
      <c r="L147" s="158"/>
      <c r="M147" s="158"/>
    </row>
    <row r="148" spans="1:13" x14ac:dyDescent="0.3">
      <c r="A148" s="158"/>
      <c r="B148" s="158"/>
      <c r="C148" s="158"/>
      <c r="D148" s="158"/>
      <c r="E148" s="159"/>
      <c r="F148" s="158"/>
      <c r="G148" s="158"/>
      <c r="H148" s="158"/>
      <c r="I148" s="158"/>
      <c r="J148" s="158"/>
      <c r="K148" s="158"/>
      <c r="L148" s="158"/>
      <c r="M148" s="158"/>
    </row>
    <row r="149" spans="1:13" x14ac:dyDescent="0.3">
      <c r="A149" s="158"/>
      <c r="B149" s="158"/>
      <c r="C149" s="158"/>
      <c r="D149" s="158"/>
      <c r="E149" s="159"/>
      <c r="F149" s="158"/>
      <c r="G149" s="158"/>
      <c r="H149" s="158"/>
      <c r="I149" s="158"/>
      <c r="J149" s="158"/>
      <c r="K149" s="158"/>
      <c r="L149" s="158"/>
      <c r="M149" s="158"/>
    </row>
    <row r="150" spans="1:13" x14ac:dyDescent="0.3">
      <c r="A150" s="158"/>
      <c r="B150" s="158"/>
      <c r="C150" s="158"/>
      <c r="D150" s="158"/>
      <c r="E150" s="159"/>
      <c r="F150" s="158"/>
      <c r="G150" s="158"/>
      <c r="H150" s="158"/>
      <c r="I150" s="158"/>
      <c r="J150" s="158"/>
      <c r="K150" s="158"/>
      <c r="L150" s="158"/>
      <c r="M150" s="158"/>
    </row>
    <row r="151" spans="1:13" x14ac:dyDescent="0.3">
      <c r="A151" s="158"/>
      <c r="B151" s="158"/>
      <c r="C151" s="158"/>
      <c r="D151" s="158"/>
      <c r="E151" s="159"/>
      <c r="F151" s="158"/>
      <c r="G151" s="158"/>
      <c r="H151" s="158"/>
      <c r="I151" s="158"/>
      <c r="J151" s="158"/>
      <c r="K151" s="158"/>
      <c r="L151" s="158"/>
      <c r="M151" s="158"/>
    </row>
    <row r="152" spans="1:13" x14ac:dyDescent="0.3">
      <c r="A152" s="158"/>
      <c r="B152" s="158"/>
      <c r="C152" s="158"/>
      <c r="D152" s="158"/>
      <c r="E152" s="159"/>
      <c r="F152" s="158"/>
      <c r="G152" s="158"/>
      <c r="H152" s="158"/>
      <c r="I152" s="158"/>
      <c r="J152" s="158"/>
      <c r="K152" s="158"/>
      <c r="L152" s="158"/>
      <c r="M152" s="158"/>
    </row>
    <row r="153" spans="1:13" x14ac:dyDescent="0.3">
      <c r="A153" s="158"/>
      <c r="B153" s="158"/>
      <c r="C153" s="158"/>
      <c r="D153" s="158"/>
      <c r="E153" s="159"/>
      <c r="F153" s="158"/>
      <c r="G153" s="158"/>
      <c r="H153" s="158"/>
      <c r="I153" s="158"/>
      <c r="J153" s="158"/>
      <c r="K153" s="158"/>
      <c r="L153" s="158"/>
      <c r="M153" s="158"/>
    </row>
    <row r="154" spans="1:13" x14ac:dyDescent="0.3">
      <c r="A154" s="158"/>
      <c r="B154" s="158"/>
      <c r="C154" s="158"/>
      <c r="D154" s="158"/>
      <c r="E154" s="159"/>
      <c r="F154" s="158"/>
      <c r="G154" s="158"/>
      <c r="H154" s="158"/>
      <c r="I154" s="158"/>
      <c r="J154" s="158"/>
      <c r="K154" s="158"/>
      <c r="L154" s="158"/>
      <c r="M154" s="158"/>
    </row>
    <row r="155" spans="1:13" x14ac:dyDescent="0.3">
      <c r="A155" s="158"/>
      <c r="B155" s="158"/>
      <c r="C155" s="158"/>
      <c r="D155" s="158"/>
      <c r="E155" s="159"/>
      <c r="F155" s="158"/>
      <c r="G155" s="158"/>
      <c r="H155" s="158"/>
      <c r="I155" s="158"/>
      <c r="J155" s="158"/>
      <c r="K155" s="158"/>
      <c r="L155" s="158"/>
      <c r="M155" s="158"/>
    </row>
    <row r="156" spans="1:13" x14ac:dyDescent="0.3">
      <c r="A156" s="158"/>
      <c r="B156" s="158"/>
      <c r="C156" s="158"/>
      <c r="D156" s="158"/>
      <c r="E156" s="159"/>
      <c r="F156" s="158"/>
      <c r="G156" s="158"/>
      <c r="H156" s="158"/>
      <c r="I156" s="158"/>
      <c r="J156" s="158"/>
      <c r="K156" s="158"/>
      <c r="L156" s="158"/>
      <c r="M156" s="158"/>
    </row>
    <row r="157" spans="1:13" x14ac:dyDescent="0.3">
      <c r="A157" s="158"/>
      <c r="B157" s="158"/>
      <c r="C157" s="158"/>
      <c r="D157" s="158"/>
      <c r="E157" s="159"/>
      <c r="F157" s="158"/>
      <c r="G157" s="158"/>
      <c r="H157" s="158"/>
      <c r="I157" s="158"/>
      <c r="J157" s="158"/>
      <c r="K157" s="158"/>
      <c r="L157" s="158"/>
      <c r="M157" s="158"/>
    </row>
    <row r="158" spans="1:13" x14ac:dyDescent="0.3">
      <c r="A158" s="158"/>
      <c r="B158" s="158"/>
      <c r="C158" s="158"/>
      <c r="D158" s="158"/>
      <c r="E158" s="159"/>
      <c r="F158" s="158"/>
      <c r="G158" s="158"/>
      <c r="H158" s="158"/>
      <c r="I158" s="158"/>
      <c r="J158" s="158"/>
      <c r="K158" s="158"/>
      <c r="L158" s="158"/>
      <c r="M158" s="158"/>
    </row>
    <row r="159" spans="1:13" x14ac:dyDescent="0.3">
      <c r="A159" s="158"/>
      <c r="B159" s="158"/>
      <c r="C159" s="158"/>
      <c r="D159" s="158"/>
      <c r="E159" s="159"/>
      <c r="F159" s="158"/>
      <c r="G159" s="158"/>
      <c r="H159" s="158"/>
      <c r="I159" s="158"/>
      <c r="J159" s="158"/>
      <c r="K159" s="158"/>
      <c r="L159" s="158"/>
      <c r="M159" s="158"/>
    </row>
    <row r="160" spans="1:13" x14ac:dyDescent="0.3">
      <c r="A160" s="158"/>
      <c r="B160" s="158"/>
      <c r="C160" s="158"/>
      <c r="D160" s="158"/>
      <c r="E160" s="159"/>
      <c r="F160" s="158"/>
      <c r="G160" s="158"/>
      <c r="H160" s="158"/>
      <c r="I160" s="158"/>
      <c r="J160" s="158"/>
      <c r="K160" s="158"/>
      <c r="L160" s="158"/>
      <c r="M160" s="158"/>
    </row>
    <row r="161" spans="1:13" x14ac:dyDescent="0.3">
      <c r="A161" s="158"/>
      <c r="B161" s="158"/>
      <c r="C161" s="158"/>
      <c r="D161" s="158"/>
      <c r="E161" s="159"/>
      <c r="F161" s="158"/>
      <c r="G161" s="158"/>
      <c r="H161" s="158"/>
      <c r="I161" s="158"/>
      <c r="J161" s="158"/>
      <c r="K161" s="158"/>
      <c r="L161" s="158"/>
      <c r="M161" s="158"/>
    </row>
    <row r="162" spans="1:13" x14ac:dyDescent="0.3">
      <c r="A162" s="158"/>
      <c r="B162" s="158"/>
      <c r="C162" s="158"/>
      <c r="D162" s="158"/>
      <c r="E162" s="159"/>
      <c r="F162" s="158"/>
      <c r="G162" s="158"/>
      <c r="H162" s="158"/>
      <c r="I162" s="158"/>
      <c r="J162" s="158"/>
      <c r="K162" s="158"/>
      <c r="L162" s="158"/>
      <c r="M162" s="158"/>
    </row>
    <row r="163" spans="1:13" x14ac:dyDescent="0.3">
      <c r="A163" s="158"/>
      <c r="B163" s="158"/>
      <c r="C163" s="158"/>
      <c r="D163" s="158"/>
      <c r="E163" s="159"/>
      <c r="F163" s="158"/>
      <c r="G163" s="158"/>
      <c r="H163" s="158"/>
      <c r="I163" s="158"/>
      <c r="J163" s="158"/>
      <c r="K163" s="158"/>
      <c r="L163" s="158"/>
      <c r="M163" s="158"/>
    </row>
    <row r="164" spans="1:13" x14ac:dyDescent="0.3">
      <c r="A164" s="158"/>
      <c r="B164" s="158"/>
      <c r="C164" s="158"/>
      <c r="D164" s="158"/>
      <c r="E164" s="159"/>
      <c r="F164" s="158"/>
      <c r="G164" s="158"/>
      <c r="H164" s="158"/>
      <c r="I164" s="158"/>
      <c r="J164" s="158"/>
      <c r="K164" s="158"/>
      <c r="L164" s="158"/>
      <c r="M164" s="158"/>
    </row>
    <row r="165" spans="1:13" x14ac:dyDescent="0.3">
      <c r="A165" s="158"/>
      <c r="B165" s="158"/>
      <c r="C165" s="158"/>
      <c r="D165" s="158"/>
      <c r="E165" s="159"/>
      <c r="F165" s="158"/>
      <c r="G165" s="158"/>
      <c r="H165" s="158"/>
      <c r="I165" s="158"/>
      <c r="J165" s="158"/>
      <c r="K165" s="158"/>
      <c r="L165" s="158"/>
      <c r="M165" s="158"/>
    </row>
    <row r="166" spans="1:13" x14ac:dyDescent="0.3">
      <c r="A166" s="158"/>
      <c r="B166" s="158"/>
      <c r="C166" s="158"/>
      <c r="D166" s="158"/>
      <c r="E166" s="159"/>
      <c r="F166" s="158"/>
      <c r="G166" s="158"/>
      <c r="H166" s="158"/>
      <c r="I166" s="158"/>
      <c r="J166" s="158"/>
      <c r="K166" s="158"/>
      <c r="L166" s="158"/>
      <c r="M166" s="158"/>
    </row>
    <row r="167" spans="1:13" x14ac:dyDescent="0.3">
      <c r="A167" s="158"/>
      <c r="B167" s="158"/>
      <c r="C167" s="158"/>
      <c r="D167" s="158"/>
      <c r="E167" s="159"/>
      <c r="F167" s="158"/>
      <c r="G167" s="158"/>
      <c r="H167" s="158"/>
      <c r="I167" s="158"/>
      <c r="J167" s="158"/>
      <c r="K167" s="158"/>
      <c r="L167" s="158"/>
      <c r="M167" s="158"/>
    </row>
    <row r="168" spans="1:13" x14ac:dyDescent="0.3">
      <c r="A168" s="158"/>
      <c r="B168" s="158"/>
      <c r="C168" s="158"/>
      <c r="D168" s="158"/>
      <c r="E168" s="159"/>
      <c r="F168" s="158"/>
      <c r="G168" s="158"/>
      <c r="H168" s="158"/>
      <c r="I168" s="158"/>
      <c r="J168" s="158"/>
      <c r="K168" s="158"/>
      <c r="L168" s="158"/>
      <c r="M168" s="158"/>
    </row>
    <row r="169" spans="1:13" x14ac:dyDescent="0.3">
      <c r="A169" s="158"/>
      <c r="B169" s="158"/>
      <c r="C169" s="158"/>
      <c r="D169" s="158"/>
      <c r="E169" s="159"/>
      <c r="F169" s="158"/>
      <c r="G169" s="158"/>
      <c r="H169" s="158"/>
      <c r="I169" s="158"/>
      <c r="J169" s="158"/>
      <c r="K169" s="158"/>
      <c r="L169" s="158"/>
      <c r="M169" s="158"/>
    </row>
    <row r="170" spans="1:13" x14ac:dyDescent="0.3">
      <c r="A170" s="158"/>
      <c r="B170" s="158"/>
      <c r="C170" s="158"/>
      <c r="D170" s="158"/>
      <c r="E170" s="159"/>
      <c r="F170" s="158"/>
      <c r="G170" s="158"/>
      <c r="H170" s="158"/>
      <c r="I170" s="158"/>
      <c r="J170" s="158"/>
      <c r="K170" s="158"/>
      <c r="L170" s="158"/>
      <c r="M170" s="158"/>
    </row>
    <row r="171" spans="1:13" x14ac:dyDescent="0.3">
      <c r="A171" s="158"/>
      <c r="B171" s="158"/>
      <c r="C171" s="158"/>
      <c r="D171" s="158"/>
      <c r="E171" s="159"/>
      <c r="F171" s="158"/>
      <c r="G171" s="158"/>
      <c r="H171" s="158"/>
      <c r="I171" s="158"/>
      <c r="J171" s="158"/>
      <c r="K171" s="158"/>
      <c r="L171" s="158"/>
      <c r="M171" s="158"/>
    </row>
    <row r="172" spans="1:13" x14ac:dyDescent="0.3">
      <c r="A172" s="158"/>
      <c r="B172" s="158"/>
      <c r="C172" s="158"/>
      <c r="D172" s="158"/>
      <c r="E172" s="159"/>
      <c r="F172" s="158"/>
      <c r="G172" s="158"/>
      <c r="H172" s="158"/>
      <c r="I172" s="158"/>
      <c r="J172" s="158"/>
      <c r="K172" s="158"/>
      <c r="L172" s="158"/>
      <c r="M172" s="158"/>
    </row>
    <row r="173" spans="1:13" x14ac:dyDescent="0.3">
      <c r="A173" s="158"/>
      <c r="B173" s="158"/>
      <c r="C173" s="158"/>
      <c r="D173" s="158"/>
      <c r="E173" s="159"/>
      <c r="F173" s="158"/>
      <c r="G173" s="158"/>
      <c r="H173" s="158"/>
      <c r="I173" s="158"/>
      <c r="J173" s="158"/>
      <c r="K173" s="158"/>
      <c r="L173" s="158"/>
      <c r="M173" s="158"/>
    </row>
    <row r="174" spans="1:13" x14ac:dyDescent="0.3">
      <c r="A174" s="158"/>
      <c r="B174" s="158"/>
      <c r="C174" s="158"/>
      <c r="D174" s="158"/>
      <c r="E174" s="159"/>
      <c r="F174" s="158"/>
      <c r="G174" s="158"/>
      <c r="H174" s="158"/>
      <c r="I174" s="158"/>
      <c r="J174" s="158"/>
      <c r="K174" s="158"/>
      <c r="L174" s="158"/>
      <c r="M174" s="158"/>
    </row>
    <row r="175" spans="1:13" x14ac:dyDescent="0.3">
      <c r="A175" s="158"/>
      <c r="B175" s="158"/>
      <c r="C175" s="158"/>
      <c r="D175" s="158"/>
      <c r="E175" s="159"/>
      <c r="F175" s="158"/>
      <c r="G175" s="158"/>
      <c r="H175" s="158"/>
      <c r="I175" s="158"/>
      <c r="J175" s="158"/>
      <c r="K175" s="158"/>
      <c r="L175" s="158"/>
      <c r="M175" s="158"/>
    </row>
    <row r="176" spans="1:13" x14ac:dyDescent="0.3">
      <c r="A176" s="158"/>
      <c r="B176" s="158"/>
      <c r="C176" s="158"/>
      <c r="D176" s="158"/>
      <c r="E176" s="159"/>
      <c r="F176" s="158"/>
      <c r="G176" s="158"/>
      <c r="H176" s="158"/>
      <c r="I176" s="158"/>
      <c r="J176" s="158"/>
      <c r="K176" s="158"/>
      <c r="L176" s="158"/>
      <c r="M176" s="158"/>
    </row>
    <row r="177" spans="1:13" x14ac:dyDescent="0.3">
      <c r="A177" s="158"/>
      <c r="B177" s="158"/>
      <c r="C177" s="158"/>
      <c r="D177" s="158"/>
      <c r="E177" s="159"/>
      <c r="F177" s="158"/>
      <c r="G177" s="158"/>
      <c r="H177" s="158"/>
      <c r="I177" s="158"/>
      <c r="J177" s="158"/>
      <c r="K177" s="158"/>
      <c r="L177" s="158"/>
      <c r="M177" s="158"/>
    </row>
    <row r="178" spans="1:13" x14ac:dyDescent="0.3">
      <c r="A178" s="158"/>
      <c r="B178" s="158"/>
      <c r="C178" s="158"/>
      <c r="D178" s="158"/>
      <c r="E178" s="159"/>
      <c r="F178" s="158"/>
      <c r="G178" s="158"/>
      <c r="H178" s="158"/>
      <c r="I178" s="158"/>
      <c r="J178" s="158"/>
      <c r="K178" s="158"/>
      <c r="L178" s="158"/>
      <c r="M178" s="158"/>
    </row>
    <row r="179" spans="1:13" x14ac:dyDescent="0.3">
      <c r="A179" s="158"/>
      <c r="B179" s="158"/>
      <c r="C179" s="158"/>
      <c r="D179" s="158"/>
      <c r="E179" s="159"/>
      <c r="F179" s="158"/>
      <c r="G179" s="158"/>
      <c r="H179" s="158"/>
      <c r="I179" s="158"/>
      <c r="J179" s="158"/>
      <c r="K179" s="158"/>
      <c r="L179" s="158"/>
      <c r="M179" s="158"/>
    </row>
    <row r="180" spans="1:13" x14ac:dyDescent="0.3">
      <c r="A180" s="158"/>
      <c r="B180" s="158"/>
      <c r="C180" s="158"/>
      <c r="D180" s="158"/>
      <c r="E180" s="159"/>
      <c r="F180" s="158"/>
      <c r="G180" s="158"/>
      <c r="H180" s="158"/>
      <c r="I180" s="158"/>
      <c r="J180" s="158"/>
      <c r="K180" s="158"/>
      <c r="L180" s="158"/>
      <c r="M180" s="158"/>
    </row>
    <row r="181" spans="1:13" x14ac:dyDescent="0.3">
      <c r="A181" s="158"/>
      <c r="B181" s="158"/>
      <c r="C181" s="158"/>
      <c r="D181" s="158"/>
      <c r="E181" s="159"/>
      <c r="F181" s="158"/>
      <c r="G181" s="158"/>
      <c r="H181" s="158"/>
      <c r="I181" s="158"/>
      <c r="J181" s="158"/>
      <c r="K181" s="158"/>
      <c r="L181" s="158"/>
      <c r="M181" s="158"/>
    </row>
    <row r="182" spans="1:13" x14ac:dyDescent="0.3">
      <c r="A182" s="158"/>
      <c r="B182" s="158"/>
      <c r="C182" s="158"/>
      <c r="D182" s="158"/>
      <c r="E182" s="159"/>
      <c r="F182" s="158"/>
      <c r="G182" s="158"/>
      <c r="H182" s="158"/>
      <c r="I182" s="158"/>
      <c r="J182" s="158"/>
      <c r="K182" s="158"/>
      <c r="L182" s="158"/>
      <c r="M182" s="158"/>
    </row>
    <row r="183" spans="1:13" x14ac:dyDescent="0.3">
      <c r="A183" s="158"/>
      <c r="B183" s="158"/>
      <c r="C183" s="158"/>
      <c r="D183" s="158"/>
      <c r="E183" s="159"/>
      <c r="F183" s="158"/>
      <c r="G183" s="158"/>
      <c r="H183" s="158"/>
      <c r="I183" s="158"/>
      <c r="J183" s="158"/>
      <c r="K183" s="158"/>
      <c r="L183" s="158"/>
      <c r="M183" s="158"/>
    </row>
    <row r="184" spans="1:13" x14ac:dyDescent="0.3">
      <c r="A184" s="158"/>
      <c r="B184" s="158"/>
      <c r="C184" s="158"/>
      <c r="D184" s="158"/>
      <c r="E184" s="159"/>
      <c r="F184" s="158"/>
      <c r="G184" s="158"/>
      <c r="H184" s="158"/>
      <c r="I184" s="158"/>
      <c r="J184" s="158"/>
      <c r="K184" s="158"/>
      <c r="L184" s="158"/>
      <c r="M184" s="158"/>
    </row>
    <row r="185" spans="1:13" x14ac:dyDescent="0.3">
      <c r="A185" s="158"/>
      <c r="B185" s="158"/>
      <c r="C185" s="158"/>
      <c r="D185" s="158"/>
      <c r="E185" s="159"/>
      <c r="F185" s="158"/>
      <c r="G185" s="158"/>
      <c r="H185" s="158"/>
      <c r="I185" s="158"/>
      <c r="J185" s="158"/>
      <c r="K185" s="158"/>
      <c r="L185" s="158"/>
      <c r="M185" s="158"/>
    </row>
    <row r="186" spans="1:13" x14ac:dyDescent="0.3">
      <c r="A186" s="158"/>
      <c r="B186" s="158"/>
      <c r="C186" s="158"/>
      <c r="D186" s="158"/>
      <c r="E186" s="159"/>
      <c r="F186" s="158"/>
      <c r="G186" s="158"/>
      <c r="H186" s="158"/>
      <c r="I186" s="158"/>
      <c r="J186" s="158"/>
      <c r="K186" s="158"/>
      <c r="L186" s="158"/>
      <c r="M186" s="158"/>
    </row>
    <row r="187" spans="1:13" x14ac:dyDescent="0.3">
      <c r="A187" s="158"/>
      <c r="B187" s="158"/>
      <c r="C187" s="158"/>
      <c r="D187" s="158"/>
      <c r="E187" s="159"/>
      <c r="F187" s="158"/>
      <c r="G187" s="158"/>
      <c r="H187" s="158"/>
      <c r="I187" s="158"/>
      <c r="J187" s="158"/>
      <c r="K187" s="158"/>
      <c r="L187" s="158"/>
      <c r="M187" s="158"/>
    </row>
    <row r="188" spans="1:13" x14ac:dyDescent="0.3">
      <c r="A188" s="158"/>
      <c r="B188" s="158"/>
      <c r="C188" s="158"/>
      <c r="D188" s="158"/>
      <c r="E188" s="159"/>
      <c r="F188" s="158"/>
      <c r="G188" s="158"/>
      <c r="H188" s="158"/>
      <c r="I188" s="158"/>
      <c r="J188" s="158"/>
      <c r="K188" s="158"/>
      <c r="L188" s="158"/>
      <c r="M188" s="158"/>
    </row>
    <row r="189" spans="1:13" x14ac:dyDescent="0.3">
      <c r="A189" s="158"/>
      <c r="B189" s="158"/>
      <c r="C189" s="158"/>
      <c r="D189" s="158"/>
      <c r="E189" s="159"/>
      <c r="F189" s="158"/>
      <c r="G189" s="158"/>
      <c r="H189" s="158"/>
      <c r="I189" s="158"/>
      <c r="J189" s="158"/>
      <c r="K189" s="158"/>
      <c r="L189" s="158"/>
      <c r="M189" s="158"/>
    </row>
    <row r="190" spans="1:13" x14ac:dyDescent="0.3">
      <c r="A190" s="158"/>
      <c r="B190" s="158"/>
      <c r="C190" s="158"/>
      <c r="D190" s="158"/>
      <c r="E190" s="159"/>
      <c r="F190" s="158"/>
      <c r="G190" s="158"/>
      <c r="H190" s="158"/>
      <c r="I190" s="158"/>
      <c r="J190" s="158"/>
      <c r="K190" s="158"/>
      <c r="L190" s="158"/>
      <c r="M190" s="158"/>
    </row>
    <row r="191" spans="1:13" x14ac:dyDescent="0.3">
      <c r="A191" s="158"/>
      <c r="B191" s="158"/>
      <c r="C191" s="158"/>
      <c r="D191" s="158"/>
      <c r="E191" s="159"/>
      <c r="F191" s="158"/>
      <c r="G191" s="158"/>
      <c r="H191" s="158"/>
      <c r="I191" s="158"/>
      <c r="J191" s="158"/>
      <c r="K191" s="158"/>
      <c r="L191" s="158"/>
      <c r="M191" s="158"/>
    </row>
    <row r="192" spans="1:13" x14ac:dyDescent="0.3">
      <c r="A192" s="158"/>
      <c r="B192" s="158"/>
      <c r="C192" s="158"/>
      <c r="D192" s="158"/>
      <c r="E192" s="159"/>
      <c r="F192" s="158"/>
      <c r="G192" s="158"/>
      <c r="H192" s="158"/>
      <c r="I192" s="158"/>
      <c r="J192" s="158"/>
      <c r="K192" s="158"/>
      <c r="L192" s="158"/>
      <c r="M192" s="158"/>
    </row>
    <row r="193" spans="1:13" x14ac:dyDescent="0.3">
      <c r="A193" s="158"/>
      <c r="B193" s="158"/>
      <c r="C193" s="158"/>
      <c r="D193" s="158"/>
      <c r="E193" s="159"/>
      <c r="F193" s="158"/>
      <c r="G193" s="158"/>
      <c r="H193" s="158"/>
      <c r="I193" s="158"/>
      <c r="J193" s="158"/>
      <c r="K193" s="158"/>
      <c r="L193" s="158"/>
      <c r="M193" s="158"/>
    </row>
    <row r="194" spans="1:13" x14ac:dyDescent="0.3">
      <c r="A194" s="158"/>
      <c r="B194" s="158"/>
      <c r="C194" s="158"/>
      <c r="D194" s="158"/>
      <c r="E194" s="159"/>
      <c r="F194" s="158"/>
      <c r="G194" s="158"/>
      <c r="H194" s="158"/>
      <c r="I194" s="158"/>
      <c r="J194" s="158"/>
      <c r="K194" s="158"/>
      <c r="L194" s="158"/>
      <c r="M194" s="158"/>
    </row>
    <row r="195" spans="1:13" x14ac:dyDescent="0.3">
      <c r="A195" s="158"/>
      <c r="B195" s="158"/>
      <c r="C195" s="158"/>
      <c r="D195" s="158"/>
      <c r="E195" s="159"/>
      <c r="F195" s="158"/>
      <c r="G195" s="158"/>
      <c r="H195" s="158"/>
      <c r="I195" s="158"/>
      <c r="J195" s="158"/>
      <c r="K195" s="158"/>
      <c r="L195" s="158"/>
      <c r="M195" s="158"/>
    </row>
    <row r="196" spans="1:13" x14ac:dyDescent="0.3">
      <c r="A196" s="158"/>
      <c r="B196" s="158"/>
      <c r="C196" s="158"/>
      <c r="D196" s="158"/>
      <c r="E196" s="159"/>
      <c r="F196" s="158"/>
      <c r="G196" s="158"/>
      <c r="H196" s="158"/>
      <c r="I196" s="158"/>
      <c r="J196" s="158"/>
      <c r="K196" s="158"/>
      <c r="L196" s="158"/>
      <c r="M196" s="158"/>
    </row>
    <row r="197" spans="1:13" x14ac:dyDescent="0.3">
      <c r="A197" s="158"/>
      <c r="B197" s="158"/>
      <c r="C197" s="158"/>
      <c r="D197" s="158"/>
      <c r="E197" s="159"/>
      <c r="F197" s="158"/>
      <c r="G197" s="158"/>
      <c r="H197" s="158"/>
      <c r="I197" s="158"/>
      <c r="J197" s="158"/>
      <c r="K197" s="158"/>
      <c r="L197" s="158"/>
      <c r="M197" s="158"/>
    </row>
    <row r="198" spans="1:13" x14ac:dyDescent="0.3">
      <c r="A198" s="158"/>
      <c r="B198" s="158"/>
      <c r="C198" s="158"/>
      <c r="D198" s="158"/>
      <c r="E198" s="159"/>
      <c r="F198" s="158"/>
      <c r="G198" s="158"/>
      <c r="H198" s="158"/>
      <c r="I198" s="158"/>
      <c r="J198" s="158"/>
      <c r="K198" s="158"/>
      <c r="L198" s="158"/>
      <c r="M198" s="158"/>
    </row>
    <row r="199" spans="1:13" x14ac:dyDescent="0.3">
      <c r="A199" s="158"/>
      <c r="B199" s="158"/>
      <c r="C199" s="158"/>
      <c r="D199" s="158"/>
      <c r="E199" s="159"/>
      <c r="F199" s="158"/>
      <c r="G199" s="158"/>
      <c r="H199" s="158"/>
      <c r="I199" s="158"/>
      <c r="J199" s="158"/>
      <c r="K199" s="158"/>
      <c r="L199" s="158"/>
      <c r="M199" s="158"/>
    </row>
    <row r="200" spans="1:13" x14ac:dyDescent="0.3">
      <c r="A200" s="158"/>
      <c r="B200" s="158"/>
      <c r="C200" s="158"/>
      <c r="D200" s="158"/>
      <c r="E200" s="159"/>
      <c r="F200" s="158"/>
      <c r="G200" s="158"/>
      <c r="H200" s="158"/>
      <c r="I200" s="158"/>
      <c r="J200" s="158"/>
      <c r="K200" s="158"/>
      <c r="L200" s="158"/>
      <c r="M200" s="158"/>
    </row>
    <row r="201" spans="1:13" x14ac:dyDescent="0.3">
      <c r="A201" s="158"/>
      <c r="B201" s="158"/>
      <c r="C201" s="158"/>
      <c r="D201" s="158"/>
      <c r="E201" s="159"/>
      <c r="F201" s="158"/>
      <c r="G201" s="158"/>
      <c r="H201" s="158"/>
      <c r="I201" s="158"/>
      <c r="J201" s="158"/>
      <c r="K201" s="158"/>
      <c r="L201" s="158"/>
      <c r="M201" s="158"/>
    </row>
    <row r="202" spans="1:13" x14ac:dyDescent="0.3">
      <c r="A202" s="158"/>
      <c r="B202" s="158"/>
      <c r="C202" s="158"/>
      <c r="D202" s="158"/>
      <c r="E202" s="159"/>
      <c r="F202" s="158"/>
      <c r="G202" s="158"/>
      <c r="H202" s="158"/>
      <c r="I202" s="158"/>
      <c r="J202" s="158"/>
      <c r="K202" s="158"/>
      <c r="L202" s="158"/>
      <c r="M202" s="158"/>
    </row>
    <row r="203" spans="1:13" x14ac:dyDescent="0.3">
      <c r="A203" s="158"/>
      <c r="B203" s="158"/>
      <c r="C203" s="158"/>
      <c r="D203" s="158"/>
      <c r="E203" s="159"/>
      <c r="F203" s="158"/>
      <c r="G203" s="158"/>
      <c r="H203" s="158"/>
      <c r="I203" s="158"/>
      <c r="J203" s="158"/>
      <c r="K203" s="158"/>
      <c r="L203" s="158"/>
      <c r="M203" s="158"/>
    </row>
    <row r="204" spans="1:13" x14ac:dyDescent="0.3">
      <c r="A204" s="158"/>
      <c r="B204" s="158"/>
      <c r="C204" s="158"/>
      <c r="D204" s="158"/>
      <c r="E204" s="159"/>
      <c r="F204" s="158"/>
      <c r="G204" s="158"/>
      <c r="H204" s="158"/>
      <c r="I204" s="158"/>
      <c r="J204" s="158"/>
      <c r="K204" s="158"/>
      <c r="L204" s="158"/>
      <c r="M204" s="158"/>
    </row>
    <row r="205" spans="1:13" x14ac:dyDescent="0.3">
      <c r="A205" s="158"/>
      <c r="B205" s="158"/>
      <c r="C205" s="158"/>
      <c r="D205" s="158"/>
      <c r="E205" s="159"/>
      <c r="F205" s="158"/>
      <c r="G205" s="158"/>
      <c r="H205" s="158"/>
      <c r="I205" s="158"/>
      <c r="J205" s="158"/>
      <c r="K205" s="158"/>
      <c r="L205" s="158"/>
      <c r="M205" s="158"/>
    </row>
    <row r="206" spans="1:13" x14ac:dyDescent="0.3">
      <c r="A206" s="158"/>
      <c r="B206" s="158"/>
      <c r="C206" s="158"/>
      <c r="D206" s="158"/>
      <c r="E206" s="159"/>
      <c r="F206" s="158"/>
      <c r="G206" s="158"/>
      <c r="H206" s="158"/>
      <c r="I206" s="158"/>
      <c r="J206" s="158"/>
      <c r="K206" s="158"/>
      <c r="L206" s="158"/>
      <c r="M206" s="158"/>
    </row>
  </sheetData>
  <mergeCells count="6">
    <mergeCell ref="W5:W6"/>
    <mergeCell ref="B1:L1"/>
    <mergeCell ref="M1:M2"/>
    <mergeCell ref="B2:L2"/>
    <mergeCell ref="B3:L3"/>
    <mergeCell ref="D4:E4"/>
  </mergeCells>
  <pageMargins left="0.7" right="0.7" top="0.75" bottom="0.75" header="0.3" footer="0.3"/>
  <pageSetup scale="3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V63"/>
  <sheetViews>
    <sheetView topLeftCell="A11" zoomScale="55" zoomScaleNormal="55" workbookViewId="0">
      <selection activeCell="Q50" sqref="Q50"/>
    </sheetView>
  </sheetViews>
  <sheetFormatPr defaultRowHeight="15.75" x14ac:dyDescent="0.25"/>
  <cols>
    <col min="2" max="2" width="27" customWidth="1"/>
    <col min="3" max="4" width="14.625" customWidth="1"/>
    <col min="5" max="5" width="13.125" style="160" customWidth="1"/>
    <col min="6" max="6" width="16.375" customWidth="1"/>
    <col min="7" max="13" width="17" customWidth="1"/>
    <col min="14" max="14" width="13.375" customWidth="1"/>
    <col min="15" max="16" width="16.25" customWidth="1"/>
    <col min="17" max="17" width="14.625" customWidth="1"/>
    <col min="18" max="18" width="15.125" customWidth="1"/>
    <col min="21" max="21" width="12.375" bestFit="1" customWidth="1"/>
    <col min="22" max="22" width="11.75" bestFit="1" customWidth="1"/>
  </cols>
  <sheetData>
    <row r="1" spans="2:22" ht="16.5" thickBot="1" x14ac:dyDescent="0.3"/>
    <row r="2" spans="2:22" ht="34.5" customHeight="1" thickTop="1" x14ac:dyDescent="0.25">
      <c r="B2" s="262" t="s">
        <v>107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/>
      <c r="N2" s="265" t="s">
        <v>108</v>
      </c>
      <c r="O2" s="266"/>
    </row>
    <row r="3" spans="2:22" ht="34.5" customHeight="1" x14ac:dyDescent="0.25">
      <c r="B3" s="267" t="s">
        <v>109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  <c r="N3" s="161"/>
    </row>
    <row r="4" spans="2:22" ht="34.5" customHeight="1" thickBot="1" x14ac:dyDescent="0.3">
      <c r="B4" s="270" t="s">
        <v>110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2"/>
      <c r="N4" s="161"/>
    </row>
    <row r="5" spans="2:22" ht="19.5" customHeight="1" thickTop="1" x14ac:dyDescent="0.25">
      <c r="B5" s="273" t="s">
        <v>111</v>
      </c>
      <c r="C5" s="275" t="s">
        <v>112</v>
      </c>
      <c r="D5" s="276"/>
      <c r="E5" s="276"/>
      <c r="F5" s="277"/>
      <c r="G5" s="275" t="s">
        <v>113</v>
      </c>
      <c r="H5" s="277" t="s">
        <v>114</v>
      </c>
      <c r="I5" s="275" t="s">
        <v>115</v>
      </c>
      <c r="J5" s="276" t="s">
        <v>116</v>
      </c>
      <c r="K5" s="276" t="s">
        <v>117</v>
      </c>
      <c r="L5" s="277" t="s">
        <v>118</v>
      </c>
      <c r="M5" s="299" t="s">
        <v>119</v>
      </c>
      <c r="N5" s="161"/>
    </row>
    <row r="6" spans="2:22" ht="97.5" customHeight="1" thickBot="1" x14ac:dyDescent="0.3">
      <c r="B6" s="274"/>
      <c r="C6" s="162" t="s">
        <v>120</v>
      </c>
      <c r="D6" s="163" t="s">
        <v>121</v>
      </c>
      <c r="E6" s="163" t="s">
        <v>43</v>
      </c>
      <c r="F6" s="164" t="s">
        <v>122</v>
      </c>
      <c r="G6" s="278"/>
      <c r="H6" s="279"/>
      <c r="I6" s="278"/>
      <c r="J6" s="280"/>
      <c r="K6" s="280"/>
      <c r="L6" s="279"/>
      <c r="M6" s="300"/>
      <c r="N6" s="161"/>
      <c r="P6" t="s">
        <v>123</v>
      </c>
      <c r="Q6" s="165">
        <f>F11+F16+F21+F24+F45+F49+F55</f>
        <v>38923.199999999997</v>
      </c>
      <c r="R6" s="165">
        <f t="shared" ref="R6:R11" si="0">Q6*1.22</f>
        <v>47486.303999999996</v>
      </c>
    </row>
    <row r="7" spans="2:22" ht="56.25" customHeight="1" thickBot="1" x14ac:dyDescent="0.3">
      <c r="B7" s="166" t="s">
        <v>124</v>
      </c>
      <c r="C7" s="301" t="s">
        <v>125</v>
      </c>
      <c r="D7" s="302"/>
      <c r="E7" s="302"/>
      <c r="F7" s="303"/>
      <c r="G7" s="167">
        <f>SUM(F7:F7)</f>
        <v>0</v>
      </c>
      <c r="H7" s="168">
        <f>G7*0.22</f>
        <v>0</v>
      </c>
      <c r="I7" s="167"/>
      <c r="J7" s="169"/>
      <c r="K7" s="170"/>
      <c r="L7" s="169"/>
      <c r="M7" s="171">
        <f>SUM(G7:L7)</f>
        <v>0</v>
      </c>
      <c r="N7" s="161"/>
      <c r="P7" t="s">
        <v>126</v>
      </c>
      <c r="Q7" s="165">
        <f>F12+F17</f>
        <v>22633.52</v>
      </c>
      <c r="R7" s="165">
        <f t="shared" si="0"/>
        <v>27612.894400000001</v>
      </c>
    </row>
    <row r="8" spans="2:22" ht="44.25" customHeight="1" thickBot="1" x14ac:dyDescent="0.3">
      <c r="B8" s="172" t="s">
        <v>127</v>
      </c>
      <c r="C8" s="173" t="s">
        <v>128</v>
      </c>
      <c r="D8" s="304" t="s">
        <v>129</v>
      </c>
      <c r="E8" s="304"/>
      <c r="F8" s="305"/>
      <c r="G8" s="174" t="s">
        <v>130</v>
      </c>
      <c r="H8" s="175" t="s">
        <v>130</v>
      </c>
      <c r="I8" s="174"/>
      <c r="J8" s="176"/>
      <c r="K8" s="177"/>
      <c r="L8" s="176"/>
      <c r="M8" s="178">
        <f>SUM(G8:L8)</f>
        <v>0</v>
      </c>
      <c r="N8" s="161"/>
      <c r="P8" s="179" t="s">
        <v>131</v>
      </c>
      <c r="Q8" s="165">
        <f>SUM(F15,F20,F22,F47)</f>
        <v>13118.559999999998</v>
      </c>
      <c r="R8" s="165">
        <f t="shared" si="0"/>
        <v>16004.643199999997</v>
      </c>
    </row>
    <row r="9" spans="2:22" ht="72.75" customHeight="1" thickBot="1" x14ac:dyDescent="0.3">
      <c r="B9" s="172" t="s">
        <v>132</v>
      </c>
      <c r="C9" s="306" t="s">
        <v>125</v>
      </c>
      <c r="D9" s="304"/>
      <c r="E9" s="304"/>
      <c r="F9" s="305"/>
      <c r="G9" s="174">
        <v>0</v>
      </c>
      <c r="H9" s="175">
        <v>0</v>
      </c>
      <c r="I9" s="174"/>
      <c r="J9" s="176"/>
      <c r="K9" s="176"/>
      <c r="L9" s="176"/>
      <c r="M9" s="178">
        <f>SUM(G9:L9)</f>
        <v>0</v>
      </c>
      <c r="N9" s="161"/>
      <c r="P9" s="179" t="s">
        <v>133</v>
      </c>
      <c r="Q9" s="165">
        <f>SUM(F14,F19,F48,F51,F57)</f>
        <v>7548</v>
      </c>
      <c r="R9" s="165">
        <f t="shared" si="0"/>
        <v>9208.56</v>
      </c>
      <c r="V9" s="165"/>
    </row>
    <row r="10" spans="2:22" ht="72.75" customHeight="1" thickBot="1" x14ac:dyDescent="0.3">
      <c r="B10" s="172" t="s">
        <v>134</v>
      </c>
      <c r="C10" s="281" t="s">
        <v>125</v>
      </c>
      <c r="D10" s="282"/>
      <c r="E10" s="282"/>
      <c r="F10" s="283"/>
      <c r="G10" s="174">
        <v>0</v>
      </c>
      <c r="H10" s="175">
        <v>0</v>
      </c>
      <c r="I10" s="174"/>
      <c r="J10" s="176"/>
      <c r="K10" s="176"/>
      <c r="L10" s="176"/>
      <c r="M10" s="178">
        <f>SUM(G10:L10)</f>
        <v>0</v>
      </c>
      <c r="N10" s="161"/>
      <c r="P10" t="s">
        <v>135</v>
      </c>
      <c r="Q10" s="180">
        <f>SUM(F46,F50,F56)</f>
        <v>16100</v>
      </c>
      <c r="R10" s="165">
        <f t="shared" si="0"/>
        <v>19642</v>
      </c>
      <c r="V10" s="179"/>
    </row>
    <row r="11" spans="2:22" ht="36.75" customHeight="1" x14ac:dyDescent="0.25">
      <c r="B11" s="284" t="s">
        <v>136</v>
      </c>
      <c r="C11" s="181" t="s">
        <v>137</v>
      </c>
      <c r="D11" s="182">
        <f>Q17*0.2</f>
        <v>216</v>
      </c>
      <c r="E11" s="183">
        <f>'Draft 2014 BPA Lamprey Budget'!I8</f>
        <v>36.04</v>
      </c>
      <c r="F11" s="184">
        <f>E11*D11</f>
        <v>7784.6399999999994</v>
      </c>
      <c r="G11" s="287">
        <f>SUM(F11:F15)</f>
        <v>19806.732</v>
      </c>
      <c r="H11" s="290">
        <f>G11*0.22</f>
        <v>4357.4810399999997</v>
      </c>
      <c r="I11" s="293"/>
      <c r="J11" s="296"/>
      <c r="K11" s="296"/>
      <c r="L11" s="296"/>
      <c r="M11" s="307">
        <f>SUM(G11:L11)</f>
        <v>24164.213039999999</v>
      </c>
      <c r="N11" s="161"/>
      <c r="P11" t="s">
        <v>16</v>
      </c>
      <c r="Q11" s="185">
        <f>'Draft 2014 BPA Lamprey Budget'!K6</f>
        <v>4484</v>
      </c>
      <c r="R11" s="165">
        <f t="shared" si="0"/>
        <v>5470.48</v>
      </c>
      <c r="U11" s="165"/>
      <c r="V11" s="165"/>
    </row>
    <row r="12" spans="2:22" ht="36.75" customHeight="1" x14ac:dyDescent="0.25">
      <c r="B12" s="285"/>
      <c r="C12" s="186" t="s">
        <v>138</v>
      </c>
      <c r="D12" s="187">
        <f>Q19*0.25</f>
        <v>182</v>
      </c>
      <c r="E12" s="188">
        <f>'Draft 2014 BPA Lamprey Budget'!I7</f>
        <v>31.09</v>
      </c>
      <c r="F12" s="189">
        <f t="shared" ref="F12:F24" si="1">E12*D12</f>
        <v>5658.38</v>
      </c>
      <c r="G12" s="288"/>
      <c r="H12" s="291"/>
      <c r="I12" s="294"/>
      <c r="J12" s="297"/>
      <c r="K12" s="297"/>
      <c r="L12" s="297"/>
      <c r="M12" s="308"/>
      <c r="N12" s="161"/>
      <c r="Q12" s="190">
        <f>SUM(Q6:Q11)</f>
        <v>102807.28</v>
      </c>
      <c r="R12" s="190">
        <f>SUM(R6:R11)</f>
        <v>125424.88159999998</v>
      </c>
    </row>
    <row r="13" spans="2:22" ht="36.75" customHeight="1" x14ac:dyDescent="0.25">
      <c r="B13" s="285"/>
      <c r="C13" s="186" t="s">
        <v>135</v>
      </c>
      <c r="D13" s="187"/>
      <c r="E13" s="188">
        <f>'Draft 2014 BPA Lamprey Budget'!I11</f>
        <v>23</v>
      </c>
      <c r="F13" s="189">
        <f t="shared" si="1"/>
        <v>0</v>
      </c>
      <c r="G13" s="288"/>
      <c r="H13" s="291"/>
      <c r="I13" s="294"/>
      <c r="J13" s="297"/>
      <c r="K13" s="297"/>
      <c r="L13" s="297"/>
      <c r="M13" s="308"/>
      <c r="N13" s="161"/>
      <c r="Q13" s="165"/>
      <c r="R13" s="165"/>
      <c r="U13" s="165"/>
    </row>
    <row r="14" spans="2:22" ht="36.75" customHeight="1" x14ac:dyDescent="0.25">
      <c r="B14" s="285"/>
      <c r="C14" s="191" t="s">
        <v>139</v>
      </c>
      <c r="D14" s="192">
        <v>220</v>
      </c>
      <c r="E14" s="188">
        <f>'Draft 2014 BPA Lamprey Budget'!I10</f>
        <v>17</v>
      </c>
      <c r="F14" s="189">
        <f t="shared" si="1"/>
        <v>3740</v>
      </c>
      <c r="G14" s="288"/>
      <c r="H14" s="291"/>
      <c r="I14" s="294"/>
      <c r="J14" s="297"/>
      <c r="K14" s="297"/>
      <c r="L14" s="297"/>
      <c r="M14" s="308"/>
      <c r="N14" s="161"/>
    </row>
    <row r="15" spans="2:22" ht="36.75" customHeight="1" thickBot="1" x14ac:dyDescent="0.3">
      <c r="B15" s="286"/>
      <c r="C15" s="186" t="s">
        <v>140</v>
      </c>
      <c r="D15" s="193">
        <f>Q18*0.2</f>
        <v>145.6</v>
      </c>
      <c r="E15" s="194">
        <f>'Draft 2014 BPA Lamprey Budget'!I9</f>
        <v>18.02</v>
      </c>
      <c r="F15" s="195">
        <f t="shared" si="1"/>
        <v>2623.712</v>
      </c>
      <c r="G15" s="289"/>
      <c r="H15" s="292"/>
      <c r="I15" s="295"/>
      <c r="J15" s="298"/>
      <c r="K15" s="298"/>
      <c r="L15" s="298"/>
      <c r="M15" s="309"/>
      <c r="N15" s="161"/>
    </row>
    <row r="16" spans="2:22" ht="36.75" customHeight="1" x14ac:dyDescent="0.25">
      <c r="B16" s="284" t="s">
        <v>141</v>
      </c>
      <c r="C16" s="181" t="s">
        <v>137</v>
      </c>
      <c r="D16" s="182">
        <f>Q17*0.35</f>
        <v>378</v>
      </c>
      <c r="E16" s="170">
        <f>E11</f>
        <v>36.04</v>
      </c>
      <c r="F16" s="184">
        <f t="shared" si="1"/>
        <v>13623.119999999999</v>
      </c>
      <c r="G16" s="287">
        <f>SUM(F16:F20)</f>
        <v>43589.251999999993</v>
      </c>
      <c r="H16" s="290">
        <f>G16*0.22</f>
        <v>9589.6354399999982</v>
      </c>
      <c r="I16" s="293"/>
      <c r="J16" s="296"/>
      <c r="K16" s="296"/>
      <c r="L16" s="296"/>
      <c r="M16" s="307">
        <f>SUM(G16:L16)</f>
        <v>53178.887439999991</v>
      </c>
      <c r="N16" s="161"/>
      <c r="P16" t="s">
        <v>16</v>
      </c>
      <c r="Q16">
        <f>'Draft 2014 BPA Lamprey Budget'!F6</f>
        <v>200</v>
      </c>
      <c r="R16">
        <f>Q16-D23</f>
        <v>0</v>
      </c>
      <c r="U16" s="165"/>
    </row>
    <row r="17" spans="2:21" ht="36.75" customHeight="1" x14ac:dyDescent="0.25">
      <c r="B17" s="285"/>
      <c r="C17" s="186" t="s">
        <v>138</v>
      </c>
      <c r="D17" s="187">
        <f>Q19*0.75</f>
        <v>546</v>
      </c>
      <c r="E17" s="196">
        <f>E12</f>
        <v>31.09</v>
      </c>
      <c r="F17" s="189">
        <f t="shared" si="1"/>
        <v>16975.14</v>
      </c>
      <c r="G17" s="288"/>
      <c r="H17" s="291"/>
      <c r="I17" s="294"/>
      <c r="J17" s="297"/>
      <c r="K17" s="297"/>
      <c r="L17" s="297"/>
      <c r="M17" s="308"/>
      <c r="N17" s="161"/>
      <c r="P17" t="s">
        <v>21</v>
      </c>
      <c r="Q17">
        <f>'Draft 2014 BPA Lamprey Budget'!F8</f>
        <v>1080</v>
      </c>
      <c r="R17" s="197">
        <f>Q17-D11-D16-D21-D24-D45-D49-D55</f>
        <v>0</v>
      </c>
    </row>
    <row r="18" spans="2:21" ht="36.75" customHeight="1" x14ac:dyDescent="0.25">
      <c r="B18" s="285"/>
      <c r="C18" s="186" t="s">
        <v>135</v>
      </c>
      <c r="D18" s="187"/>
      <c r="E18" s="196">
        <f>'Draft 2014 BPA Lamprey Budget'!I11</f>
        <v>23</v>
      </c>
      <c r="F18" s="189">
        <f t="shared" si="1"/>
        <v>0</v>
      </c>
      <c r="G18" s="288"/>
      <c r="H18" s="291"/>
      <c r="I18" s="294"/>
      <c r="J18" s="297"/>
      <c r="K18" s="297"/>
      <c r="L18" s="297"/>
      <c r="M18" s="308"/>
      <c r="N18" s="161"/>
      <c r="P18" t="s">
        <v>142</v>
      </c>
      <c r="Q18">
        <f>'Draft 2014 BPA Lamprey Budget'!F9</f>
        <v>728</v>
      </c>
      <c r="R18" s="197">
        <f>Q18-D15-D20-D22-D47</f>
        <v>1.4210854715202004E-14</v>
      </c>
      <c r="U18" s="179"/>
    </row>
    <row r="19" spans="2:21" ht="36.75" customHeight="1" x14ac:dyDescent="0.25">
      <c r="B19" s="285"/>
      <c r="C19" s="191" t="s">
        <v>139</v>
      </c>
      <c r="D19" s="192">
        <v>224</v>
      </c>
      <c r="E19" s="196">
        <f>E14</f>
        <v>17</v>
      </c>
      <c r="F19" s="189">
        <f t="shared" si="1"/>
        <v>3808</v>
      </c>
      <c r="G19" s="288"/>
      <c r="H19" s="291"/>
      <c r="I19" s="294"/>
      <c r="J19" s="297"/>
      <c r="K19" s="297"/>
      <c r="L19" s="297"/>
      <c r="M19" s="308"/>
      <c r="N19" s="161"/>
      <c r="P19" t="s">
        <v>19</v>
      </c>
      <c r="Q19">
        <f>'Draft 2014 BPA Lamprey Budget'!F7</f>
        <v>728</v>
      </c>
      <c r="R19">
        <f>Q19-D12-D17</f>
        <v>0</v>
      </c>
    </row>
    <row r="20" spans="2:21" ht="36.75" customHeight="1" thickBot="1" x14ac:dyDescent="0.3">
      <c r="B20" s="286"/>
      <c r="C20" s="186" t="s">
        <v>140</v>
      </c>
      <c r="D20" s="198">
        <f>Q18*0.7</f>
        <v>509.59999999999997</v>
      </c>
      <c r="E20" s="199">
        <f>E15</f>
        <v>18.02</v>
      </c>
      <c r="F20" s="200">
        <f t="shared" si="1"/>
        <v>9182.9919999999984</v>
      </c>
      <c r="G20" s="289"/>
      <c r="H20" s="292"/>
      <c r="I20" s="295"/>
      <c r="J20" s="298"/>
      <c r="K20" s="298"/>
      <c r="L20" s="298"/>
      <c r="M20" s="309"/>
      <c r="N20" s="161"/>
      <c r="P20" t="s">
        <v>143</v>
      </c>
      <c r="Q20">
        <f>'Draft 2014 BPA Lamprey Budget'!F11</f>
        <v>700</v>
      </c>
      <c r="R20" s="197">
        <f>Q20-D13-D18-D46-D50-D56</f>
        <v>0</v>
      </c>
    </row>
    <row r="21" spans="2:21" ht="36.75" customHeight="1" x14ac:dyDescent="0.25">
      <c r="B21" s="284" t="s">
        <v>144</v>
      </c>
      <c r="C21" s="201" t="s">
        <v>137</v>
      </c>
      <c r="D21" s="202">
        <f>Q17*0.05</f>
        <v>54</v>
      </c>
      <c r="E21" s="203">
        <f>E11</f>
        <v>36.04</v>
      </c>
      <c r="F21" s="204">
        <f t="shared" si="1"/>
        <v>1946.1599999999999</v>
      </c>
      <c r="G21" s="293">
        <f>SUM(F21:F22)</f>
        <v>3258.0159999999996</v>
      </c>
      <c r="H21" s="290">
        <f>G21*0.22</f>
        <v>716.76351999999997</v>
      </c>
      <c r="I21" s="293"/>
      <c r="J21" s="296"/>
      <c r="K21" s="296"/>
      <c r="L21" s="296"/>
      <c r="M21" s="307">
        <f>SUM(G21:L21)</f>
        <v>3974.7795199999996</v>
      </c>
      <c r="N21" s="161"/>
      <c r="P21" t="s">
        <v>145</v>
      </c>
      <c r="Q21">
        <f>'Draft 2014 BPA Lamprey Budget'!F10</f>
        <v>448</v>
      </c>
      <c r="R21" s="197">
        <f>Q21-D19-D14-D48-D51-D57</f>
        <v>4</v>
      </c>
    </row>
    <row r="22" spans="2:21" ht="36.75" customHeight="1" thickBot="1" x14ac:dyDescent="0.3">
      <c r="B22" s="286"/>
      <c r="C22" s="186" t="s">
        <v>140</v>
      </c>
      <c r="D22" s="198">
        <f>Q18*0.1</f>
        <v>72.8</v>
      </c>
      <c r="E22" s="205">
        <f>E15</f>
        <v>18.02</v>
      </c>
      <c r="F22" s="200">
        <f t="shared" si="1"/>
        <v>1311.856</v>
      </c>
      <c r="G22" s="295"/>
      <c r="H22" s="292"/>
      <c r="I22" s="295"/>
      <c r="J22" s="298"/>
      <c r="K22" s="298"/>
      <c r="L22" s="298"/>
      <c r="M22" s="309"/>
      <c r="N22" s="161"/>
    </row>
    <row r="23" spans="2:21" ht="36.75" customHeight="1" x14ac:dyDescent="0.25">
      <c r="B23" s="284" t="s">
        <v>146</v>
      </c>
      <c r="C23" s="181" t="s">
        <v>147</v>
      </c>
      <c r="D23" s="182">
        <f>'Draft 2014 BPA Lamprey Budget'!F6</f>
        <v>200</v>
      </c>
      <c r="E23" s="183">
        <f>'Draft 2014 BPA Lamprey Budget'!I6</f>
        <v>22.42</v>
      </c>
      <c r="F23" s="184">
        <f t="shared" si="1"/>
        <v>4484</v>
      </c>
      <c r="G23" s="293">
        <f>SUM(F23:F24)</f>
        <v>8376.32</v>
      </c>
      <c r="H23" s="290">
        <f>G23*0.22</f>
        <v>1842.7903999999999</v>
      </c>
      <c r="I23" s="293"/>
      <c r="J23" s="296"/>
      <c r="K23" s="296"/>
      <c r="L23" s="296"/>
      <c r="M23" s="307">
        <f>SUM(G23:L23)</f>
        <v>10219.1104</v>
      </c>
      <c r="N23" s="161"/>
      <c r="P23" s="165"/>
    </row>
    <row r="24" spans="2:21" ht="36.75" customHeight="1" thickBot="1" x14ac:dyDescent="0.3">
      <c r="B24" s="286"/>
      <c r="C24" s="206" t="s">
        <v>137</v>
      </c>
      <c r="D24" s="198">
        <f>Q17*0.1</f>
        <v>108</v>
      </c>
      <c r="E24" s="205">
        <f>E11</f>
        <v>36.04</v>
      </c>
      <c r="F24" s="200">
        <f t="shared" si="1"/>
        <v>3892.3199999999997</v>
      </c>
      <c r="G24" s="295"/>
      <c r="H24" s="292"/>
      <c r="I24" s="295"/>
      <c r="J24" s="298"/>
      <c r="K24" s="298"/>
      <c r="L24" s="298"/>
      <c r="M24" s="309"/>
      <c r="N24" s="161"/>
      <c r="O24" s="207"/>
    </row>
    <row r="25" spans="2:21" ht="9.75" customHeight="1" thickBot="1" x14ac:dyDescent="0.3">
      <c r="B25" s="208"/>
      <c r="C25" s="209"/>
      <c r="D25" s="209"/>
      <c r="E25" s="210"/>
      <c r="F25" s="209"/>
      <c r="G25" s="209"/>
      <c r="H25" s="209"/>
      <c r="I25" s="209"/>
      <c r="J25" s="209"/>
      <c r="K25" s="209"/>
      <c r="L25" s="209"/>
      <c r="M25" s="211"/>
      <c r="N25" s="161"/>
    </row>
    <row r="26" spans="2:21" ht="30" customHeight="1" x14ac:dyDescent="0.25">
      <c r="B26" s="212" t="s">
        <v>148</v>
      </c>
      <c r="C26" s="310"/>
      <c r="D26" s="310"/>
      <c r="E26" s="310"/>
      <c r="F26" s="310"/>
      <c r="G26" s="169">
        <f t="shared" ref="G26:L26" si="2">SUM(G7:G24)</f>
        <v>75030.320000000007</v>
      </c>
      <c r="H26" s="169">
        <f t="shared" si="2"/>
        <v>16506.670399999995</v>
      </c>
      <c r="I26" s="169">
        <f t="shared" si="2"/>
        <v>0</v>
      </c>
      <c r="J26" s="169">
        <f t="shared" si="2"/>
        <v>0</v>
      </c>
      <c r="K26" s="169">
        <f t="shared" si="2"/>
        <v>0</v>
      </c>
      <c r="L26" s="169">
        <f t="shared" si="2"/>
        <v>0</v>
      </c>
      <c r="M26" s="171">
        <f>SUM(G26:L26)</f>
        <v>91536.99040000001</v>
      </c>
      <c r="N26" s="161"/>
    </row>
    <row r="27" spans="2:21" ht="30" customHeight="1" thickBot="1" x14ac:dyDescent="0.3">
      <c r="B27" s="213" t="s">
        <v>149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214">
        <f>M26*0.2038</f>
        <v>18655.238643520002</v>
      </c>
      <c r="N27" s="161"/>
    </row>
    <row r="28" spans="2:21" ht="30" customHeight="1" thickBot="1" x14ac:dyDescent="0.3">
      <c r="B28" s="215" t="s">
        <v>150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216">
        <f>SUM(M26:M27)</f>
        <v>110192.22904352001</v>
      </c>
      <c r="N28" s="217" t="s">
        <v>151</v>
      </c>
      <c r="O28" s="171">
        <v>110197</v>
      </c>
      <c r="P28" s="218">
        <f>M28-O28</f>
        <v>-4.7709564799879445</v>
      </c>
    </row>
    <row r="29" spans="2:21" ht="30" customHeight="1" thickTop="1" thickBot="1" x14ac:dyDescent="0.3">
      <c r="B29" s="219"/>
      <c r="C29" s="219"/>
      <c r="D29" s="219"/>
      <c r="E29" s="220"/>
      <c r="F29" s="219"/>
      <c r="G29" s="219"/>
      <c r="H29" s="219"/>
      <c r="I29" s="219"/>
      <c r="J29" s="219"/>
      <c r="K29" s="219"/>
      <c r="L29" s="219"/>
      <c r="M29" s="221"/>
      <c r="N29" s="161"/>
    </row>
    <row r="30" spans="2:21" ht="34.5" customHeight="1" thickTop="1" x14ac:dyDescent="0.25">
      <c r="B30" s="262" t="s">
        <v>152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4"/>
      <c r="N30" s="161"/>
      <c r="R30" s="165"/>
    </row>
    <row r="31" spans="2:21" ht="34.5" customHeight="1" x14ac:dyDescent="0.25">
      <c r="B31" s="267" t="s">
        <v>109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161"/>
      <c r="Q31" s="165"/>
      <c r="R31" s="165"/>
    </row>
    <row r="32" spans="2:21" ht="34.5" customHeight="1" thickBot="1" x14ac:dyDescent="0.3">
      <c r="B32" s="270" t="s">
        <v>110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2"/>
      <c r="N32" s="161"/>
      <c r="Q32" s="165"/>
    </row>
    <row r="33" spans="2:17" ht="19.5" customHeight="1" thickTop="1" x14ac:dyDescent="0.25">
      <c r="B33" s="313" t="s">
        <v>111</v>
      </c>
      <c r="C33" s="315" t="s">
        <v>112</v>
      </c>
      <c r="D33" s="316"/>
      <c r="E33" s="316"/>
      <c r="F33" s="317"/>
      <c r="G33" s="315" t="s">
        <v>113</v>
      </c>
      <c r="H33" s="317" t="s">
        <v>114</v>
      </c>
      <c r="I33" s="315" t="s">
        <v>115</v>
      </c>
      <c r="J33" s="316" t="s">
        <v>116</v>
      </c>
      <c r="K33" s="316" t="s">
        <v>117</v>
      </c>
      <c r="L33" s="317" t="s">
        <v>118</v>
      </c>
      <c r="M33" s="321" t="s">
        <v>119</v>
      </c>
      <c r="N33" s="161"/>
      <c r="Q33" s="179"/>
    </row>
    <row r="34" spans="2:17" ht="97.5" customHeight="1" thickBot="1" x14ac:dyDescent="0.3">
      <c r="B34" s="314"/>
      <c r="C34" s="222" t="s">
        <v>120</v>
      </c>
      <c r="D34" s="223" t="s">
        <v>121</v>
      </c>
      <c r="E34" s="223" t="s">
        <v>43</v>
      </c>
      <c r="F34" s="224" t="s">
        <v>122</v>
      </c>
      <c r="G34" s="318"/>
      <c r="H34" s="319"/>
      <c r="I34" s="318"/>
      <c r="J34" s="320"/>
      <c r="K34" s="320"/>
      <c r="L34" s="319"/>
      <c r="M34" s="322"/>
      <c r="N34" s="161"/>
    </row>
    <row r="35" spans="2:17" ht="16.5" hidden="1" thickBot="1" x14ac:dyDescent="0.3">
      <c r="B35" s="160"/>
      <c r="C35" s="160"/>
      <c r="D35" s="160"/>
      <c r="F35" s="160"/>
      <c r="G35" s="160"/>
      <c r="H35" s="160"/>
      <c r="I35" s="160"/>
      <c r="J35" s="160"/>
      <c r="K35" s="160"/>
      <c r="L35" s="160"/>
      <c r="M35" s="160"/>
      <c r="Q35" s="165">
        <f>SUM(M16,M49)</f>
        <v>77245.77863999999</v>
      </c>
    </row>
    <row r="36" spans="2:17" ht="42" hidden="1" customHeight="1" thickTop="1" x14ac:dyDescent="0.25">
      <c r="B36" s="323" t="s">
        <v>153</v>
      </c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5"/>
    </row>
    <row r="37" spans="2:17" ht="42" hidden="1" customHeight="1" x14ac:dyDescent="0.25">
      <c r="B37" s="326" t="s">
        <v>154</v>
      </c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8"/>
    </row>
    <row r="38" spans="2:17" ht="42" hidden="1" customHeight="1" thickBot="1" x14ac:dyDescent="0.3">
      <c r="B38" s="326" t="s">
        <v>110</v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</row>
    <row r="39" spans="2:17" ht="21.75" hidden="1" customHeight="1" thickTop="1" x14ac:dyDescent="0.25">
      <c r="B39" s="329" t="s">
        <v>111</v>
      </c>
      <c r="C39" s="316" t="s">
        <v>112</v>
      </c>
      <c r="D39" s="316"/>
      <c r="E39" s="316"/>
      <c r="F39" s="331"/>
      <c r="G39" s="315" t="s">
        <v>113</v>
      </c>
      <c r="H39" s="317" t="s">
        <v>114</v>
      </c>
      <c r="I39" s="315" t="s">
        <v>115</v>
      </c>
      <c r="J39" s="316" t="s">
        <v>116</v>
      </c>
      <c r="K39" s="316" t="s">
        <v>117</v>
      </c>
      <c r="L39" s="316" t="s">
        <v>118</v>
      </c>
      <c r="M39" s="347" t="s">
        <v>155</v>
      </c>
    </row>
    <row r="40" spans="2:17" ht="81.75" hidden="1" customHeight="1" thickBot="1" x14ac:dyDescent="0.3">
      <c r="B40" s="330"/>
      <c r="C40" s="225" t="s">
        <v>120</v>
      </c>
      <c r="D40" s="225" t="s">
        <v>121</v>
      </c>
      <c r="E40" s="225" t="s">
        <v>43</v>
      </c>
      <c r="F40" s="226" t="s">
        <v>122</v>
      </c>
      <c r="G40" s="332"/>
      <c r="H40" s="333"/>
      <c r="I40" s="332"/>
      <c r="J40" s="334"/>
      <c r="K40" s="334"/>
      <c r="L40" s="334"/>
      <c r="M40" s="348"/>
    </row>
    <row r="41" spans="2:17" ht="63.75" hidden="1" customHeight="1" thickBot="1" x14ac:dyDescent="0.3">
      <c r="B41" s="227" t="s">
        <v>124</v>
      </c>
      <c r="C41" s="349" t="s">
        <v>130</v>
      </c>
      <c r="D41" s="350"/>
      <c r="E41" s="350"/>
      <c r="F41" s="351"/>
      <c r="G41" s="228">
        <v>0</v>
      </c>
      <c r="H41" s="229">
        <v>0</v>
      </c>
      <c r="I41" s="228"/>
      <c r="J41" s="177"/>
      <c r="K41" s="177"/>
      <c r="L41" s="177"/>
      <c r="M41" s="230">
        <f>SUM(G41:L41)</f>
        <v>0</v>
      </c>
    </row>
    <row r="42" spans="2:17" ht="66.75" hidden="1" customHeight="1" thickBot="1" x14ac:dyDescent="0.3">
      <c r="B42" s="227" t="s">
        <v>156</v>
      </c>
      <c r="C42" s="349" t="s">
        <v>130</v>
      </c>
      <c r="D42" s="350"/>
      <c r="E42" s="350"/>
      <c r="F42" s="351"/>
      <c r="G42" s="228">
        <v>0</v>
      </c>
      <c r="H42" s="229">
        <v>0</v>
      </c>
      <c r="I42" s="228"/>
      <c r="J42" s="177"/>
      <c r="K42" s="177"/>
      <c r="L42" s="177"/>
      <c r="M42" s="230">
        <f>SUM(G42:L42)</f>
        <v>0</v>
      </c>
    </row>
    <row r="43" spans="2:17" ht="42" hidden="1" customHeight="1" thickBot="1" x14ac:dyDescent="0.3">
      <c r="B43" s="227" t="s">
        <v>134</v>
      </c>
      <c r="C43" s="349" t="s">
        <v>130</v>
      </c>
      <c r="D43" s="350"/>
      <c r="E43" s="350"/>
      <c r="F43" s="351"/>
      <c r="G43" s="228">
        <v>0</v>
      </c>
      <c r="H43" s="229">
        <v>0</v>
      </c>
      <c r="I43" s="228"/>
      <c r="J43" s="177"/>
      <c r="K43" s="177"/>
      <c r="L43" s="177"/>
      <c r="M43" s="230">
        <f>SUM(G43:L43)</f>
        <v>0</v>
      </c>
    </row>
    <row r="44" spans="2:17" ht="42" hidden="1" customHeight="1" thickBot="1" x14ac:dyDescent="0.3">
      <c r="B44" s="227"/>
      <c r="C44" s="335"/>
      <c r="D44" s="336"/>
      <c r="E44" s="336"/>
      <c r="F44" s="337"/>
      <c r="G44" s="228"/>
      <c r="H44" s="229"/>
      <c r="I44" s="228"/>
      <c r="J44" s="177"/>
      <c r="K44" s="177"/>
      <c r="L44" s="177"/>
      <c r="M44" s="230"/>
    </row>
    <row r="45" spans="2:17" ht="42" customHeight="1" x14ac:dyDescent="0.25">
      <c r="B45" s="338" t="s">
        <v>136</v>
      </c>
      <c r="C45" s="181" t="s">
        <v>137</v>
      </c>
      <c r="D45" s="231"/>
      <c r="E45" s="170">
        <f>E11</f>
        <v>36.04</v>
      </c>
      <c r="F45" s="184">
        <f t="shared" ref="F45:F51" si="3">E45*D45</f>
        <v>0</v>
      </c>
      <c r="G45" s="339">
        <f>SUM(F45:F48)</f>
        <v>8050</v>
      </c>
      <c r="H45" s="341">
        <f>G45*0.22</f>
        <v>1771</v>
      </c>
      <c r="I45" s="343"/>
      <c r="J45" s="345"/>
      <c r="K45" s="345"/>
      <c r="L45" s="345"/>
      <c r="M45" s="359">
        <f>SUM(G45:L45)</f>
        <v>9821</v>
      </c>
    </row>
    <row r="46" spans="2:17" ht="42" customHeight="1" x14ac:dyDescent="0.25">
      <c r="B46" s="314"/>
      <c r="C46" s="186" t="s">
        <v>135</v>
      </c>
      <c r="D46" s="232">
        <f>0.5*Q20</f>
        <v>350</v>
      </c>
      <c r="E46" s="196">
        <f>E13</f>
        <v>23</v>
      </c>
      <c r="F46" s="189">
        <f t="shared" si="3"/>
        <v>8050</v>
      </c>
      <c r="G46" s="340"/>
      <c r="H46" s="342"/>
      <c r="I46" s="344"/>
      <c r="J46" s="346"/>
      <c r="K46" s="346"/>
      <c r="L46" s="346"/>
      <c r="M46" s="360"/>
    </row>
    <row r="47" spans="2:17" ht="42" customHeight="1" x14ac:dyDescent="0.25">
      <c r="B47" s="314"/>
      <c r="C47" s="191" t="s">
        <v>157</v>
      </c>
      <c r="D47" s="233"/>
      <c r="E47" s="234">
        <v>18.02</v>
      </c>
      <c r="F47" s="189">
        <f t="shared" si="3"/>
        <v>0</v>
      </c>
      <c r="G47" s="340"/>
      <c r="H47" s="342"/>
      <c r="I47" s="344"/>
      <c r="J47" s="346"/>
      <c r="K47" s="346"/>
      <c r="L47" s="346"/>
      <c r="M47" s="360"/>
    </row>
    <row r="48" spans="2:17" ht="42" customHeight="1" thickBot="1" x14ac:dyDescent="0.3">
      <c r="B48" s="314"/>
      <c r="C48" s="206" t="s">
        <v>158</v>
      </c>
      <c r="D48" s="235"/>
      <c r="E48" s="205">
        <f>E14</f>
        <v>17</v>
      </c>
      <c r="F48" s="200">
        <f t="shared" si="3"/>
        <v>0</v>
      </c>
      <c r="G48" s="340"/>
      <c r="H48" s="342"/>
      <c r="I48" s="344"/>
      <c r="J48" s="346"/>
      <c r="K48" s="346"/>
      <c r="L48" s="346"/>
      <c r="M48" s="360"/>
      <c r="Q48" s="165"/>
    </row>
    <row r="49" spans="2:17" ht="42" customHeight="1" x14ac:dyDescent="0.25">
      <c r="B49" s="338" t="s">
        <v>141</v>
      </c>
      <c r="C49" s="201" t="s">
        <v>137</v>
      </c>
      <c r="D49" s="236">
        <f>Q17*0.3</f>
        <v>324</v>
      </c>
      <c r="E49" s="203">
        <f>E45</f>
        <v>36.04</v>
      </c>
      <c r="F49" s="204">
        <f t="shared" si="3"/>
        <v>11676.96</v>
      </c>
      <c r="G49" s="339">
        <f>SUM(F49:F51)</f>
        <v>19726.96</v>
      </c>
      <c r="H49" s="341">
        <f>G49*0.22</f>
        <v>4339.9312</v>
      </c>
      <c r="I49" s="343"/>
      <c r="J49" s="345"/>
      <c r="K49" s="345"/>
      <c r="L49" s="345"/>
      <c r="M49" s="359">
        <f>SUM(G49:L49)</f>
        <v>24066.891199999998</v>
      </c>
      <c r="Q49" s="165"/>
    </row>
    <row r="50" spans="2:17" ht="42" customHeight="1" x14ac:dyDescent="0.25">
      <c r="B50" s="314"/>
      <c r="C50" s="186" t="s">
        <v>135</v>
      </c>
      <c r="D50" s="232">
        <f>0.5*Q20</f>
        <v>350</v>
      </c>
      <c r="E50" s="196">
        <f>E46</f>
        <v>23</v>
      </c>
      <c r="F50" s="189">
        <f t="shared" si="3"/>
        <v>8050</v>
      </c>
      <c r="G50" s="340"/>
      <c r="H50" s="342"/>
      <c r="I50" s="344"/>
      <c r="J50" s="346"/>
      <c r="K50" s="346"/>
      <c r="L50" s="346"/>
      <c r="M50" s="360"/>
      <c r="Q50" s="165"/>
    </row>
    <row r="51" spans="2:17" ht="42" customHeight="1" thickBot="1" x14ac:dyDescent="0.3">
      <c r="B51" s="314"/>
      <c r="C51" s="191" t="s">
        <v>158</v>
      </c>
      <c r="D51" s="233"/>
      <c r="E51" s="234">
        <f>E48</f>
        <v>17</v>
      </c>
      <c r="F51" s="195">
        <f t="shared" si="3"/>
        <v>0</v>
      </c>
      <c r="G51" s="362"/>
      <c r="H51" s="363"/>
      <c r="I51" s="364"/>
      <c r="J51" s="365"/>
      <c r="K51" s="365"/>
      <c r="L51" s="365"/>
      <c r="M51" s="373"/>
    </row>
    <row r="52" spans="2:17" ht="42" customHeight="1" thickBot="1" x14ac:dyDescent="0.3">
      <c r="B52" s="314"/>
      <c r="C52" s="173" t="s">
        <v>159</v>
      </c>
      <c r="D52" s="374"/>
      <c r="E52" s="350"/>
      <c r="F52" s="351"/>
      <c r="G52" s="237"/>
      <c r="H52" s="200"/>
      <c r="I52" s="237"/>
      <c r="J52" s="238"/>
      <c r="K52" s="238"/>
      <c r="L52" s="239"/>
      <c r="M52" s="240">
        <f>L52</f>
        <v>0</v>
      </c>
      <c r="Q52" s="165"/>
    </row>
    <row r="53" spans="2:17" ht="42" customHeight="1" thickBot="1" x14ac:dyDescent="0.3">
      <c r="B53" s="314"/>
      <c r="C53" s="173" t="s">
        <v>159</v>
      </c>
      <c r="D53" s="304"/>
      <c r="E53" s="304"/>
      <c r="F53" s="305"/>
      <c r="G53" s="241"/>
      <c r="H53" s="242"/>
      <c r="I53" s="243"/>
      <c r="J53" s="244"/>
      <c r="K53" s="244"/>
      <c r="L53" s="244"/>
      <c r="M53" s="359">
        <f>SUM(G53:L54)</f>
        <v>0</v>
      </c>
      <c r="P53" s="165"/>
      <c r="Q53" s="165"/>
    </row>
    <row r="54" spans="2:17" ht="42" customHeight="1" thickBot="1" x14ac:dyDescent="0.3">
      <c r="B54" s="361"/>
      <c r="C54" s="173" t="s">
        <v>53</v>
      </c>
      <c r="D54" s="304"/>
      <c r="E54" s="304"/>
      <c r="F54" s="305"/>
      <c r="G54" s="241"/>
      <c r="H54" s="242"/>
      <c r="I54" s="243"/>
      <c r="J54" s="244"/>
      <c r="K54" s="244"/>
      <c r="L54" s="244"/>
      <c r="M54" s="373"/>
      <c r="P54" s="165"/>
    </row>
    <row r="55" spans="2:17" ht="42" customHeight="1" x14ac:dyDescent="0.25">
      <c r="B55" s="284" t="s">
        <v>144</v>
      </c>
      <c r="C55" s="181" t="s">
        <v>137</v>
      </c>
      <c r="D55" s="231"/>
      <c r="E55" s="170">
        <f>E49</f>
        <v>36.04</v>
      </c>
      <c r="F55" s="184">
        <f>E55*D55</f>
        <v>0</v>
      </c>
      <c r="G55" s="287">
        <f>SUM(F55:F57)</f>
        <v>0</v>
      </c>
      <c r="H55" s="290">
        <f>0.22*G55</f>
        <v>0</v>
      </c>
      <c r="I55" s="293"/>
      <c r="J55" s="356"/>
      <c r="K55" s="356"/>
      <c r="L55" s="296"/>
      <c r="M55" s="307">
        <f>SUM(G55:L55)</f>
        <v>0</v>
      </c>
    </row>
    <row r="56" spans="2:17" ht="42" customHeight="1" x14ac:dyDescent="0.25">
      <c r="B56" s="352"/>
      <c r="C56" s="186" t="s">
        <v>135</v>
      </c>
      <c r="D56" s="232"/>
      <c r="E56" s="196">
        <f>E50</f>
        <v>23</v>
      </c>
      <c r="F56" s="189">
        <f>E56*D56</f>
        <v>0</v>
      </c>
      <c r="G56" s="353"/>
      <c r="H56" s="354"/>
      <c r="I56" s="355"/>
      <c r="J56" s="357"/>
      <c r="K56" s="357"/>
      <c r="L56" s="367"/>
      <c r="M56" s="368"/>
      <c r="P56" s="165"/>
    </row>
    <row r="57" spans="2:17" ht="42" customHeight="1" thickBot="1" x14ac:dyDescent="0.3">
      <c r="B57" s="286"/>
      <c r="C57" s="206" t="s">
        <v>139</v>
      </c>
      <c r="D57" s="235"/>
      <c r="E57" s="205">
        <f>E51</f>
        <v>17</v>
      </c>
      <c r="F57" s="200">
        <f>E57*D57</f>
        <v>0</v>
      </c>
      <c r="G57" s="289"/>
      <c r="H57" s="292"/>
      <c r="I57" s="295"/>
      <c r="J57" s="358"/>
      <c r="K57" s="358"/>
      <c r="L57" s="298"/>
      <c r="M57" s="309"/>
    </row>
    <row r="58" spans="2:17" ht="60" customHeight="1" x14ac:dyDescent="0.25">
      <c r="B58" s="166" t="s">
        <v>146</v>
      </c>
      <c r="C58" s="201"/>
      <c r="D58" s="369"/>
      <c r="E58" s="370"/>
      <c r="F58" s="371"/>
      <c r="G58" s="245"/>
      <c r="H58" s="246"/>
      <c r="I58" s="245"/>
      <c r="J58" s="247"/>
      <c r="K58" s="247"/>
      <c r="L58" s="247"/>
      <c r="M58" s="171">
        <f>SUM(L58:L58)</f>
        <v>0</v>
      </c>
    </row>
    <row r="59" spans="2:17" ht="12" customHeight="1" thickBot="1" x14ac:dyDescent="0.3">
      <c r="B59" s="208"/>
      <c r="C59" s="209"/>
      <c r="D59" s="209"/>
      <c r="E59" s="210"/>
      <c r="F59" s="209"/>
      <c r="G59" s="209"/>
      <c r="H59" s="209"/>
      <c r="I59" s="209"/>
      <c r="J59" s="209"/>
      <c r="K59" s="209"/>
      <c r="L59" s="209"/>
      <c r="M59" s="248"/>
    </row>
    <row r="60" spans="2:17" ht="30" customHeight="1" x14ac:dyDescent="0.25">
      <c r="B60" s="212" t="s">
        <v>148</v>
      </c>
      <c r="C60" s="310"/>
      <c r="D60" s="310"/>
      <c r="E60" s="310"/>
      <c r="F60" s="310"/>
      <c r="G60" s="247">
        <f t="shared" ref="G60:L60" si="4">SUM(G41:G58)</f>
        <v>27776.959999999999</v>
      </c>
      <c r="H60" s="247">
        <f t="shared" si="4"/>
        <v>6110.9312</v>
      </c>
      <c r="I60" s="247">
        <f t="shared" si="4"/>
        <v>0</v>
      </c>
      <c r="J60" s="247">
        <f t="shared" si="4"/>
        <v>0</v>
      </c>
      <c r="K60" s="247">
        <f t="shared" si="4"/>
        <v>0</v>
      </c>
      <c r="L60" s="246">
        <f t="shared" si="4"/>
        <v>0</v>
      </c>
      <c r="M60" s="249">
        <f>SUM(G60:L60)</f>
        <v>33887.891199999998</v>
      </c>
    </row>
    <row r="61" spans="2:17" ht="30" customHeight="1" x14ac:dyDescent="0.25">
      <c r="B61" s="213" t="s">
        <v>149</v>
      </c>
      <c r="C61" s="311"/>
      <c r="D61" s="311"/>
      <c r="E61" s="311"/>
      <c r="F61" s="311"/>
      <c r="G61" s="311"/>
      <c r="H61" s="311"/>
      <c r="I61" s="311"/>
      <c r="J61" s="311"/>
      <c r="K61" s="311"/>
      <c r="L61" s="372"/>
      <c r="M61" s="250">
        <f>M60*0.2038</f>
        <v>6906.3522265599995</v>
      </c>
      <c r="Q61" s="179"/>
    </row>
    <row r="62" spans="2:17" ht="30" customHeight="1" thickBot="1" x14ac:dyDescent="0.3">
      <c r="B62" s="215" t="s">
        <v>150</v>
      </c>
      <c r="C62" s="312"/>
      <c r="D62" s="312"/>
      <c r="E62" s="312"/>
      <c r="F62" s="312"/>
      <c r="G62" s="312"/>
      <c r="H62" s="312"/>
      <c r="I62" s="312"/>
      <c r="J62" s="312"/>
      <c r="K62" s="312"/>
      <c r="L62" s="366"/>
      <c r="M62" s="251">
        <f>SUM(M60:M61)</f>
        <v>40794.243426559995</v>
      </c>
    </row>
    <row r="63" spans="2:17" ht="16.5" thickTop="1" x14ac:dyDescent="0.25"/>
  </sheetData>
  <mergeCells count="112">
    <mergeCell ref="C62:L62"/>
    <mergeCell ref="K55:K57"/>
    <mergeCell ref="L55:L57"/>
    <mergeCell ref="M55:M57"/>
    <mergeCell ref="D58:F58"/>
    <mergeCell ref="C60:F60"/>
    <mergeCell ref="C61:L61"/>
    <mergeCell ref="M49:M51"/>
    <mergeCell ref="D52:F52"/>
    <mergeCell ref="D53:F53"/>
    <mergeCell ref="M53:M54"/>
    <mergeCell ref="D54:F54"/>
    <mergeCell ref="B55:B57"/>
    <mergeCell ref="G55:G57"/>
    <mergeCell ref="H55:H57"/>
    <mergeCell ref="I55:I57"/>
    <mergeCell ref="J55:J57"/>
    <mergeCell ref="K45:K48"/>
    <mergeCell ref="L45:L48"/>
    <mergeCell ref="M45:M48"/>
    <mergeCell ref="B49:B54"/>
    <mergeCell ref="G49:G51"/>
    <mergeCell ref="H49:H51"/>
    <mergeCell ref="I49:I51"/>
    <mergeCell ref="J49:J51"/>
    <mergeCell ref="K49:K51"/>
    <mergeCell ref="L49:L51"/>
    <mergeCell ref="C44:F44"/>
    <mergeCell ref="B45:B48"/>
    <mergeCell ref="G45:G48"/>
    <mergeCell ref="H45:H48"/>
    <mergeCell ref="I45:I48"/>
    <mergeCell ref="J45:J48"/>
    <mergeCell ref="K39:K40"/>
    <mergeCell ref="L39:L40"/>
    <mergeCell ref="M39:M40"/>
    <mergeCell ref="C41:F41"/>
    <mergeCell ref="C42:F42"/>
    <mergeCell ref="C43:F43"/>
    <mergeCell ref="B36:M36"/>
    <mergeCell ref="B37:M37"/>
    <mergeCell ref="B38:M38"/>
    <mergeCell ref="B39:B40"/>
    <mergeCell ref="C39:F39"/>
    <mergeCell ref="G39:G40"/>
    <mergeCell ref="H39:H40"/>
    <mergeCell ref="I39:I40"/>
    <mergeCell ref="J39:J40"/>
    <mergeCell ref="B31:M31"/>
    <mergeCell ref="B32:M32"/>
    <mergeCell ref="B33:B34"/>
    <mergeCell ref="C33:F33"/>
    <mergeCell ref="G33:G34"/>
    <mergeCell ref="H33:H34"/>
    <mergeCell ref="I33:I34"/>
    <mergeCell ref="J33:J34"/>
    <mergeCell ref="K33:K34"/>
    <mergeCell ref="L33:L34"/>
    <mergeCell ref="M33:M34"/>
    <mergeCell ref="L23:L24"/>
    <mergeCell ref="M23:M24"/>
    <mergeCell ref="C26:F26"/>
    <mergeCell ref="C27:L27"/>
    <mergeCell ref="C28:L28"/>
    <mergeCell ref="B30:M30"/>
    <mergeCell ref="B23:B24"/>
    <mergeCell ref="G23:G24"/>
    <mergeCell ref="H23:H24"/>
    <mergeCell ref="I23:I24"/>
    <mergeCell ref="J23:J24"/>
    <mergeCell ref="K23:K24"/>
    <mergeCell ref="B16:B20"/>
    <mergeCell ref="G16:G20"/>
    <mergeCell ref="H16:H20"/>
    <mergeCell ref="I16:I20"/>
    <mergeCell ref="J16:J20"/>
    <mergeCell ref="K16:K20"/>
    <mergeCell ref="L16:L20"/>
    <mergeCell ref="M16:M20"/>
    <mergeCell ref="B21:B22"/>
    <mergeCell ref="G21:G22"/>
    <mergeCell ref="H21:H22"/>
    <mergeCell ref="I21:I22"/>
    <mergeCell ref="J21:J22"/>
    <mergeCell ref="K21:K22"/>
    <mergeCell ref="L21:L22"/>
    <mergeCell ref="M21:M22"/>
    <mergeCell ref="C10:F10"/>
    <mergeCell ref="B11:B15"/>
    <mergeCell ref="G11:G15"/>
    <mergeCell ref="H11:H15"/>
    <mergeCell ref="I11:I15"/>
    <mergeCell ref="J11:J15"/>
    <mergeCell ref="K5:K6"/>
    <mergeCell ref="L5:L6"/>
    <mergeCell ref="M5:M6"/>
    <mergeCell ref="C7:F7"/>
    <mergeCell ref="D8:F8"/>
    <mergeCell ref="C9:F9"/>
    <mergeCell ref="K11:K15"/>
    <mergeCell ref="L11:L15"/>
    <mergeCell ref="M11:M15"/>
    <mergeCell ref="B2:M2"/>
    <mergeCell ref="N2:O2"/>
    <mergeCell ref="B3:M3"/>
    <mergeCell ref="B4:M4"/>
    <mergeCell ref="B5:B6"/>
    <mergeCell ref="C5:F5"/>
    <mergeCell ref="G5:G6"/>
    <mergeCell ref="H5:H6"/>
    <mergeCell ref="I5:I6"/>
    <mergeCell ref="J5:J6"/>
  </mergeCells>
  <pageMargins left="0.7" right="0.7" top="0.75" bottom="0.75" header="0.3" footer="0.3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Draft 2014 BPA Lamprey Budget</vt:lpstr>
      <vt:lpstr>Draft 2014 BOR Budget</vt:lpstr>
      <vt:lpstr>'Draft 2014 BOR Budget'!Print_Area</vt:lpstr>
      <vt:lpstr>'Draft 2014 BPA Lamprey Budget'!Print_Area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Rose</dc:creator>
  <cp:lastModifiedBy>b.rose</cp:lastModifiedBy>
  <dcterms:created xsi:type="dcterms:W3CDTF">2013-11-14T21:00:22Z</dcterms:created>
  <dcterms:modified xsi:type="dcterms:W3CDTF">2014-06-12T18:08:12Z</dcterms:modified>
</cp:coreProperties>
</file>