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3-2019 Snorkel\2017 YFRP Snorkel\"/>
    </mc:Choice>
  </mc:AlternateContent>
  <xr:revisionPtr revIDLastSave="0" documentId="13_ncr:1_{64C6553D-F6C8-4AD1-AD64-56080AA99839}" xr6:coauthVersionLast="36" xr6:coauthVersionMax="36" xr10:uidLastSave="{00000000-0000-0000-0000-000000000000}"/>
  <bookViews>
    <workbookView xWindow="108" yWindow="108" windowWidth="18384" windowHeight="8424" xr2:uid="{00000000-000D-0000-FFFF-FFFF00000000}"/>
  </bookViews>
  <sheets>
    <sheet name="2017 CHaMP Snorkel UTMLatLong" sheetId="53" r:id="rId1"/>
    <sheet name="133s" sheetId="26" r:id="rId2"/>
    <sheet name="213" sheetId="27" r:id="rId3"/>
    <sheet name="218" sheetId="28" r:id="rId4"/>
    <sheet name="231" sheetId="29" r:id="rId5"/>
    <sheet name="320" sheetId="30" r:id="rId6"/>
    <sheet name="323" sheetId="31" r:id="rId7"/>
    <sheet name="436" sheetId="32" r:id="rId8"/>
    <sheet name="595" sheetId="33" r:id="rId9"/>
    <sheet name="713s" sheetId="34" r:id="rId10"/>
    <sheet name="725" sheetId="35" r:id="rId11"/>
    <sheet name="727" sheetId="36" r:id="rId12"/>
    <sheet name="777" sheetId="37" r:id="rId13"/>
    <sheet name="835" sheetId="38" r:id="rId14"/>
    <sheet name="841" sheetId="39" r:id="rId15"/>
    <sheet name="851" sheetId="40" r:id="rId16"/>
    <sheet name="1013" sheetId="41" r:id="rId17"/>
    <sheet name="1129s" sheetId="51" r:id="rId18"/>
    <sheet name="1196" sheetId="42" r:id="rId19"/>
    <sheet name="1288" sheetId="43" r:id="rId20"/>
    <sheet name="1411" sheetId="44" r:id="rId21"/>
    <sheet name="1503" sheetId="45" r:id="rId22"/>
    <sheet name="1582" sheetId="46" r:id="rId23"/>
    <sheet name="1709" sheetId="47" r:id="rId24"/>
    <sheet name="1971" sheetId="48" r:id="rId25"/>
    <sheet name="2159s" sheetId="52" r:id="rId26"/>
  </sheets>
  <definedNames>
    <definedName name="HabitatAssoc" localSheetId="17">#REF!</definedName>
    <definedName name="HabitatAssoc" localSheetId="25">#REF!</definedName>
    <definedName name="HabitatAssoc">#REF!</definedName>
    <definedName name="Habitats" localSheetId="17">#REF!</definedName>
    <definedName name="Habitats" localSheetId="25">#REF!</definedName>
    <definedName name="Habitats">#REF!</definedName>
    <definedName name="Species" localSheetId="17">#REF!</definedName>
    <definedName name="Species" localSheetId="25">#REF!</definedName>
    <definedName name="Species">#REF!</definedName>
  </definedNames>
  <calcPr calcId="191029"/>
</workbook>
</file>

<file path=xl/calcChain.xml><?xml version="1.0" encoding="utf-8"?>
<calcChain xmlns="http://schemas.openxmlformats.org/spreadsheetml/2006/main">
  <c r="L95" i="52" l="1"/>
  <c r="L94" i="52"/>
  <c r="L93" i="52"/>
  <c r="L92" i="52"/>
  <c r="L91" i="52"/>
  <c r="L90" i="52"/>
  <c r="L89" i="52"/>
  <c r="L88" i="52"/>
  <c r="L87" i="52"/>
  <c r="L86" i="52"/>
  <c r="L85" i="52"/>
  <c r="L84" i="52"/>
  <c r="L83" i="52"/>
  <c r="L82" i="52"/>
  <c r="L81" i="52"/>
  <c r="L80" i="52"/>
  <c r="L79" i="52"/>
  <c r="L78" i="52"/>
  <c r="L77" i="52"/>
  <c r="L76" i="52"/>
  <c r="L75" i="52"/>
  <c r="L74" i="52"/>
  <c r="L73" i="52"/>
  <c r="L72" i="52"/>
  <c r="L71" i="52"/>
  <c r="L70" i="52"/>
  <c r="L69" i="52"/>
  <c r="L68" i="52"/>
  <c r="L67" i="52"/>
  <c r="L66" i="52"/>
  <c r="L65" i="52"/>
  <c r="L64" i="52"/>
  <c r="L63" i="52"/>
  <c r="L62" i="52"/>
  <c r="L61" i="52"/>
  <c r="L60" i="52"/>
  <c r="L59" i="52"/>
  <c r="L58" i="52"/>
  <c r="L57" i="52"/>
  <c r="L56" i="52"/>
  <c r="L55" i="52"/>
  <c r="L54" i="52"/>
  <c r="L51" i="52"/>
  <c r="L50" i="52"/>
  <c r="L49" i="52"/>
  <c r="L48" i="52"/>
  <c r="L47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L34" i="52"/>
  <c r="L33" i="52"/>
  <c r="L32" i="52"/>
  <c r="L31" i="52"/>
  <c r="L30" i="52"/>
  <c r="L29" i="52"/>
  <c r="L28" i="52"/>
  <c r="L27" i="52"/>
  <c r="L26" i="52"/>
  <c r="L2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10" i="52"/>
  <c r="L95" i="51"/>
  <c r="L94" i="51"/>
  <c r="L93" i="51"/>
  <c r="L92" i="51"/>
  <c r="L91" i="51"/>
  <c r="L90" i="51"/>
  <c r="L89" i="51"/>
  <c r="L88" i="51"/>
  <c r="L87" i="51"/>
  <c r="L86" i="51"/>
  <c r="L8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L64" i="51"/>
  <c r="L63" i="51"/>
  <c r="L62" i="51"/>
  <c r="L61" i="51"/>
  <c r="L60" i="51"/>
  <c r="L59" i="51"/>
  <c r="L58" i="51"/>
  <c r="L57" i="51"/>
  <c r="L56" i="51"/>
  <c r="L55" i="51"/>
  <c r="L54" i="51"/>
  <c r="L51" i="51"/>
  <c r="L50" i="51"/>
  <c r="L49" i="51"/>
  <c r="L48" i="51"/>
  <c r="L47" i="51"/>
  <c r="L46" i="51"/>
  <c r="L45" i="51"/>
  <c r="L44" i="51"/>
  <c r="L43" i="51"/>
  <c r="L42" i="51"/>
  <c r="L41" i="51"/>
  <c r="L40" i="51"/>
  <c r="L39" i="51"/>
  <c r="L38" i="51"/>
  <c r="L37" i="51"/>
  <c r="L36" i="51"/>
  <c r="L35" i="51"/>
  <c r="L34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L21" i="51"/>
  <c r="L20" i="51"/>
  <c r="L19" i="51"/>
  <c r="L18" i="51"/>
  <c r="L17" i="51"/>
  <c r="L16" i="51"/>
  <c r="L15" i="51"/>
  <c r="L14" i="51"/>
  <c r="L13" i="51"/>
  <c r="L12" i="51"/>
  <c r="L11" i="51"/>
  <c r="L10" i="51"/>
  <c r="L52" i="52" l="1"/>
  <c r="L96" i="52"/>
  <c r="L52" i="51"/>
  <c r="L96" i="51"/>
  <c r="L95" i="48"/>
  <c r="L94" i="48"/>
  <c r="L93" i="48"/>
  <c r="L92" i="48"/>
  <c r="L91" i="48"/>
  <c r="L90" i="48"/>
  <c r="L89" i="48"/>
  <c r="L88" i="48"/>
  <c r="L87" i="48"/>
  <c r="L86" i="48"/>
  <c r="L85" i="48"/>
  <c r="L84" i="48"/>
  <c r="L83" i="48"/>
  <c r="L82" i="48"/>
  <c r="L81" i="48"/>
  <c r="L80" i="48"/>
  <c r="L79" i="48"/>
  <c r="L78" i="48"/>
  <c r="L77" i="48"/>
  <c r="L76" i="48"/>
  <c r="L75" i="48"/>
  <c r="L74" i="48"/>
  <c r="L73" i="48"/>
  <c r="L72" i="48"/>
  <c r="L71" i="48"/>
  <c r="L70" i="48"/>
  <c r="L69" i="48"/>
  <c r="L68" i="48"/>
  <c r="L67" i="48"/>
  <c r="L66" i="48"/>
  <c r="L65" i="48"/>
  <c r="L64" i="48"/>
  <c r="L63" i="48"/>
  <c r="L62" i="48"/>
  <c r="L61" i="48"/>
  <c r="L60" i="48"/>
  <c r="L59" i="48"/>
  <c r="L58" i="48"/>
  <c r="L57" i="48"/>
  <c r="L56" i="48"/>
  <c r="L55" i="48"/>
  <c r="L54" i="48"/>
  <c r="L51" i="48"/>
  <c r="L50" i="48"/>
  <c r="L49" i="48"/>
  <c r="L48" i="48"/>
  <c r="L47" i="48"/>
  <c r="L46" i="48"/>
  <c r="L45" i="48"/>
  <c r="L44" i="48"/>
  <c r="L43" i="48"/>
  <c r="L42" i="48"/>
  <c r="L41" i="48"/>
  <c r="L40" i="48"/>
  <c r="L39" i="48"/>
  <c r="L38" i="48"/>
  <c r="L37" i="48"/>
  <c r="L36" i="48"/>
  <c r="L35" i="48"/>
  <c r="L34" i="48"/>
  <c r="L33" i="48"/>
  <c r="L32" i="48"/>
  <c r="L31" i="48"/>
  <c r="L30" i="48"/>
  <c r="L29" i="48"/>
  <c r="L28" i="48"/>
  <c r="L27" i="48"/>
  <c r="L26" i="48"/>
  <c r="L25" i="48"/>
  <c r="L24" i="48"/>
  <c r="L23" i="48"/>
  <c r="L22" i="48"/>
  <c r="L21" i="48"/>
  <c r="L20" i="48"/>
  <c r="L19" i="48"/>
  <c r="L18" i="48"/>
  <c r="L17" i="48"/>
  <c r="L16" i="48"/>
  <c r="L15" i="48"/>
  <c r="L14" i="48"/>
  <c r="L13" i="48"/>
  <c r="L12" i="48"/>
  <c r="L11" i="48"/>
  <c r="L10" i="48"/>
  <c r="L95" i="47"/>
  <c r="L94" i="47"/>
  <c r="L93" i="47"/>
  <c r="L92" i="47"/>
  <c r="L91" i="47"/>
  <c r="L90" i="47"/>
  <c r="L89" i="47"/>
  <c r="L88" i="47"/>
  <c r="L87" i="47"/>
  <c r="L86" i="47"/>
  <c r="L85" i="47"/>
  <c r="L84" i="47"/>
  <c r="L83" i="47"/>
  <c r="L82" i="47"/>
  <c r="L81" i="47"/>
  <c r="L80" i="47"/>
  <c r="L79" i="47"/>
  <c r="L78" i="47"/>
  <c r="L77" i="47"/>
  <c r="L76" i="47"/>
  <c r="L75" i="47"/>
  <c r="L74" i="47"/>
  <c r="L73" i="47"/>
  <c r="L72" i="47"/>
  <c r="L71" i="47"/>
  <c r="L70" i="47"/>
  <c r="L69" i="47"/>
  <c r="L68" i="47"/>
  <c r="L67" i="47"/>
  <c r="L66" i="47"/>
  <c r="L65" i="47"/>
  <c r="L64" i="47"/>
  <c r="L63" i="47"/>
  <c r="L62" i="47"/>
  <c r="L61" i="47"/>
  <c r="L60" i="47"/>
  <c r="L59" i="47"/>
  <c r="L58" i="47"/>
  <c r="L57" i="47"/>
  <c r="L56" i="47"/>
  <c r="L55" i="47"/>
  <c r="L54" i="47"/>
  <c r="L51" i="47"/>
  <c r="L50" i="47"/>
  <c r="L49" i="47"/>
  <c r="L48" i="47"/>
  <c r="L47" i="47"/>
  <c r="L46" i="47"/>
  <c r="L45" i="47"/>
  <c r="L44" i="47"/>
  <c r="L43" i="47"/>
  <c r="L42" i="47"/>
  <c r="L41" i="47"/>
  <c r="L40" i="47"/>
  <c r="L39" i="47"/>
  <c r="L38" i="47"/>
  <c r="L37" i="47"/>
  <c r="L36" i="47"/>
  <c r="L35" i="47"/>
  <c r="L34" i="47"/>
  <c r="L33" i="47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5" i="46"/>
  <c r="L94" i="46"/>
  <c r="L93" i="46"/>
  <c r="L92" i="46"/>
  <c r="L91" i="46"/>
  <c r="L90" i="46"/>
  <c r="L89" i="46"/>
  <c r="L88" i="46"/>
  <c r="L87" i="46"/>
  <c r="L86" i="46"/>
  <c r="L85" i="46"/>
  <c r="L84" i="46"/>
  <c r="L83" i="46"/>
  <c r="L82" i="46"/>
  <c r="L81" i="46"/>
  <c r="L80" i="46"/>
  <c r="L79" i="46"/>
  <c r="L78" i="46"/>
  <c r="L77" i="46"/>
  <c r="L76" i="46"/>
  <c r="L75" i="46"/>
  <c r="L74" i="46"/>
  <c r="L73" i="46"/>
  <c r="L72" i="46"/>
  <c r="L71" i="46"/>
  <c r="L70" i="46"/>
  <c r="L69" i="46"/>
  <c r="L68" i="46"/>
  <c r="L67" i="46"/>
  <c r="L66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L51" i="46"/>
  <c r="L50" i="46"/>
  <c r="L49" i="46"/>
  <c r="L48" i="46"/>
  <c r="L47" i="46"/>
  <c r="L46" i="46"/>
  <c r="L45" i="46"/>
  <c r="L44" i="46"/>
  <c r="L43" i="46"/>
  <c r="L42" i="46"/>
  <c r="L41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5" i="45"/>
  <c r="L94" i="45"/>
  <c r="L93" i="45"/>
  <c r="L92" i="45"/>
  <c r="L91" i="45"/>
  <c r="L90" i="45"/>
  <c r="L89" i="45"/>
  <c r="L88" i="45"/>
  <c r="L87" i="45"/>
  <c r="L86" i="45"/>
  <c r="L85" i="45"/>
  <c r="L84" i="45"/>
  <c r="L83" i="45"/>
  <c r="L82" i="45"/>
  <c r="L8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L60" i="45"/>
  <c r="L59" i="45"/>
  <c r="L58" i="45"/>
  <c r="L57" i="45"/>
  <c r="L56" i="45"/>
  <c r="L55" i="45"/>
  <c r="L54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5" i="44"/>
  <c r="L94" i="44"/>
  <c r="L93" i="44"/>
  <c r="L92" i="44"/>
  <c r="L91" i="44"/>
  <c r="L90" i="44"/>
  <c r="L89" i="44"/>
  <c r="L88" i="44"/>
  <c r="L87" i="44"/>
  <c r="L86" i="44"/>
  <c r="L85" i="44"/>
  <c r="L84" i="44"/>
  <c r="L83" i="44"/>
  <c r="L82" i="44"/>
  <c r="L81" i="44"/>
  <c r="L80" i="44"/>
  <c r="L79" i="44"/>
  <c r="L78" i="44"/>
  <c r="L77" i="44"/>
  <c r="L76" i="44"/>
  <c r="L75" i="44"/>
  <c r="L74" i="44"/>
  <c r="L73" i="44"/>
  <c r="L72" i="44"/>
  <c r="L71" i="44"/>
  <c r="L70" i="44"/>
  <c r="L69" i="44"/>
  <c r="L68" i="44"/>
  <c r="L67" i="44"/>
  <c r="L66" i="44"/>
  <c r="L65" i="44"/>
  <c r="L64" i="44"/>
  <c r="L63" i="44"/>
  <c r="L62" i="44"/>
  <c r="L61" i="44"/>
  <c r="L60" i="44"/>
  <c r="L59" i="44"/>
  <c r="L58" i="44"/>
  <c r="L57" i="44"/>
  <c r="L56" i="44"/>
  <c r="L55" i="44"/>
  <c r="L54" i="44"/>
  <c r="L51" i="44"/>
  <c r="L50" i="44"/>
  <c r="L49" i="44"/>
  <c r="L48" i="44"/>
  <c r="L47" i="44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52" i="44" s="1"/>
  <c r="L95" i="43"/>
  <c r="L94" i="43"/>
  <c r="L93" i="43"/>
  <c r="L92" i="43"/>
  <c r="L91" i="43"/>
  <c r="L90" i="43"/>
  <c r="L89" i="43"/>
  <c r="L88" i="43"/>
  <c r="L87" i="43"/>
  <c r="L86" i="43"/>
  <c r="L85" i="43"/>
  <c r="L84" i="43"/>
  <c r="L83" i="43"/>
  <c r="L82" i="43"/>
  <c r="L81" i="43"/>
  <c r="L80" i="43"/>
  <c r="L79" i="43"/>
  <c r="L78" i="43"/>
  <c r="L77" i="43"/>
  <c r="L76" i="43"/>
  <c r="L75" i="43"/>
  <c r="L74" i="43"/>
  <c r="L73" i="43"/>
  <c r="L72" i="43"/>
  <c r="L71" i="43"/>
  <c r="L70" i="43"/>
  <c r="L69" i="43"/>
  <c r="L68" i="43"/>
  <c r="L67" i="43"/>
  <c r="L66" i="43"/>
  <c r="L65" i="43"/>
  <c r="L64" i="43"/>
  <c r="L63" i="43"/>
  <c r="L62" i="43"/>
  <c r="L61" i="43"/>
  <c r="L60" i="43"/>
  <c r="L59" i="43"/>
  <c r="L58" i="43"/>
  <c r="L57" i="43"/>
  <c r="L56" i="43"/>
  <c r="L55" i="43"/>
  <c r="L54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5" i="42"/>
  <c r="L94" i="42"/>
  <c r="L93" i="42"/>
  <c r="L92" i="42"/>
  <c r="L91" i="42"/>
  <c r="L90" i="42"/>
  <c r="L89" i="42"/>
  <c r="L88" i="42"/>
  <c r="L87" i="42"/>
  <c r="L86" i="42"/>
  <c r="L85" i="42"/>
  <c r="L84" i="42"/>
  <c r="L83" i="42"/>
  <c r="L82" i="42"/>
  <c r="L81" i="42"/>
  <c r="L80" i="42"/>
  <c r="L79" i="42"/>
  <c r="L78" i="42"/>
  <c r="L77" i="42"/>
  <c r="L76" i="42"/>
  <c r="L75" i="42"/>
  <c r="L74" i="42"/>
  <c r="L73" i="42"/>
  <c r="L72" i="42"/>
  <c r="L71" i="42"/>
  <c r="L70" i="42"/>
  <c r="L69" i="42"/>
  <c r="L68" i="42"/>
  <c r="L67" i="42"/>
  <c r="L66" i="42"/>
  <c r="L65" i="42"/>
  <c r="L64" i="42"/>
  <c r="L63" i="42"/>
  <c r="L62" i="42"/>
  <c r="L61" i="42"/>
  <c r="L60" i="42"/>
  <c r="L59" i="42"/>
  <c r="L58" i="42"/>
  <c r="L57" i="42"/>
  <c r="L56" i="42"/>
  <c r="L55" i="42"/>
  <c r="L54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5" i="41"/>
  <c r="L94" i="41"/>
  <c r="L93" i="41"/>
  <c r="L92" i="41"/>
  <c r="L91" i="41"/>
  <c r="L90" i="41"/>
  <c r="L89" i="41"/>
  <c r="L88" i="41"/>
  <c r="L87" i="41"/>
  <c r="L86" i="41"/>
  <c r="L85" i="41"/>
  <c r="L84" i="41"/>
  <c r="L83" i="41"/>
  <c r="L82" i="41"/>
  <c r="L81" i="41"/>
  <c r="L80" i="41"/>
  <c r="L79" i="41"/>
  <c r="L78" i="41"/>
  <c r="L77" i="41"/>
  <c r="L76" i="41"/>
  <c r="L75" i="41"/>
  <c r="L74" i="41"/>
  <c r="L73" i="41"/>
  <c r="L72" i="41"/>
  <c r="L71" i="41"/>
  <c r="L70" i="41"/>
  <c r="L69" i="41"/>
  <c r="L68" i="41"/>
  <c r="L67" i="41"/>
  <c r="L66" i="41"/>
  <c r="L65" i="41"/>
  <c r="L64" i="41"/>
  <c r="L63" i="41"/>
  <c r="L62" i="41"/>
  <c r="L61" i="41"/>
  <c r="L60" i="41"/>
  <c r="L59" i="41"/>
  <c r="L58" i="41"/>
  <c r="L57" i="41"/>
  <c r="L56" i="41"/>
  <c r="L55" i="41"/>
  <c r="L54" i="41"/>
  <c r="L51" i="41"/>
  <c r="L50" i="41"/>
  <c r="L49" i="41"/>
  <c r="L48" i="41"/>
  <c r="L47" i="41"/>
  <c r="L46" i="41"/>
  <c r="L45" i="41"/>
  <c r="L44" i="41"/>
  <c r="L43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5" i="40"/>
  <c r="L94" i="40"/>
  <c r="L93" i="40"/>
  <c r="L92" i="40"/>
  <c r="L91" i="40"/>
  <c r="L90" i="40"/>
  <c r="L89" i="40"/>
  <c r="L88" i="40"/>
  <c r="L87" i="40"/>
  <c r="L86" i="40"/>
  <c r="L85" i="40"/>
  <c r="L84" i="40"/>
  <c r="L83" i="40"/>
  <c r="L82" i="40"/>
  <c r="L81" i="40"/>
  <c r="L80" i="40"/>
  <c r="L79" i="40"/>
  <c r="L78" i="40"/>
  <c r="L77" i="40"/>
  <c r="L76" i="40"/>
  <c r="L75" i="40"/>
  <c r="L74" i="40"/>
  <c r="L73" i="40"/>
  <c r="L72" i="40"/>
  <c r="L71" i="40"/>
  <c r="L70" i="40"/>
  <c r="L69" i="40"/>
  <c r="L68" i="40"/>
  <c r="L67" i="40"/>
  <c r="L66" i="40"/>
  <c r="L65" i="40"/>
  <c r="L64" i="40"/>
  <c r="L63" i="40"/>
  <c r="L62" i="40"/>
  <c r="L61" i="40"/>
  <c r="L60" i="40"/>
  <c r="L59" i="40"/>
  <c r="L58" i="40"/>
  <c r="L57" i="40"/>
  <c r="L56" i="40"/>
  <c r="L55" i="40"/>
  <c r="L54" i="40"/>
  <c r="L51" i="40"/>
  <c r="L50" i="40"/>
  <c r="L49" i="40"/>
  <c r="L48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5" i="39"/>
  <c r="L94" i="39"/>
  <c r="L93" i="39"/>
  <c r="L92" i="39"/>
  <c r="L91" i="39"/>
  <c r="L90" i="39"/>
  <c r="L89" i="39"/>
  <c r="L88" i="39"/>
  <c r="L87" i="39"/>
  <c r="L86" i="39"/>
  <c r="L85" i="39"/>
  <c r="L84" i="39"/>
  <c r="L83" i="39"/>
  <c r="L82" i="39"/>
  <c r="L81" i="39"/>
  <c r="L80" i="39"/>
  <c r="L79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4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5" i="36"/>
  <c r="L94" i="36"/>
  <c r="L93" i="36"/>
  <c r="L92" i="36"/>
  <c r="L91" i="36"/>
  <c r="L90" i="36"/>
  <c r="L89" i="36"/>
  <c r="L88" i="36"/>
  <c r="L87" i="36"/>
  <c r="L86" i="36"/>
  <c r="L85" i="36"/>
  <c r="L84" i="36"/>
  <c r="L83" i="36"/>
  <c r="L82" i="36"/>
  <c r="L81" i="36"/>
  <c r="L80" i="36"/>
  <c r="L79" i="36"/>
  <c r="L78" i="36"/>
  <c r="L77" i="36"/>
  <c r="L76" i="36"/>
  <c r="L75" i="36"/>
  <c r="L74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1" i="36"/>
  <c r="L50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5" i="35"/>
  <c r="L94" i="35"/>
  <c r="L93" i="35"/>
  <c r="L92" i="35"/>
  <c r="L91" i="35"/>
  <c r="L90" i="35"/>
  <c r="L89" i="35"/>
  <c r="L88" i="35"/>
  <c r="L87" i="35"/>
  <c r="L86" i="35"/>
  <c r="L85" i="35"/>
  <c r="L84" i="35"/>
  <c r="L83" i="35"/>
  <c r="L82" i="35"/>
  <c r="L81" i="35"/>
  <c r="L80" i="35"/>
  <c r="L79" i="35"/>
  <c r="L78" i="35"/>
  <c r="L77" i="35"/>
  <c r="L76" i="35"/>
  <c r="L75" i="35"/>
  <c r="L74" i="35"/>
  <c r="L73" i="35"/>
  <c r="L72" i="35"/>
  <c r="L71" i="35"/>
  <c r="L70" i="35"/>
  <c r="L69" i="35"/>
  <c r="L68" i="35"/>
  <c r="L67" i="35"/>
  <c r="L66" i="35"/>
  <c r="L65" i="35"/>
  <c r="L64" i="35"/>
  <c r="L63" i="35"/>
  <c r="L62" i="35"/>
  <c r="L61" i="35"/>
  <c r="L60" i="35"/>
  <c r="L59" i="35"/>
  <c r="L58" i="35"/>
  <c r="L57" i="35"/>
  <c r="L56" i="35"/>
  <c r="L55" i="35"/>
  <c r="L54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5" i="34"/>
  <c r="L94" i="34"/>
  <c r="L93" i="34"/>
  <c r="L92" i="34"/>
  <c r="L91" i="34"/>
  <c r="L90" i="34"/>
  <c r="L89" i="34"/>
  <c r="L88" i="34"/>
  <c r="L87" i="34"/>
  <c r="L86" i="34"/>
  <c r="L85" i="34"/>
  <c r="L84" i="34"/>
  <c r="L83" i="34"/>
  <c r="L82" i="34"/>
  <c r="L81" i="34"/>
  <c r="L80" i="34"/>
  <c r="L79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5" i="33"/>
  <c r="L94" i="33"/>
  <c r="L93" i="33"/>
  <c r="L92" i="33"/>
  <c r="L91" i="33"/>
  <c r="L90" i="33"/>
  <c r="L89" i="33"/>
  <c r="L88" i="33"/>
  <c r="L87" i="33"/>
  <c r="L86" i="33"/>
  <c r="L85" i="33"/>
  <c r="L84" i="33"/>
  <c r="L83" i="33"/>
  <c r="L82" i="33"/>
  <c r="L81" i="33"/>
  <c r="L80" i="33"/>
  <c r="L79" i="33"/>
  <c r="L78" i="33"/>
  <c r="L77" i="33"/>
  <c r="L76" i="33"/>
  <c r="L75" i="33"/>
  <c r="L74" i="33"/>
  <c r="L73" i="33"/>
  <c r="L72" i="33"/>
  <c r="L71" i="33"/>
  <c r="L70" i="33"/>
  <c r="L69" i="33"/>
  <c r="L68" i="33"/>
  <c r="L67" i="33"/>
  <c r="L66" i="33"/>
  <c r="L65" i="33"/>
  <c r="L64" i="33"/>
  <c r="L63" i="33"/>
  <c r="L62" i="33"/>
  <c r="L61" i="33"/>
  <c r="L60" i="33"/>
  <c r="L59" i="33"/>
  <c r="L58" i="33"/>
  <c r="L57" i="33"/>
  <c r="L56" i="33"/>
  <c r="L55" i="33"/>
  <c r="L54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52" i="39" l="1"/>
  <c r="L52" i="41"/>
  <c r="L52" i="43"/>
  <c r="L52" i="38"/>
  <c r="L52" i="48"/>
  <c r="L96" i="48"/>
  <c r="L52" i="47"/>
  <c r="L96" i="47"/>
  <c r="L52" i="46"/>
  <c r="L96" i="46"/>
  <c r="L52" i="45"/>
  <c r="L96" i="45"/>
  <c r="L96" i="44"/>
  <c r="L96" i="43"/>
  <c r="L52" i="42"/>
  <c r="L96" i="42"/>
  <c r="L96" i="41"/>
  <c r="L52" i="40"/>
  <c r="L96" i="40"/>
  <c r="L96" i="39"/>
  <c r="L96" i="38"/>
  <c r="L96" i="37"/>
  <c r="L52" i="37"/>
  <c r="L52" i="36"/>
  <c r="L96" i="36"/>
  <c r="L52" i="35"/>
  <c r="L96" i="35"/>
  <c r="L52" i="34"/>
  <c r="L96" i="34"/>
  <c r="L52" i="33"/>
  <c r="L96" i="33"/>
  <c r="L95" i="32"/>
  <c r="L94" i="32"/>
  <c r="L93" i="32"/>
  <c r="L92" i="32"/>
  <c r="L91" i="32"/>
  <c r="L90" i="32"/>
  <c r="L89" i="32"/>
  <c r="L88" i="32"/>
  <c r="L87" i="32"/>
  <c r="L86" i="32"/>
  <c r="L85" i="32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62" i="32"/>
  <c r="L61" i="32"/>
  <c r="L60" i="32"/>
  <c r="L59" i="32"/>
  <c r="L58" i="32"/>
  <c r="L57" i="32"/>
  <c r="L56" i="32"/>
  <c r="L55" i="32"/>
  <c r="L54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5" i="31"/>
  <c r="L94" i="31"/>
  <c r="L93" i="31"/>
  <c r="L92" i="31"/>
  <c r="L91" i="31"/>
  <c r="L90" i="31"/>
  <c r="L89" i="31"/>
  <c r="L88" i="31"/>
  <c r="L87" i="31"/>
  <c r="L86" i="31"/>
  <c r="L85" i="31"/>
  <c r="L84" i="31"/>
  <c r="L83" i="31"/>
  <c r="L82" i="31"/>
  <c r="L81" i="31"/>
  <c r="L80" i="31"/>
  <c r="L79" i="31"/>
  <c r="L78" i="31"/>
  <c r="L77" i="31"/>
  <c r="L76" i="31"/>
  <c r="L75" i="31"/>
  <c r="L74" i="31"/>
  <c r="L73" i="31"/>
  <c r="L72" i="31"/>
  <c r="L71" i="31"/>
  <c r="L70" i="31"/>
  <c r="L69" i="31"/>
  <c r="L68" i="31"/>
  <c r="L67" i="31"/>
  <c r="L66" i="31"/>
  <c r="L65" i="31"/>
  <c r="L64" i="31"/>
  <c r="L63" i="31"/>
  <c r="L62" i="31"/>
  <c r="L61" i="31"/>
  <c r="L60" i="31"/>
  <c r="L59" i="31"/>
  <c r="L58" i="31"/>
  <c r="L57" i="31"/>
  <c r="L56" i="31"/>
  <c r="L55" i="31"/>
  <c r="L54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5" i="30"/>
  <c r="L94" i="30"/>
  <c r="L93" i="30"/>
  <c r="L92" i="30"/>
  <c r="L91" i="30"/>
  <c r="L90" i="30"/>
  <c r="L89" i="30"/>
  <c r="L88" i="30"/>
  <c r="L87" i="30"/>
  <c r="L86" i="30"/>
  <c r="L85" i="30"/>
  <c r="L84" i="30"/>
  <c r="L83" i="30"/>
  <c r="L82" i="30"/>
  <c r="L81" i="30"/>
  <c r="L80" i="30"/>
  <c r="L79" i="30"/>
  <c r="L78" i="30"/>
  <c r="L77" i="30"/>
  <c r="L76" i="30"/>
  <c r="L75" i="30"/>
  <c r="L74" i="30"/>
  <c r="L73" i="30"/>
  <c r="L72" i="30"/>
  <c r="L71" i="30"/>
  <c r="L70" i="30"/>
  <c r="L69" i="30"/>
  <c r="L68" i="30"/>
  <c r="L67" i="30"/>
  <c r="L66" i="30"/>
  <c r="L65" i="30"/>
  <c r="L64" i="30"/>
  <c r="L63" i="30"/>
  <c r="L62" i="30"/>
  <c r="L61" i="30"/>
  <c r="L60" i="30"/>
  <c r="L59" i="30"/>
  <c r="L58" i="30"/>
  <c r="L57" i="30"/>
  <c r="L56" i="30"/>
  <c r="L55" i="30"/>
  <c r="L54" i="30"/>
  <c r="L51" i="30"/>
  <c r="L50" i="30"/>
  <c r="L49" i="30"/>
  <c r="L48" i="30"/>
  <c r="L47" i="30"/>
  <c r="L46" i="30"/>
  <c r="L45" i="30"/>
  <c r="L44" i="30"/>
  <c r="L43" i="30"/>
  <c r="L42" i="30"/>
  <c r="L41" i="30"/>
  <c r="L40" i="30"/>
  <c r="L39" i="30"/>
  <c r="L38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5" i="29"/>
  <c r="L94" i="29"/>
  <c r="L93" i="29"/>
  <c r="L92" i="29"/>
  <c r="L91" i="29"/>
  <c r="L90" i="29"/>
  <c r="L89" i="29"/>
  <c r="L88" i="29"/>
  <c r="L87" i="29"/>
  <c r="L86" i="29"/>
  <c r="L85" i="29"/>
  <c r="L84" i="29"/>
  <c r="L83" i="29"/>
  <c r="L82" i="29"/>
  <c r="L81" i="29"/>
  <c r="L80" i="29"/>
  <c r="L79" i="29"/>
  <c r="L78" i="29"/>
  <c r="L77" i="29"/>
  <c r="L76" i="29"/>
  <c r="L75" i="29"/>
  <c r="L74" i="29"/>
  <c r="L73" i="29"/>
  <c r="L72" i="29"/>
  <c r="L71" i="29"/>
  <c r="L70" i="29"/>
  <c r="L69" i="29"/>
  <c r="L68" i="29"/>
  <c r="L67" i="29"/>
  <c r="L66" i="29"/>
  <c r="L65" i="29"/>
  <c r="L64" i="29"/>
  <c r="L63" i="29"/>
  <c r="L62" i="29"/>
  <c r="L61" i="29"/>
  <c r="L60" i="29"/>
  <c r="L59" i="29"/>
  <c r="L58" i="29"/>
  <c r="L57" i="29"/>
  <c r="L56" i="29"/>
  <c r="L55" i="29"/>
  <c r="L54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5" i="28"/>
  <c r="L94" i="28"/>
  <c r="L93" i="28"/>
  <c r="L92" i="28"/>
  <c r="L91" i="28"/>
  <c r="L90" i="28"/>
  <c r="L89" i="28"/>
  <c r="L88" i="28"/>
  <c r="L87" i="28"/>
  <c r="L86" i="28"/>
  <c r="L85" i="28"/>
  <c r="L84" i="28"/>
  <c r="L83" i="28"/>
  <c r="L82" i="28"/>
  <c r="L81" i="28"/>
  <c r="L80" i="28"/>
  <c r="L79" i="28"/>
  <c r="L78" i="28"/>
  <c r="L77" i="28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4" i="26"/>
  <c r="L93" i="26"/>
  <c r="L92" i="26"/>
  <c r="L91" i="26"/>
  <c r="L90" i="26"/>
  <c r="L89" i="26"/>
  <c r="L88" i="26"/>
  <c r="L87" i="26"/>
  <c r="L86" i="26"/>
  <c r="L85" i="26"/>
  <c r="L84" i="26"/>
  <c r="L83" i="26"/>
  <c r="L82" i="26"/>
  <c r="L81" i="26"/>
  <c r="L80" i="26"/>
  <c r="L79" i="26"/>
  <c r="L78" i="26"/>
  <c r="L77" i="26"/>
  <c r="L76" i="26"/>
  <c r="L75" i="26"/>
  <c r="L74" i="26"/>
  <c r="L73" i="26"/>
  <c r="L72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9" i="26"/>
  <c r="L58" i="26"/>
  <c r="L57" i="26"/>
  <c r="L56" i="26"/>
  <c r="L55" i="26"/>
  <c r="L54" i="26"/>
  <c r="L50" i="26"/>
  <c r="L49" i="26"/>
  <c r="L48" i="26"/>
  <c r="L47" i="26"/>
  <c r="L46" i="26"/>
  <c r="L45" i="26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5" i="26"/>
  <c r="L51" i="26"/>
  <c r="L52" i="30" l="1"/>
  <c r="L52" i="32"/>
  <c r="L96" i="32"/>
  <c r="L52" i="31"/>
  <c r="L96" i="31"/>
  <c r="L96" i="30"/>
  <c r="L52" i="29"/>
  <c r="L96" i="29"/>
  <c r="L52" i="28"/>
  <c r="L96" i="28"/>
  <c r="L96" i="27"/>
  <c r="L52" i="27"/>
  <c r="L52" i="26"/>
  <c r="L96" i="26"/>
</calcChain>
</file>

<file path=xl/sharedStrings.xml><?xml version="1.0" encoding="utf-8"?>
<sst xmlns="http://schemas.openxmlformats.org/spreadsheetml/2006/main" count="9574" uniqueCount="300">
  <si>
    <t xml:space="preserve">Recorder:  </t>
  </si>
  <si>
    <t xml:space="preserve">Visibility:  </t>
  </si>
  <si>
    <t xml:space="preserve">Site:  </t>
  </si>
  <si>
    <t xml:space="preserve">Date:  </t>
  </si>
  <si>
    <t xml:space="preserve">H2O temp:  </t>
  </si>
  <si>
    <t xml:space="preserve">Visit:  </t>
  </si>
  <si>
    <t xml:space="preserve">Notes:  </t>
  </si>
  <si>
    <t>Totals</t>
  </si>
  <si>
    <t>Number</t>
  </si>
  <si>
    <t xml:space="preserve">Species </t>
  </si>
  <si>
    <t>Size</t>
  </si>
  <si>
    <t>Unit</t>
  </si>
  <si>
    <t>Habitat</t>
  </si>
  <si>
    <t>New/Natural Structure</t>
  </si>
  <si>
    <t>Time</t>
  </si>
  <si>
    <t>Snorkeler</t>
  </si>
  <si>
    <t>Comments</t>
  </si>
  <si>
    <t>Species</t>
  </si>
  <si>
    <t>U1</t>
  </si>
  <si>
    <t>CH</t>
  </si>
  <si>
    <t>U10</t>
  </si>
  <si>
    <t>RT</t>
  </si>
  <si>
    <t>U2</t>
  </si>
  <si>
    <t>U11</t>
  </si>
  <si>
    <t>U3</t>
  </si>
  <si>
    <t>U27</t>
  </si>
  <si>
    <t>U4</t>
  </si>
  <si>
    <t>U5</t>
  </si>
  <si>
    <t>U6</t>
  </si>
  <si>
    <t>U7</t>
  </si>
  <si>
    <t>U8</t>
  </si>
  <si>
    <t>U9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</si>
  <si>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</si>
  <si>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</si>
  <si>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</si>
  <si>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</si>
  <si>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</si>
  <si>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</si>
  <si>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</si>
  <si>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</si>
  <si>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</si>
  <si>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</si>
  <si>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</si>
  <si>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</si>
  <si>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</si>
  <si>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</si>
  <si>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</si>
  <si>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U28</t>
  </si>
  <si>
    <t>U29</t>
  </si>
  <si>
    <t>U31</t>
  </si>
  <si>
    <t>U30</t>
  </si>
  <si>
    <t>U32</t>
  </si>
  <si>
    <t>U33</t>
  </si>
  <si>
    <t>U34</t>
  </si>
  <si>
    <t>U35</t>
  </si>
  <si>
    <t>U37</t>
  </si>
  <si>
    <t>U38</t>
  </si>
  <si>
    <t>U36</t>
  </si>
  <si>
    <t>U39</t>
  </si>
  <si>
    <t>U40</t>
  </si>
  <si>
    <t>U41</t>
  </si>
  <si>
    <t>JTG</t>
  </si>
  <si>
    <t>NW</t>
  </si>
  <si>
    <t>PW</t>
  </si>
  <si>
    <t>BT</t>
  </si>
  <si>
    <t>NT</t>
  </si>
  <si>
    <t>NB</t>
  </si>
  <si>
    <t>CT</t>
  </si>
  <si>
    <t>SC</t>
  </si>
  <si>
    <t>RAP</t>
  </si>
  <si>
    <t>Trainng &amp; survey</t>
  </si>
  <si>
    <t>SP</t>
  </si>
  <si>
    <t>RIFF</t>
  </si>
  <si>
    <t>E</t>
  </si>
  <si>
    <t>CLEAR- SUNNY, HOT</t>
  </si>
  <si>
    <t>Lane</t>
  </si>
  <si>
    <t>TN</t>
  </si>
  <si>
    <t>O</t>
  </si>
  <si>
    <t xml:space="preserve"> CH</t>
  </si>
  <si>
    <t>PB</t>
  </si>
  <si>
    <t>PW-TAKEOVER</t>
  </si>
  <si>
    <t>BURNT TAILS</t>
  </si>
  <si>
    <t xml:space="preserve">MULTI </t>
  </si>
  <si>
    <t>KN,PW,DT,TN</t>
  </si>
  <si>
    <t>DT</t>
  </si>
  <si>
    <t>MWF</t>
  </si>
  <si>
    <t>KN</t>
  </si>
  <si>
    <t xml:space="preserve">PW </t>
  </si>
  <si>
    <t>RFF</t>
  </si>
  <si>
    <t>NFO</t>
  </si>
  <si>
    <t>KN TAKEOVER</t>
  </si>
  <si>
    <t>DT TAKEOVER</t>
  </si>
  <si>
    <t xml:space="preserve">NFO </t>
  </si>
  <si>
    <t>OCP</t>
  </si>
  <si>
    <t>NFO POOR VIS</t>
  </si>
  <si>
    <t>END OF SITE</t>
  </si>
  <si>
    <t>KB</t>
  </si>
  <si>
    <t>JG</t>
  </si>
  <si>
    <t>kachina Neaman</t>
  </si>
  <si>
    <t>TL</t>
  </si>
  <si>
    <t>PP</t>
  </si>
  <si>
    <t>PLUNGE POOL</t>
  </si>
  <si>
    <t>SSC</t>
  </si>
  <si>
    <t>O/PLACED</t>
  </si>
  <si>
    <t>12⁰ c</t>
  </si>
  <si>
    <t xml:space="preserve">9⁰ C  </t>
  </si>
  <si>
    <t>RW</t>
  </si>
  <si>
    <t>TRSTON N    *MCKAY CR</t>
  </si>
  <si>
    <t>CLEAR, WARMNG 1030 HRS</t>
  </si>
  <si>
    <t>~12.0◦</t>
  </si>
  <si>
    <t>VIS 3 NFO</t>
  </si>
  <si>
    <t>VEGETATION</t>
  </si>
  <si>
    <t>1200 END</t>
  </si>
  <si>
    <t>OFF CHANNEL POOL</t>
  </si>
  <si>
    <t>CLEAR SKY</t>
  </si>
  <si>
    <t>UN</t>
  </si>
  <si>
    <t>OFF CHANNEL</t>
  </si>
  <si>
    <t>MIN. VIZ</t>
  </si>
  <si>
    <t>B-POOL</t>
  </si>
  <si>
    <t>BEAVER POOL</t>
  </si>
  <si>
    <t>DL</t>
  </si>
  <si>
    <t>OP</t>
  </si>
  <si>
    <t>WD</t>
  </si>
  <si>
    <t>OVERCAST</t>
  </si>
  <si>
    <t>F O</t>
  </si>
  <si>
    <t>POWERFULL RIFFLE</t>
  </si>
  <si>
    <t>E NB</t>
  </si>
  <si>
    <t>E NB NW</t>
  </si>
  <si>
    <t xml:space="preserve">O F </t>
  </si>
  <si>
    <t xml:space="preserve">NFO 9◦ c  </t>
  </si>
  <si>
    <t>SCC</t>
  </si>
  <si>
    <t>DRY O WATER</t>
  </si>
  <si>
    <t>NW NB</t>
  </si>
  <si>
    <t>DRY</t>
  </si>
  <si>
    <t>TL/DT</t>
  </si>
  <si>
    <t xml:space="preserve">OCP </t>
  </si>
  <si>
    <t>FOUND SW UNIT 5</t>
  </si>
  <si>
    <t>KACHINA NEAMAN</t>
  </si>
  <si>
    <t>NO FISH OBSERVED</t>
  </si>
  <si>
    <t>3+</t>
  </si>
  <si>
    <t xml:space="preserve">CLEAR, SUNNY </t>
  </si>
  <si>
    <t>NB E</t>
  </si>
  <si>
    <t>E NW NB</t>
  </si>
  <si>
    <t>8.5 ⁰C TEMP</t>
  </si>
  <si>
    <t xml:space="preserve">E NB </t>
  </si>
  <si>
    <t>START U8</t>
  </si>
  <si>
    <t>STSRT U9 9⁰c temp</t>
  </si>
  <si>
    <t>O NB</t>
  </si>
  <si>
    <t xml:space="preserve"> 9⁰c temp</t>
  </si>
  <si>
    <t>SNOWY,  FOGGY, CLOUDY</t>
  </si>
  <si>
    <t>8⁰c temp</t>
  </si>
  <si>
    <t xml:space="preserve">  7.5° c TEMP</t>
  </si>
  <si>
    <t>RW-KN</t>
  </si>
  <si>
    <t>E PP</t>
  </si>
  <si>
    <t>KB-DT</t>
  </si>
  <si>
    <t>1, 2</t>
  </si>
  <si>
    <t>OM</t>
  </si>
  <si>
    <t>CLEAR</t>
  </si>
  <si>
    <t>DT-KN</t>
  </si>
  <si>
    <t>1,2</t>
  </si>
  <si>
    <t>12°c</t>
  </si>
  <si>
    <t>SNOWY, OVERCAST SOME RAIN</t>
  </si>
  <si>
    <t>SUNNY, CLEAR</t>
  </si>
  <si>
    <t>SEEN FROM OUTSIDE STREEM</t>
  </si>
  <si>
    <t>SMALL SC-DRY</t>
  </si>
  <si>
    <t>VISIBLITY 3</t>
  </si>
  <si>
    <t>DARK UNDER WILLIOWS</t>
  </si>
  <si>
    <t>12⁰ C</t>
  </si>
  <si>
    <t>LOW VIZ, LOW WATER LV</t>
  </si>
  <si>
    <t xml:space="preserve"> PW</t>
  </si>
  <si>
    <t>VIZ 3</t>
  </si>
  <si>
    <t>PW, RB</t>
  </si>
  <si>
    <t>W</t>
  </si>
  <si>
    <t>START 1112</t>
  </si>
  <si>
    <t>14⁰ C</t>
  </si>
  <si>
    <t>13⁰ C</t>
  </si>
  <si>
    <t>E GRASS</t>
  </si>
  <si>
    <t xml:space="preserve">E </t>
  </si>
  <si>
    <t>TOO HOT</t>
  </si>
  <si>
    <t>E, NB</t>
  </si>
  <si>
    <t>UC</t>
  </si>
  <si>
    <t>PB,NW</t>
  </si>
  <si>
    <t>16⁰ C</t>
  </si>
  <si>
    <t>E, NW</t>
  </si>
  <si>
    <t>E, O</t>
  </si>
  <si>
    <t>VIS 2</t>
  </si>
  <si>
    <t>2017 Snorkeling Fish Survey</t>
  </si>
  <si>
    <t>16⁰ c</t>
  </si>
  <si>
    <t>DT         16.0⁰</t>
  </si>
  <si>
    <t>17.0⁰, NFO</t>
  </si>
  <si>
    <t>19.0⁰</t>
  </si>
  <si>
    <t>6 ⁰ c</t>
  </si>
  <si>
    <t>14.5 ⁰ c</t>
  </si>
  <si>
    <t>14 ⁰ c</t>
  </si>
  <si>
    <t xml:space="preserve">8⁰ c </t>
  </si>
  <si>
    <t>12 ⁰</t>
  </si>
  <si>
    <t>7 ⁰ c</t>
  </si>
  <si>
    <t>12 ⁰ c</t>
  </si>
  <si>
    <t>8.5 ⁰ c</t>
  </si>
  <si>
    <t>10◦ c</t>
  </si>
  <si>
    <t>SMOKEY, SOMEWHAT DARK</t>
  </si>
  <si>
    <t>13◦ c</t>
  </si>
  <si>
    <t>8◦ c</t>
  </si>
  <si>
    <t>7◦ c</t>
  </si>
  <si>
    <t>8.5◦ c</t>
  </si>
  <si>
    <t>11◦</t>
  </si>
  <si>
    <t>713 subsample</t>
  </si>
  <si>
    <t>KN / RW</t>
  </si>
  <si>
    <t>SUNNY, SLIGHTLY BREEZY</t>
  </si>
  <si>
    <t>OPEN</t>
  </si>
  <si>
    <t>live mussels in between us / U6</t>
  </si>
  <si>
    <t>12C</t>
  </si>
  <si>
    <t>KN/RW</t>
  </si>
  <si>
    <t>SUNNY</t>
  </si>
  <si>
    <t>BP</t>
  </si>
  <si>
    <t>MW</t>
  </si>
  <si>
    <t>14 C</t>
  </si>
  <si>
    <t>13 C</t>
  </si>
  <si>
    <t>E UNDERCUT</t>
  </si>
  <si>
    <t>RAPID</t>
  </si>
  <si>
    <t>1129 subsample</t>
  </si>
  <si>
    <t>133 subsample</t>
  </si>
  <si>
    <t>2159 subsample</t>
  </si>
  <si>
    <t>Site</t>
  </si>
  <si>
    <t>Site #</t>
  </si>
  <si>
    <t>Stream and Location</t>
  </si>
  <si>
    <t>Category</t>
  </si>
  <si>
    <t>Panel</t>
  </si>
  <si>
    <t>N</t>
  </si>
  <si>
    <t>Latitude</t>
  </si>
  <si>
    <t>Longitude</t>
  </si>
  <si>
    <t>Transport</t>
  </si>
  <si>
    <t>YFI00001-000133</t>
  </si>
  <si>
    <t>Adaptive Management-Treatment</t>
  </si>
  <si>
    <t>Annual</t>
  </si>
  <si>
    <t>Pond Series 2 lower reach subsample</t>
  </si>
  <si>
    <t>Source</t>
  </si>
  <si>
    <t>Depositional</t>
  </si>
  <si>
    <t>YFI00001-000213</t>
  </si>
  <si>
    <t>Yankee Fork below West Fork</t>
  </si>
  <si>
    <t>Mainstem Control</t>
  </si>
  <si>
    <t>YFI00001-000218</t>
  </si>
  <si>
    <t>West Fork above Lightening Creek</t>
  </si>
  <si>
    <t>Rotating Panel 2</t>
  </si>
  <si>
    <t>YFI00001-000231</t>
  </si>
  <si>
    <t>Yankee Fork above Sixmile Creek</t>
  </si>
  <si>
    <t>YFI00001-000320</t>
  </si>
  <si>
    <t>Yankee Fork above Ninemile Creek</t>
  </si>
  <si>
    <t>YFI00001-000323</t>
  </si>
  <si>
    <t>Yankee Fork below Adair Creek</t>
  </si>
  <si>
    <t>Rotating Panel 2 → Annual</t>
  </si>
  <si>
    <t>YFI00001-000436</t>
  </si>
  <si>
    <t>McKay Creek near mouth</t>
  </si>
  <si>
    <t>YFI00001-000595</t>
  </si>
  <si>
    <t>Yankee Fork Sluters Pitt/at Bonanza</t>
  </si>
  <si>
    <t>Floodplain Enhancement-Treatment</t>
  </si>
  <si>
    <t>YFI00001-000713</t>
  </si>
  <si>
    <t>Pond Series 1 above lower pond subsample</t>
  </si>
  <si>
    <t>YFI00001-000725</t>
  </si>
  <si>
    <t>Yankee Fork adjacent to Pond Series 3</t>
  </si>
  <si>
    <t>YFI00001-000727</t>
  </si>
  <si>
    <t>Eightmile Creek above mouth</t>
  </si>
  <si>
    <t>YFI00001-000777</t>
  </si>
  <si>
    <t>Yankee Fork lower Preachers Cove reach</t>
  </si>
  <si>
    <t>YFI00001-000835</t>
  </si>
  <si>
    <t>Yankee Fork mid Preachers Cove reach</t>
  </si>
  <si>
    <t>YFI00001-000841</t>
  </si>
  <si>
    <t>Yankee Fork below Flat Rock Campground</t>
  </si>
  <si>
    <t>YFI00001-000851</t>
  </si>
  <si>
    <t>Yankee Fork below Jordan Creek</t>
  </si>
  <si>
    <t>Step Panel 2013,2014,2016,2017,2018,2021</t>
  </si>
  <si>
    <t>YFT00001-001013</t>
  </si>
  <si>
    <t>West Fork above new mouth</t>
  </si>
  <si>
    <t>Reconnection-Control</t>
  </si>
  <si>
    <t>YFI00001-001129</t>
  </si>
  <si>
    <t xml:space="preserve">Pond Series 3 lower reach subsample </t>
  </si>
  <si>
    <t>YFT00001-001196</t>
  </si>
  <si>
    <t>Yankee Fork at bridge below Bonanza</t>
  </si>
  <si>
    <t>Floodplain Enhancement-Control</t>
  </si>
  <si>
    <t>Step Panel 2013,2014,2017,2020</t>
  </si>
  <si>
    <t>YFI00001-001288</t>
  </si>
  <si>
    <t>Lightning Creek ~2 miles up from mouth</t>
  </si>
  <si>
    <t>YFI00001-001411</t>
  </si>
  <si>
    <t>West Fork above Lightening near confluence</t>
  </si>
  <si>
    <t>YFI00001-001503</t>
  </si>
  <si>
    <t>Yankee Fork above Jerrys Creek</t>
  </si>
  <si>
    <t>YFI00001-001582</t>
  </si>
  <si>
    <t>Fivemile Creek above mouth</t>
  </si>
  <si>
    <t>YFI00001-001709</t>
  </si>
  <si>
    <t>1709 side channel 1</t>
  </si>
  <si>
    <t>Side Channel 1 below West Fork</t>
  </si>
  <si>
    <t>Reconnection - Treatment</t>
  </si>
  <si>
    <t>YFI00001-001971</t>
  </si>
  <si>
    <t>Yankee Fork new channel above West Fork</t>
  </si>
  <si>
    <t>Reconnection-Treatment</t>
  </si>
  <si>
    <t>Step Panel 2016,2017,2020</t>
  </si>
  <si>
    <t>YFI00001-002159</t>
  </si>
  <si>
    <t>Pond Series 3 upper reach subsample</t>
  </si>
  <si>
    <t>UTM 11T WGS84/NAD83</t>
  </si>
  <si>
    <t>2017 Yankee Fork Restoration Project CHaMP Site Snorkel Survey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</si>
</sst>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1" fillId="0" borderId="0" xfId="2" applyFont="1" applyBorder="1" applyAlignment="1">
      <alignment horizontal="left"/>
    </xf>
    <xf numFmtId="0" fontId="4" fillId="0" borderId="0" xfId="2" applyBorder="1" applyAlignment="1">
      <alignment horizontal="center"/>
    </xf>
    <xf numFmtId="0" fontId="4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2"/>
    <xf numFmtId="0" fontId="1" fillId="0" borderId="0" xfId="2" applyFont="1" applyBorder="1" applyAlignment="1">
      <alignment horizontal="right"/>
    </xf>
    <xf numFmtId="0" fontId="4" fillId="0" borderId="0" xfId="2" applyBorder="1" applyAlignment="1">
      <alignment horizontal="left"/>
    </xf>
    <xf numFmtId="14" fontId="4" fillId="0" borderId="0" xfId="2" applyNumberFormat="1" applyBorder="1" applyAlignment="1">
      <alignment horizontal="left"/>
    </xf>
    <xf numFmtId="0" fontId="1" fillId="0" borderId="0" xfId="2" applyFont="1" applyAlignment="1">
      <alignment horizontal="right"/>
    </xf>
    <xf numFmtId="49" fontId="4" fillId="0" borderId="0" xfId="2" applyNumberFormat="1" applyAlignment="1">
      <alignment horizontal="left"/>
    </xf>
    <xf numFmtId="0" fontId="4" fillId="0" borderId="0" xfId="2" applyAlignment="1">
      <alignment horizontal="left"/>
    </xf>
    <xf numFmtId="0" fontId="2" fillId="0" borderId="0" xfId="2" applyFont="1" applyAlignment="1">
      <alignment horizontal="left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2" applyFont="1" applyBorder="1" applyAlignment="1">
      <alignment horizontal="left"/>
    </xf>
    <xf numFmtId="0" fontId="4" fillId="0" borderId="0" xfId="2" applyNumberFormat="1" applyAlignment="1">
      <alignment horizontal="center"/>
    </xf>
    <xf numFmtId="0" fontId="1" fillId="0" borderId="0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/>
    </xf>
    <xf numFmtId="0" fontId="2" fillId="0" borderId="0" xfId="2" applyNumberFormat="1" applyFont="1" applyAlignment="1">
      <alignment horizontal="center"/>
    </xf>
    <xf numFmtId="0" fontId="7" fillId="0" borderId="1" xfId="3" applyFont="1" applyFill="1" applyBorder="1" applyAlignment="1">
      <alignment wrapText="1"/>
    </xf>
    <xf numFmtId="0" fontId="1" fillId="0" borderId="1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left" wrapText="1"/>
    </xf>
    <xf numFmtId="1" fontId="1" fillId="0" borderId="1" xfId="4" applyNumberFormat="1" applyFont="1" applyFill="1" applyBorder="1" applyAlignment="1">
      <alignment horizontal="center" wrapText="1"/>
    </xf>
    <xf numFmtId="164" fontId="1" fillId="0" borderId="1" xfId="4" applyNumberFormat="1" applyFont="1" applyFill="1" applyBorder="1" applyAlignment="1">
      <alignment horizontal="center" wrapText="1"/>
    </xf>
    <xf numFmtId="0" fontId="1" fillId="0" borderId="0" xfId="4" applyFont="1" applyFill="1" applyAlignment="1">
      <alignment horizontal="center"/>
    </xf>
    <xf numFmtId="0" fontId="8" fillId="0" borderId="1" xfId="3" applyFont="1" applyFill="1" applyBorder="1" applyAlignment="1">
      <alignment wrapText="1"/>
    </xf>
    <xf numFmtId="0" fontId="4" fillId="0" borderId="0" xfId="4" applyFill="1" applyAlignment="1">
      <alignment horizontal="center"/>
    </xf>
    <xf numFmtId="0" fontId="4" fillId="0" borderId="1" xfId="4" applyFill="1" applyBorder="1" applyAlignment="1">
      <alignment horizontal="left"/>
    </xf>
    <xf numFmtId="1" fontId="4" fillId="0" borderId="1" xfId="4" applyNumberFormat="1" applyFill="1" applyBorder="1" applyAlignment="1">
      <alignment horizontal="center"/>
    </xf>
    <xf numFmtId="164" fontId="4" fillId="0" borderId="1" xfId="4" applyNumberFormat="1" applyFill="1" applyBorder="1" applyAlignment="1">
      <alignment horizontal="center"/>
    </xf>
    <xf numFmtId="0" fontId="4" fillId="0" borderId="1" xfId="4" applyFont="1" applyFill="1" applyBorder="1" applyAlignment="1">
      <alignment horizontal="left"/>
    </xf>
    <xf numFmtId="0" fontId="4" fillId="0" borderId="0" xfId="5" applyFill="1"/>
    <xf numFmtId="0" fontId="4" fillId="0" borderId="0" xfId="4" applyFill="1" applyAlignment="1">
      <alignment horizontal="left"/>
    </xf>
    <xf numFmtId="1" fontId="4" fillId="0" borderId="0" xfId="4" applyNumberFormat="1" applyFill="1" applyAlignment="1">
      <alignment horizontal="center"/>
    </xf>
    <xf numFmtId="164" fontId="4" fillId="0" borderId="0" xfId="4" applyNumberFormat="1" applyFill="1" applyAlignment="1">
      <alignment horizontal="center"/>
    </xf>
    <xf numFmtId="0" fontId="1" fillId="0" borderId="0" xfId="5" applyFont="1" applyFill="1"/>
    <xf numFmtId="1" fontId="1" fillId="0" borderId="0" xfId="4" applyNumberFormat="1" applyFont="1" applyFill="1" applyAlignment="1">
      <alignment horizontal="left"/>
    </xf>
    <xf numFmtId="0" fontId="0" fillId="0" borderId="1" xfId="4" applyFont="1" applyFill="1" applyBorder="1" applyAlignment="1">
      <alignment horizontal="left"/>
    </xf>
  </cellXfs>
  <cellStyles count="6">
    <cellStyle name="Normal" xfId="0" builtinId="0"/>
    <cellStyle name="Normal 10" xfId="5" xr:uid="{6D7A8AA7-5766-43A3-9900-3C3A91EDFFA0}"/>
    <cellStyle name="Normal 2" xfId="1" xr:uid="{00000000-0005-0000-0000-000001000000}"/>
    <cellStyle name="Normal 3" xfId="2" xr:uid="{00000000-0005-0000-0000-000002000000}"/>
    <cellStyle name="Normal 8" xfId="4" xr:uid="{ABFA4DE4-E1E9-41A1-BB9C-61064881B98D}"/>
    <cellStyle name="Normal_Sheet1" xfId="3" xr:uid="{41ACB8A4-EFBB-4454-AF12-39CD2FD4F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FCA7-A9C1-44B6-8732-7AEAE5852D60}">
  <dimension ref="A1:I27"/>
  <sheetViews>
    <sheetView tabSelected="1" workbookViewId="0">
      <pane xSplit="2" topLeftCell="C1" activePane="topRight" state="frozen"/>
      <selection pane="topRight" activeCell="C29" sqref="C29"/>
    </sheetView>
  </sheetViews>
  <sheetFormatPr defaultColWidth="9" defaultRowHeight="14.4" x14ac:dyDescent="0.3"/>
  <cols>
    <col min="1" max="1" width="15.88671875" style="38" bestFit="1" customWidth="1"/>
    <col min="2" max="2" width="17.5546875" style="31" customWidth="1"/>
    <col min="3" max="3" width="37.6640625" style="39" customWidth="1"/>
    <col min="4" max="4" width="29.5546875" style="39" customWidth="1"/>
    <col min="5" max="5" width="36.44140625" style="39" customWidth="1"/>
    <col min="6" max="6" width="8.5546875" style="40" customWidth="1"/>
    <col min="7" max="7" width="10.44140625" style="40" customWidth="1"/>
    <col min="8" max="8" width="8.5546875" style="41" customWidth="1"/>
    <col min="9" max="9" width="10.44140625" style="41" customWidth="1"/>
    <col min="10" max="16384" width="9" style="33"/>
  </cols>
  <sheetData>
    <row r="1" spans="1:9" x14ac:dyDescent="0.3">
      <c r="A1" s="42" t="s">
        <v>299</v>
      </c>
      <c r="F1" s="43" t="s">
        <v>298</v>
      </c>
    </row>
    <row r="2" spans="1:9" s="31" customFormat="1" x14ac:dyDescent="0.3">
      <c r="A2" s="26" t="s">
        <v>223</v>
      </c>
      <c r="B2" s="27" t="s">
        <v>224</v>
      </c>
      <c r="C2" s="28" t="s">
        <v>225</v>
      </c>
      <c r="D2" s="28" t="s">
        <v>226</v>
      </c>
      <c r="E2" s="28" t="s">
        <v>227</v>
      </c>
      <c r="F2" s="29" t="s">
        <v>73</v>
      </c>
      <c r="G2" s="29" t="s">
        <v>228</v>
      </c>
      <c r="H2" s="30" t="s">
        <v>229</v>
      </c>
      <c r="I2" s="30" t="s">
        <v>230</v>
      </c>
    </row>
    <row r="3" spans="1:9" x14ac:dyDescent="0.3">
      <c r="A3" s="32" t="s">
        <v>232</v>
      </c>
      <c r="B3" s="27" t="s">
        <v>221</v>
      </c>
      <c r="C3" s="34" t="s">
        <v>235</v>
      </c>
      <c r="D3" s="34" t="s">
        <v>233</v>
      </c>
      <c r="E3" s="34" t="s">
        <v>234</v>
      </c>
      <c r="F3" s="35">
        <v>681526</v>
      </c>
      <c r="G3" s="35">
        <v>4911572</v>
      </c>
      <c r="H3" s="36">
        <v>44.334720375769002</v>
      </c>
      <c r="I3" s="36">
        <v>-114.72302741383101</v>
      </c>
    </row>
    <row r="4" spans="1:9" x14ac:dyDescent="0.3">
      <c r="A4" s="32" t="s">
        <v>238</v>
      </c>
      <c r="B4" s="27">
        <v>213</v>
      </c>
      <c r="C4" s="34" t="s">
        <v>239</v>
      </c>
      <c r="D4" s="34" t="s">
        <v>240</v>
      </c>
      <c r="E4" s="34" t="s">
        <v>234</v>
      </c>
      <c r="F4" s="35">
        <v>681396</v>
      </c>
      <c r="G4" s="35">
        <v>4913037</v>
      </c>
      <c r="H4" s="36">
        <v>44.347931791553997</v>
      </c>
      <c r="I4" s="36">
        <v>-114.724146754188</v>
      </c>
    </row>
    <row r="5" spans="1:9" x14ac:dyDescent="0.3">
      <c r="A5" s="32" t="s">
        <v>241</v>
      </c>
      <c r="B5" s="27">
        <v>218</v>
      </c>
      <c r="C5" s="34" t="s">
        <v>242</v>
      </c>
      <c r="D5" s="34" t="s">
        <v>231</v>
      </c>
      <c r="E5" s="34" t="s">
        <v>243</v>
      </c>
      <c r="F5" s="35">
        <v>674886</v>
      </c>
      <c r="G5" s="35">
        <v>4917736</v>
      </c>
      <c r="H5" s="36">
        <v>44.3918031949311</v>
      </c>
      <c r="I5" s="36">
        <v>-114.804183047704</v>
      </c>
    </row>
    <row r="6" spans="1:9" x14ac:dyDescent="0.3">
      <c r="A6" s="32" t="s">
        <v>244</v>
      </c>
      <c r="B6" s="27">
        <v>231</v>
      </c>
      <c r="C6" s="34" t="s">
        <v>245</v>
      </c>
      <c r="D6" s="34" t="s">
        <v>237</v>
      </c>
      <c r="E6" s="34" t="s">
        <v>243</v>
      </c>
      <c r="F6" s="35">
        <v>688433</v>
      </c>
      <c r="G6" s="35">
        <v>4920618</v>
      </c>
      <c r="H6" s="36">
        <v>44.414331944986998</v>
      </c>
      <c r="I6" s="36">
        <v>-114.633184353372</v>
      </c>
    </row>
    <row r="7" spans="1:9" x14ac:dyDescent="0.3">
      <c r="A7" s="32" t="s">
        <v>246</v>
      </c>
      <c r="B7" s="27">
        <v>320</v>
      </c>
      <c r="C7" s="34" t="s">
        <v>247</v>
      </c>
      <c r="D7" s="34" t="s">
        <v>231</v>
      </c>
      <c r="E7" s="34" t="s">
        <v>243</v>
      </c>
      <c r="F7" s="35">
        <v>691414</v>
      </c>
      <c r="G7" s="35">
        <v>4925196</v>
      </c>
      <c r="H7" s="36">
        <v>44.454728736006203</v>
      </c>
      <c r="I7" s="36">
        <v>-114.594084065046</v>
      </c>
    </row>
    <row r="8" spans="1:9" x14ac:dyDescent="0.3">
      <c r="A8" s="32" t="s">
        <v>248</v>
      </c>
      <c r="B8" s="27">
        <v>323</v>
      </c>
      <c r="C8" s="34" t="s">
        <v>249</v>
      </c>
      <c r="D8" s="34" t="s">
        <v>237</v>
      </c>
      <c r="E8" s="34" t="s">
        <v>250</v>
      </c>
      <c r="F8" s="35">
        <v>682791</v>
      </c>
      <c r="G8" s="35">
        <v>4917064</v>
      </c>
      <c r="H8" s="36">
        <v>44.383807529555703</v>
      </c>
      <c r="I8" s="36">
        <v>-114.70524395057799</v>
      </c>
    </row>
    <row r="9" spans="1:9" x14ac:dyDescent="0.3">
      <c r="A9" s="32" t="s">
        <v>251</v>
      </c>
      <c r="B9" s="27">
        <v>436</v>
      </c>
      <c r="C9" s="34" t="s">
        <v>252</v>
      </c>
      <c r="D9" s="34" t="s">
        <v>236</v>
      </c>
      <c r="E9" s="34" t="s">
        <v>243</v>
      </c>
      <c r="F9" s="35">
        <v>694966</v>
      </c>
      <c r="G9" s="35">
        <v>4928946</v>
      </c>
      <c r="H9" s="36">
        <v>44.487509316196203</v>
      </c>
      <c r="I9" s="36">
        <v>-114.548065995431</v>
      </c>
    </row>
    <row r="10" spans="1:9" x14ac:dyDescent="0.3">
      <c r="A10" s="32" t="s">
        <v>253</v>
      </c>
      <c r="B10" s="27">
        <v>595</v>
      </c>
      <c r="C10" s="34" t="s">
        <v>254</v>
      </c>
      <c r="D10" s="34" t="s">
        <v>255</v>
      </c>
      <c r="E10" s="34" t="s">
        <v>234</v>
      </c>
      <c r="F10" s="35">
        <v>681377</v>
      </c>
      <c r="G10" s="35">
        <v>4915953</v>
      </c>
      <c r="H10" s="36">
        <v>44.374168359263102</v>
      </c>
      <c r="I10" s="36">
        <v>-114.723368814251</v>
      </c>
    </row>
    <row r="11" spans="1:9" x14ac:dyDescent="0.3">
      <c r="A11" s="32" t="s">
        <v>256</v>
      </c>
      <c r="B11" s="27" t="s">
        <v>206</v>
      </c>
      <c r="C11" s="44" t="s">
        <v>257</v>
      </c>
      <c r="D11" s="34" t="s">
        <v>233</v>
      </c>
      <c r="E11" s="34" t="s">
        <v>234</v>
      </c>
      <c r="F11" s="35">
        <v>682051</v>
      </c>
      <c r="G11" s="35">
        <v>4908682</v>
      </c>
      <c r="H11" s="36">
        <v>44.308590967940198</v>
      </c>
      <c r="I11" s="36">
        <v>-114.71745600812901</v>
      </c>
    </row>
    <row r="12" spans="1:9" x14ac:dyDescent="0.3">
      <c r="A12" s="32" t="s">
        <v>258</v>
      </c>
      <c r="B12" s="27">
        <v>725</v>
      </c>
      <c r="C12" s="34" t="s">
        <v>259</v>
      </c>
      <c r="D12" s="34" t="s">
        <v>240</v>
      </c>
      <c r="E12" s="34" t="s">
        <v>234</v>
      </c>
      <c r="F12" s="35">
        <v>681388</v>
      </c>
      <c r="G12" s="35">
        <v>4912402</v>
      </c>
      <c r="H12" s="36">
        <v>44.342221425256</v>
      </c>
      <c r="I12" s="36">
        <v>-114.724468153576</v>
      </c>
    </row>
    <row r="13" spans="1:9" x14ac:dyDescent="0.3">
      <c r="A13" s="32" t="s">
        <v>260</v>
      </c>
      <c r="B13" s="27">
        <v>727</v>
      </c>
      <c r="C13" s="34" t="s">
        <v>261</v>
      </c>
      <c r="D13" s="34" t="s">
        <v>231</v>
      </c>
      <c r="E13" s="34" t="s">
        <v>243</v>
      </c>
      <c r="F13" s="35">
        <v>689052</v>
      </c>
      <c r="G13" s="35">
        <v>4922765</v>
      </c>
      <c r="H13" s="36">
        <v>44.433483083551202</v>
      </c>
      <c r="I13" s="36">
        <v>-114.62463367683</v>
      </c>
    </row>
    <row r="14" spans="1:9" x14ac:dyDescent="0.3">
      <c r="A14" s="32" t="s">
        <v>262</v>
      </c>
      <c r="B14" s="27">
        <v>777</v>
      </c>
      <c r="C14" s="34" t="s">
        <v>263</v>
      </c>
      <c r="D14" s="34" t="s">
        <v>240</v>
      </c>
      <c r="E14" s="34" t="s">
        <v>234</v>
      </c>
      <c r="F14" s="35">
        <v>681035</v>
      </c>
      <c r="G14" s="35">
        <v>4914153</v>
      </c>
      <c r="H14" s="36">
        <v>44.358061303136999</v>
      </c>
      <c r="I14" s="36">
        <v>-114.728284441922</v>
      </c>
    </row>
    <row r="15" spans="1:9" x14ac:dyDescent="0.3">
      <c r="A15" s="32" t="s">
        <v>264</v>
      </c>
      <c r="B15" s="27">
        <v>835</v>
      </c>
      <c r="C15" s="34" t="s">
        <v>265</v>
      </c>
      <c r="D15" s="34" t="s">
        <v>255</v>
      </c>
      <c r="E15" s="34" t="s">
        <v>234</v>
      </c>
      <c r="F15" s="35">
        <v>680957</v>
      </c>
      <c r="G15" s="35">
        <v>4914609</v>
      </c>
      <c r="H15" s="36">
        <v>44.3621828708268</v>
      </c>
      <c r="I15" s="36">
        <v>-114.72910393386999</v>
      </c>
    </row>
    <row r="16" spans="1:9" x14ac:dyDescent="0.3">
      <c r="A16" s="32" t="s">
        <v>266</v>
      </c>
      <c r="B16" s="27">
        <v>841</v>
      </c>
      <c r="C16" s="34" t="s">
        <v>267</v>
      </c>
      <c r="D16" s="34" t="s">
        <v>237</v>
      </c>
      <c r="E16" s="34" t="s">
        <v>243</v>
      </c>
      <c r="F16" s="35">
        <v>682005</v>
      </c>
      <c r="G16" s="35">
        <v>4906644</v>
      </c>
      <c r="H16" s="36">
        <v>44.290268872368202</v>
      </c>
      <c r="I16" s="36">
        <v>-114.718742661622</v>
      </c>
    </row>
    <row r="17" spans="1:9" x14ac:dyDescent="0.3">
      <c r="A17" s="32" t="s">
        <v>268</v>
      </c>
      <c r="B17" s="27">
        <v>851</v>
      </c>
      <c r="C17" s="34" t="s">
        <v>269</v>
      </c>
      <c r="D17" s="34" t="s">
        <v>255</v>
      </c>
      <c r="E17" s="34" t="s">
        <v>270</v>
      </c>
      <c r="F17" s="35">
        <v>681533</v>
      </c>
      <c r="G17" s="35">
        <v>4916330</v>
      </c>
      <c r="H17" s="36">
        <v>44.3775207360503</v>
      </c>
      <c r="I17" s="36">
        <v>-114.72128066537201</v>
      </c>
    </row>
    <row r="18" spans="1:9" x14ac:dyDescent="0.3">
      <c r="A18" s="32" t="s">
        <v>271</v>
      </c>
      <c r="B18" s="27">
        <v>1013</v>
      </c>
      <c r="C18" s="34" t="s">
        <v>272</v>
      </c>
      <c r="D18" s="34" t="s">
        <v>273</v>
      </c>
      <c r="E18" s="34" t="s">
        <v>270</v>
      </c>
      <c r="F18" s="35">
        <v>680704</v>
      </c>
      <c r="G18" s="35">
        <v>4913603</v>
      </c>
      <c r="H18" s="36">
        <v>44.3531960746081</v>
      </c>
      <c r="I18" s="36">
        <v>-114.732625649767</v>
      </c>
    </row>
    <row r="19" spans="1:9" x14ac:dyDescent="0.3">
      <c r="A19" s="32" t="s">
        <v>274</v>
      </c>
      <c r="B19" s="27" t="s">
        <v>220</v>
      </c>
      <c r="C19" s="34" t="s">
        <v>275</v>
      </c>
      <c r="D19" s="34" t="s">
        <v>233</v>
      </c>
      <c r="E19" s="34" t="s">
        <v>234</v>
      </c>
      <c r="F19" s="35">
        <v>681610</v>
      </c>
      <c r="G19" s="35">
        <v>4912098</v>
      </c>
      <c r="H19" s="36">
        <v>44.3394311895429</v>
      </c>
      <c r="I19" s="36">
        <v>-114.721791284937</v>
      </c>
    </row>
    <row r="20" spans="1:9" x14ac:dyDescent="0.3">
      <c r="A20" s="32" t="s">
        <v>276</v>
      </c>
      <c r="B20" s="27">
        <v>1196</v>
      </c>
      <c r="C20" s="34" t="s">
        <v>277</v>
      </c>
      <c r="D20" s="34" t="s">
        <v>278</v>
      </c>
      <c r="E20" s="34" t="s">
        <v>279</v>
      </c>
      <c r="F20" s="35">
        <v>681263</v>
      </c>
      <c r="G20" s="35">
        <v>4915233</v>
      </c>
      <c r="H20" s="36">
        <v>44.367719876747103</v>
      </c>
      <c r="I20" s="36">
        <v>-114.725049480888</v>
      </c>
    </row>
    <row r="21" spans="1:9" x14ac:dyDescent="0.3">
      <c r="A21" s="32" t="s">
        <v>280</v>
      </c>
      <c r="B21" s="27">
        <v>1288</v>
      </c>
      <c r="C21" s="34" t="s">
        <v>281</v>
      </c>
      <c r="D21" s="34" t="s">
        <v>236</v>
      </c>
      <c r="E21" s="34" t="s">
        <v>243</v>
      </c>
      <c r="F21" s="35">
        <v>676253</v>
      </c>
      <c r="G21" s="35">
        <v>4919961</v>
      </c>
      <c r="H21" s="36">
        <v>44.411488462520197</v>
      </c>
      <c r="I21" s="36">
        <v>-114.786277045199</v>
      </c>
    </row>
    <row r="22" spans="1:9" x14ac:dyDescent="0.3">
      <c r="A22" s="32" t="s">
        <v>282</v>
      </c>
      <c r="B22" s="27">
        <v>1411</v>
      </c>
      <c r="C22" s="37" t="s">
        <v>283</v>
      </c>
      <c r="D22" s="34" t="s">
        <v>237</v>
      </c>
      <c r="E22" s="34" t="s">
        <v>243</v>
      </c>
      <c r="F22" s="35">
        <v>675466</v>
      </c>
      <c r="G22" s="35">
        <v>4917293</v>
      </c>
      <c r="H22" s="36">
        <v>44.387677674762401</v>
      </c>
      <c r="I22" s="36">
        <v>-114.797055646554</v>
      </c>
    </row>
    <row r="23" spans="1:9" x14ac:dyDescent="0.3">
      <c r="A23" s="32" t="s">
        <v>284</v>
      </c>
      <c r="B23" s="27">
        <v>1503</v>
      </c>
      <c r="C23" s="34" t="s">
        <v>285</v>
      </c>
      <c r="D23" s="34" t="s">
        <v>240</v>
      </c>
      <c r="E23" s="34" t="s">
        <v>234</v>
      </c>
      <c r="F23" s="35">
        <v>681677</v>
      </c>
      <c r="G23" s="35">
        <v>4911654</v>
      </c>
      <c r="H23" s="36">
        <v>44.335420273799699</v>
      </c>
      <c r="I23" s="36">
        <v>-114.721106248903</v>
      </c>
    </row>
    <row r="24" spans="1:9" x14ac:dyDescent="0.3">
      <c r="A24" s="32" t="s">
        <v>286</v>
      </c>
      <c r="B24" s="27">
        <v>1582</v>
      </c>
      <c r="C24" s="34" t="s">
        <v>287</v>
      </c>
      <c r="D24" s="34" t="s">
        <v>236</v>
      </c>
      <c r="E24" s="34" t="s">
        <v>243</v>
      </c>
      <c r="F24" s="35">
        <v>687205</v>
      </c>
      <c r="G24" s="35">
        <v>4918761</v>
      </c>
      <c r="H24" s="36">
        <v>44.397946199774999</v>
      </c>
      <c r="I24" s="36">
        <v>-114.649265165063</v>
      </c>
    </row>
    <row r="25" spans="1:9" x14ac:dyDescent="0.3">
      <c r="A25" s="32" t="s">
        <v>288</v>
      </c>
      <c r="B25" s="27" t="s">
        <v>289</v>
      </c>
      <c r="C25" s="34" t="s">
        <v>290</v>
      </c>
      <c r="D25" s="34" t="s">
        <v>291</v>
      </c>
      <c r="E25" s="34"/>
      <c r="F25" s="35">
        <v>681075</v>
      </c>
      <c r="G25" s="35">
        <v>4913448</v>
      </c>
      <c r="H25" s="36">
        <v>44.3517092423252</v>
      </c>
      <c r="I25" s="36">
        <v>-114.728028077293</v>
      </c>
    </row>
    <row r="26" spans="1:9" x14ac:dyDescent="0.3">
      <c r="A26" s="32" t="s">
        <v>292</v>
      </c>
      <c r="B26" s="27">
        <v>1971</v>
      </c>
      <c r="C26" s="34" t="s">
        <v>293</v>
      </c>
      <c r="D26" s="34" t="s">
        <v>294</v>
      </c>
      <c r="E26" s="34" t="s">
        <v>295</v>
      </c>
      <c r="F26" s="35">
        <v>680861</v>
      </c>
      <c r="G26" s="35">
        <v>4913727</v>
      </c>
      <c r="H26" s="36">
        <v>44.354272453383501</v>
      </c>
      <c r="I26" s="36">
        <v>-114.730614163998</v>
      </c>
    </row>
    <row r="27" spans="1:9" x14ac:dyDescent="0.3">
      <c r="A27" s="32" t="s">
        <v>296</v>
      </c>
      <c r="B27" s="27" t="s">
        <v>222</v>
      </c>
      <c r="C27" s="34" t="s">
        <v>297</v>
      </c>
      <c r="D27" s="34" t="s">
        <v>233</v>
      </c>
      <c r="E27" s="34" t="s">
        <v>279</v>
      </c>
      <c r="F27" s="35">
        <v>681454</v>
      </c>
      <c r="G27" s="35">
        <v>4912518</v>
      </c>
      <c r="H27" s="36">
        <v>44.343248451006097</v>
      </c>
      <c r="I27" s="36">
        <v>-114.723600424563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21" t="s">
        <v>206</v>
      </c>
      <c r="E3" s="4"/>
    </row>
    <row r="4" spans="1:14" x14ac:dyDescent="0.3">
      <c r="A4" s="6" t="s">
        <v>3</v>
      </c>
      <c r="B4" s="8">
        <v>43005</v>
      </c>
      <c r="E4" s="4"/>
    </row>
    <row r="5" spans="1:14" x14ac:dyDescent="0.3">
      <c r="A5" s="6" t="s">
        <v>4</v>
      </c>
      <c r="B5" s="7" t="s">
        <v>197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114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/>
      <c r="B10" s="16"/>
      <c r="C10" s="16"/>
      <c r="D10" s="16">
        <v>1</v>
      </c>
      <c r="E10" s="16" t="s">
        <v>72</v>
      </c>
      <c r="F10" s="16"/>
      <c r="G10" s="24">
        <v>1530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21</v>
      </c>
      <c r="C11" s="16">
        <v>210</v>
      </c>
      <c r="D11" s="16">
        <v>2</v>
      </c>
      <c r="E11" s="16" t="s">
        <v>71</v>
      </c>
      <c r="F11" s="16" t="s">
        <v>73</v>
      </c>
      <c r="G11" s="24"/>
      <c r="H11" s="17" t="s">
        <v>84</v>
      </c>
      <c r="I11" s="16">
        <v>1</v>
      </c>
      <c r="J11" s="17"/>
      <c r="L11" s="19">
        <f>SUMIFS($A$10:$A$400,$B$10:$B$400,"CH",$D$10:$D$400,"2")</f>
        <v>17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50</v>
      </c>
      <c r="D12" s="16">
        <v>2</v>
      </c>
      <c r="E12" s="16" t="s">
        <v>71</v>
      </c>
      <c r="F12" s="16" t="s">
        <v>77</v>
      </c>
      <c r="G12" s="24"/>
      <c r="H12" s="17" t="s">
        <v>84</v>
      </c>
      <c r="I12" s="16">
        <v>1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64</v>
      </c>
      <c r="C13" s="16">
        <v>210</v>
      </c>
      <c r="D13" s="16">
        <v>2</v>
      </c>
      <c r="E13" s="16" t="s">
        <v>71</v>
      </c>
      <c r="F13" s="16" t="s">
        <v>77</v>
      </c>
      <c r="G13" s="24"/>
      <c r="H13" s="17" t="s">
        <v>84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115</v>
      </c>
      <c r="C14" s="16">
        <v>60</v>
      </c>
      <c r="D14" s="16">
        <v>2</v>
      </c>
      <c r="E14" s="16" t="s">
        <v>71</v>
      </c>
      <c r="F14" s="16" t="s">
        <v>77</v>
      </c>
      <c r="G14" s="24"/>
      <c r="H14" s="17" t="s">
        <v>97</v>
      </c>
      <c r="I14" s="16">
        <v>3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10</v>
      </c>
      <c r="B15" s="16" t="s">
        <v>19</v>
      </c>
      <c r="C15" s="16">
        <v>70</v>
      </c>
      <c r="D15" s="16">
        <v>2</v>
      </c>
      <c r="E15" s="16" t="s">
        <v>71</v>
      </c>
      <c r="F15" s="16" t="s">
        <v>63</v>
      </c>
      <c r="G15" s="24"/>
      <c r="H15" s="17" t="s">
        <v>96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8</v>
      </c>
      <c r="B16" s="16" t="s">
        <v>21</v>
      </c>
      <c r="C16" s="16">
        <v>100</v>
      </c>
      <c r="D16" s="16">
        <v>2</v>
      </c>
      <c r="E16" s="16" t="s">
        <v>71</v>
      </c>
      <c r="F16" s="16" t="s">
        <v>63</v>
      </c>
      <c r="G16" s="24"/>
      <c r="H16" s="17" t="s">
        <v>96</v>
      </c>
      <c r="I16" s="16">
        <v>2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130</v>
      </c>
      <c r="D17" s="16">
        <v>2</v>
      </c>
      <c r="E17" s="16" t="s">
        <v>71</v>
      </c>
      <c r="F17" s="16" t="s">
        <v>63</v>
      </c>
      <c r="G17" s="24"/>
      <c r="H17" s="17" t="s">
        <v>96</v>
      </c>
      <c r="I17" s="16">
        <v>2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200</v>
      </c>
      <c r="D18" s="16">
        <v>2</v>
      </c>
      <c r="E18" s="16" t="s">
        <v>71</v>
      </c>
      <c r="F18" s="16" t="s">
        <v>63</v>
      </c>
      <c r="G18" s="24"/>
      <c r="H18" s="17" t="s">
        <v>84</v>
      </c>
      <c r="I18" s="16">
        <v>1</v>
      </c>
      <c r="J18" s="17"/>
      <c r="L18" s="19">
        <f>SUMIFS($A$10:$A$400,$B$10:$B$400,"CH",$D$10:$D$400,"9")</f>
        <v>6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67</v>
      </c>
      <c r="C19" s="16">
        <v>200</v>
      </c>
      <c r="D19" s="16">
        <v>2</v>
      </c>
      <c r="E19" s="16" t="s">
        <v>71</v>
      </c>
      <c r="F19" s="16" t="s">
        <v>73</v>
      </c>
      <c r="G19" s="24"/>
      <c r="H19" s="17" t="s">
        <v>84</v>
      </c>
      <c r="I19" s="16">
        <v>1</v>
      </c>
      <c r="J19" s="17"/>
      <c r="L19" s="19">
        <f>SUMIFS($A$10:$A$400,$B$10:$B$400,"CH",$D$10:$D$400,"10")</f>
        <v>8</v>
      </c>
      <c r="M19" s="19" t="s">
        <v>19</v>
      </c>
      <c r="N19" s="19" t="s">
        <v>20</v>
      </c>
    </row>
    <row r="20" spans="1:14" s="18" customFormat="1" x14ac:dyDescent="0.3">
      <c r="A20" s="16">
        <v>2</v>
      </c>
      <c r="B20" s="16" t="s">
        <v>67</v>
      </c>
      <c r="C20" s="16">
        <v>110</v>
      </c>
      <c r="D20" s="16">
        <v>2</v>
      </c>
      <c r="E20" s="16" t="s">
        <v>71</v>
      </c>
      <c r="F20" s="16" t="s">
        <v>77</v>
      </c>
      <c r="G20" s="24"/>
      <c r="H20" s="17" t="s">
        <v>84</v>
      </c>
      <c r="I20" s="16">
        <v>1</v>
      </c>
      <c r="J20" s="17"/>
      <c r="L20" s="19">
        <f>SUMIFS($A$10:$A$400,$B$10:$B$400,"CH",$D$10:$D$400,"11")</f>
        <v>1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19</v>
      </c>
      <c r="C21" s="16">
        <v>60</v>
      </c>
      <c r="D21" s="16">
        <v>2</v>
      </c>
      <c r="E21" s="16" t="s">
        <v>71</v>
      </c>
      <c r="F21" s="16" t="s">
        <v>77</v>
      </c>
      <c r="G21" s="24"/>
      <c r="H21" s="17" t="s">
        <v>84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67</v>
      </c>
      <c r="C22" s="16">
        <v>65</v>
      </c>
      <c r="D22" s="16">
        <v>2</v>
      </c>
      <c r="E22" s="16" t="s">
        <v>71</v>
      </c>
      <c r="F22" s="16" t="s">
        <v>63</v>
      </c>
      <c r="G22" s="24"/>
      <c r="H22" s="17" t="s">
        <v>84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5</v>
      </c>
      <c r="B23" s="16" t="s">
        <v>19</v>
      </c>
      <c r="C23" s="16">
        <v>80</v>
      </c>
      <c r="D23" s="16">
        <v>2</v>
      </c>
      <c r="E23" s="16" t="s">
        <v>71</v>
      </c>
      <c r="F23" s="16" t="s">
        <v>63</v>
      </c>
      <c r="G23" s="24"/>
      <c r="H23" s="17" t="s">
        <v>96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21</v>
      </c>
      <c r="C24" s="16">
        <v>75</v>
      </c>
      <c r="D24" s="16">
        <v>4</v>
      </c>
      <c r="E24" s="16" t="s">
        <v>65</v>
      </c>
      <c r="F24" s="16" t="s">
        <v>77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21</v>
      </c>
      <c r="C25" s="16">
        <v>50</v>
      </c>
      <c r="D25" s="16">
        <v>5</v>
      </c>
      <c r="E25" s="16" t="s">
        <v>71</v>
      </c>
      <c r="F25" s="16" t="s">
        <v>77</v>
      </c>
      <c r="G25" s="24"/>
      <c r="H25" s="17" t="s">
        <v>96</v>
      </c>
      <c r="I25" s="16">
        <v>2</v>
      </c>
      <c r="J25" s="17" t="s">
        <v>116</v>
      </c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/>
      <c r="B26" s="16"/>
      <c r="C26" s="16"/>
      <c r="D26" s="16">
        <v>6</v>
      </c>
      <c r="E26" s="16" t="s">
        <v>72</v>
      </c>
      <c r="F26" s="16"/>
      <c r="G26" s="24"/>
      <c r="H26" s="17"/>
      <c r="I26" s="16"/>
      <c r="J26" s="17" t="s">
        <v>89</v>
      </c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67</v>
      </c>
      <c r="C27" s="16">
        <v>50</v>
      </c>
      <c r="D27" s="16">
        <v>7</v>
      </c>
      <c r="E27" s="16" t="s">
        <v>71</v>
      </c>
      <c r="F27" s="16" t="s">
        <v>77</v>
      </c>
      <c r="G27" s="24"/>
      <c r="H27" s="17" t="s">
        <v>84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>
        <v>8</v>
      </c>
      <c r="E28" s="16" t="s">
        <v>72</v>
      </c>
      <c r="F28" s="16"/>
      <c r="G28" s="24"/>
      <c r="H28" s="17"/>
      <c r="I28" s="16"/>
      <c r="J28" s="17" t="s">
        <v>89</v>
      </c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2</v>
      </c>
      <c r="B29" s="16" t="s">
        <v>21</v>
      </c>
      <c r="C29" s="16">
        <v>60</v>
      </c>
      <c r="D29" s="16">
        <v>3</v>
      </c>
      <c r="E29" s="16" t="s">
        <v>68</v>
      </c>
      <c r="F29" s="16"/>
      <c r="G29" s="24"/>
      <c r="H29" s="17" t="s">
        <v>97</v>
      </c>
      <c r="I29" s="16">
        <v>1</v>
      </c>
      <c r="J29" s="17" t="s">
        <v>117</v>
      </c>
      <c r="L29" s="19">
        <f>SUMIFS($A$10:$A$400,$B$10:$B$400,"CH",$D$10:$D$400,"20")</f>
        <v>1</v>
      </c>
      <c r="M29" s="19" t="s">
        <v>19</v>
      </c>
      <c r="N29" s="19" t="s">
        <v>40</v>
      </c>
    </row>
    <row r="30" spans="1:14" s="18" customFormat="1" x14ac:dyDescent="0.3">
      <c r="A30" s="16">
        <v>6</v>
      </c>
      <c r="B30" s="16" t="s">
        <v>115</v>
      </c>
      <c r="C30" s="16">
        <v>60</v>
      </c>
      <c r="D30" s="16">
        <v>3</v>
      </c>
      <c r="E30" s="16" t="s">
        <v>68</v>
      </c>
      <c r="F30" s="16"/>
      <c r="G30" s="24"/>
      <c r="H30" s="17" t="s">
        <v>97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19</v>
      </c>
      <c r="C31" s="16">
        <v>50</v>
      </c>
      <c r="D31" s="16">
        <v>9</v>
      </c>
      <c r="E31" s="16" t="s">
        <v>118</v>
      </c>
      <c r="F31" s="16" t="s">
        <v>73</v>
      </c>
      <c r="G31" s="24"/>
      <c r="H31" s="17" t="s">
        <v>99</v>
      </c>
      <c r="I31" s="16">
        <v>1</v>
      </c>
      <c r="J31" s="17" t="s">
        <v>119</v>
      </c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21</v>
      </c>
      <c r="C32" s="16">
        <v>110</v>
      </c>
      <c r="D32" s="16">
        <v>9</v>
      </c>
      <c r="E32" s="16" t="s">
        <v>118</v>
      </c>
      <c r="F32" s="16" t="s">
        <v>73</v>
      </c>
      <c r="G32" s="24"/>
      <c r="H32" s="17" t="s">
        <v>84</v>
      </c>
      <c r="I32" s="16">
        <v>2</v>
      </c>
      <c r="J32" s="17" t="s">
        <v>119</v>
      </c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21</v>
      </c>
      <c r="C33" s="16">
        <v>110</v>
      </c>
      <c r="D33" s="16">
        <v>9</v>
      </c>
      <c r="E33" s="16" t="s">
        <v>118</v>
      </c>
      <c r="F33" s="16" t="s">
        <v>77</v>
      </c>
      <c r="G33" s="24"/>
      <c r="H33" s="17" t="s">
        <v>99</v>
      </c>
      <c r="I33" s="16">
        <v>1</v>
      </c>
      <c r="J33" s="17" t="s">
        <v>119</v>
      </c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1</v>
      </c>
      <c r="B34" s="16" t="s">
        <v>21</v>
      </c>
      <c r="C34" s="16">
        <v>140</v>
      </c>
      <c r="D34" s="16">
        <v>9</v>
      </c>
      <c r="E34" s="16" t="s">
        <v>118</v>
      </c>
      <c r="F34" s="16" t="s">
        <v>63</v>
      </c>
      <c r="G34" s="24"/>
      <c r="H34" s="17" t="s">
        <v>84</v>
      </c>
      <c r="I34" s="16">
        <v>2</v>
      </c>
      <c r="J34" s="17" t="s">
        <v>119</v>
      </c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4</v>
      </c>
      <c r="B35" s="16" t="s">
        <v>19</v>
      </c>
      <c r="C35" s="16">
        <v>50</v>
      </c>
      <c r="D35" s="16">
        <v>9</v>
      </c>
      <c r="E35" s="16" t="s">
        <v>118</v>
      </c>
      <c r="F35" s="16" t="s">
        <v>63</v>
      </c>
      <c r="G35" s="24"/>
      <c r="H35" s="17" t="s">
        <v>99</v>
      </c>
      <c r="I35" s="16">
        <v>1</v>
      </c>
      <c r="J35" s="17" t="s">
        <v>119</v>
      </c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19</v>
      </c>
      <c r="C36" s="16">
        <v>75</v>
      </c>
      <c r="D36" s="16">
        <v>9</v>
      </c>
      <c r="E36" s="16" t="s">
        <v>118</v>
      </c>
      <c r="F36" s="16" t="s">
        <v>63</v>
      </c>
      <c r="G36" s="24"/>
      <c r="H36" s="17" t="s">
        <v>84</v>
      </c>
      <c r="I36" s="16">
        <v>1</v>
      </c>
      <c r="J36" s="17" t="s">
        <v>119</v>
      </c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21</v>
      </c>
      <c r="C37" s="16">
        <v>120</v>
      </c>
      <c r="D37" s="16">
        <v>9</v>
      </c>
      <c r="E37" s="16" t="s">
        <v>118</v>
      </c>
      <c r="F37" s="16" t="s">
        <v>77</v>
      </c>
      <c r="G37" s="24"/>
      <c r="H37" s="17" t="s">
        <v>106</v>
      </c>
      <c r="I37" s="16">
        <v>1</v>
      </c>
      <c r="J37" s="17" t="s">
        <v>119</v>
      </c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21</v>
      </c>
      <c r="C38" s="16">
        <v>50</v>
      </c>
      <c r="D38" s="16">
        <v>9</v>
      </c>
      <c r="E38" s="16" t="s">
        <v>118</v>
      </c>
      <c r="F38" s="16" t="s">
        <v>77</v>
      </c>
      <c r="G38" s="24"/>
      <c r="H38" s="17" t="s">
        <v>99</v>
      </c>
      <c r="I38" s="16">
        <v>1</v>
      </c>
      <c r="J38" s="17" t="s">
        <v>119</v>
      </c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21</v>
      </c>
      <c r="C39" s="16">
        <v>120</v>
      </c>
      <c r="D39" s="16">
        <v>9</v>
      </c>
      <c r="E39" s="16" t="s">
        <v>118</v>
      </c>
      <c r="F39" s="16" t="s">
        <v>77</v>
      </c>
      <c r="G39" s="24"/>
      <c r="H39" s="17" t="s">
        <v>99</v>
      </c>
      <c r="I39" s="16">
        <v>1</v>
      </c>
      <c r="J39" s="17" t="s">
        <v>119</v>
      </c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4</v>
      </c>
      <c r="B40" s="16" t="s">
        <v>21</v>
      </c>
      <c r="C40" s="16">
        <v>40</v>
      </c>
      <c r="D40" s="16">
        <v>10</v>
      </c>
      <c r="E40" s="16" t="s">
        <v>71</v>
      </c>
      <c r="F40" s="16" t="s">
        <v>73</v>
      </c>
      <c r="G40" s="24"/>
      <c r="H40" s="17" t="s">
        <v>96</v>
      </c>
      <c r="I40" s="16">
        <v>4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67</v>
      </c>
      <c r="C41" s="16">
        <v>210</v>
      </c>
      <c r="D41" s="16">
        <v>10</v>
      </c>
      <c r="E41" s="16" t="s">
        <v>71</v>
      </c>
      <c r="F41" s="16" t="s">
        <v>77</v>
      </c>
      <c r="G41" s="24"/>
      <c r="H41" s="17" t="s">
        <v>84</v>
      </c>
      <c r="I41" s="16">
        <v>2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</v>
      </c>
      <c r="B42" s="16" t="s">
        <v>21</v>
      </c>
      <c r="C42" s="16">
        <v>40</v>
      </c>
      <c r="D42" s="16">
        <v>10</v>
      </c>
      <c r="E42" s="16" t="s">
        <v>71</v>
      </c>
      <c r="F42" s="16" t="s">
        <v>77</v>
      </c>
      <c r="G42" s="24"/>
      <c r="H42" s="17" t="s">
        <v>96</v>
      </c>
      <c r="I42" s="16">
        <v>4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2</v>
      </c>
      <c r="B43" s="16" t="s">
        <v>19</v>
      </c>
      <c r="C43" s="16">
        <v>80</v>
      </c>
      <c r="D43" s="16">
        <v>10</v>
      </c>
      <c r="E43" s="16" t="s">
        <v>71</v>
      </c>
      <c r="F43" s="16" t="s">
        <v>73</v>
      </c>
      <c r="G43" s="24"/>
      <c r="H43" s="17" t="s">
        <v>97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2</v>
      </c>
      <c r="B44" s="16" t="s">
        <v>21</v>
      </c>
      <c r="C44" s="16">
        <v>200</v>
      </c>
      <c r="D44" s="16">
        <v>10</v>
      </c>
      <c r="E44" s="16" t="s">
        <v>71</v>
      </c>
      <c r="F44" s="16" t="s">
        <v>77</v>
      </c>
      <c r="G44" s="24"/>
      <c r="H44" s="17" t="s">
        <v>84</v>
      </c>
      <c r="I44" s="16">
        <v>2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21</v>
      </c>
      <c r="C45" s="16">
        <v>110</v>
      </c>
      <c r="D45" s="16">
        <v>10</v>
      </c>
      <c r="E45" s="16" t="s">
        <v>71</v>
      </c>
      <c r="F45" s="16" t="s">
        <v>77</v>
      </c>
      <c r="G45" s="24"/>
      <c r="H45" s="17" t="s">
        <v>84</v>
      </c>
      <c r="I45" s="16">
        <v>2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5</v>
      </c>
      <c r="B46" s="16" t="s">
        <v>21</v>
      </c>
      <c r="C46" s="16">
        <v>220</v>
      </c>
      <c r="D46" s="16">
        <v>10</v>
      </c>
      <c r="E46" s="16" t="s">
        <v>71</v>
      </c>
      <c r="F46" s="16" t="s">
        <v>77</v>
      </c>
      <c r="G46" s="24"/>
      <c r="H46" s="17" t="s">
        <v>84</v>
      </c>
      <c r="I46" s="16">
        <v>2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2</v>
      </c>
      <c r="B47" s="16" t="s">
        <v>21</v>
      </c>
      <c r="C47" s="16">
        <v>120</v>
      </c>
      <c r="D47" s="16">
        <v>10</v>
      </c>
      <c r="E47" s="16" t="s">
        <v>71</v>
      </c>
      <c r="F47" s="16" t="s">
        <v>77</v>
      </c>
      <c r="G47" s="24"/>
      <c r="H47" s="17" t="s">
        <v>97</v>
      </c>
      <c r="I47" s="16">
        <v>1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21</v>
      </c>
      <c r="C48" s="16">
        <v>140</v>
      </c>
      <c r="D48" s="16">
        <v>10</v>
      </c>
      <c r="E48" s="16" t="s">
        <v>71</v>
      </c>
      <c r="F48" s="16" t="s">
        <v>77</v>
      </c>
      <c r="G48" s="24"/>
      <c r="H48" s="17" t="s">
        <v>97</v>
      </c>
      <c r="I48" s="16">
        <v>1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19</v>
      </c>
      <c r="C49" s="16">
        <v>80</v>
      </c>
      <c r="D49" s="16">
        <v>10</v>
      </c>
      <c r="E49" s="16" t="s">
        <v>71</v>
      </c>
      <c r="F49" s="16" t="s">
        <v>77</v>
      </c>
      <c r="G49" s="24"/>
      <c r="H49" s="17" t="s">
        <v>120</v>
      </c>
      <c r="I49" s="16">
        <v>2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3</v>
      </c>
      <c r="B50" s="16" t="s">
        <v>21</v>
      </c>
      <c r="C50" s="16">
        <v>120</v>
      </c>
      <c r="D50" s="16">
        <v>10</v>
      </c>
      <c r="E50" s="16" t="s">
        <v>71</v>
      </c>
      <c r="F50" s="16" t="s">
        <v>77</v>
      </c>
      <c r="G50" s="24"/>
      <c r="H50" s="17" t="s">
        <v>99</v>
      </c>
      <c r="I50" s="16">
        <v>3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10</v>
      </c>
      <c r="B51" s="16" t="s">
        <v>21</v>
      </c>
      <c r="C51" s="16">
        <v>220</v>
      </c>
      <c r="D51" s="16">
        <v>10</v>
      </c>
      <c r="E51" s="16" t="s">
        <v>71</v>
      </c>
      <c r="F51" s="16" t="s">
        <v>77</v>
      </c>
      <c r="G51" s="24"/>
      <c r="H51" s="17" t="s">
        <v>84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5</v>
      </c>
      <c r="B52" s="16" t="s">
        <v>21</v>
      </c>
      <c r="C52" s="16">
        <v>100</v>
      </c>
      <c r="D52" s="16">
        <v>10</v>
      </c>
      <c r="E52" s="16" t="s">
        <v>71</v>
      </c>
      <c r="F52" s="16" t="s">
        <v>77</v>
      </c>
      <c r="G52" s="24"/>
      <c r="H52" s="17" t="s">
        <v>84</v>
      </c>
      <c r="I52" s="16">
        <v>2</v>
      </c>
      <c r="J52" s="17"/>
      <c r="L52" s="19">
        <f>SUM(L10:L51)</f>
        <v>33</v>
      </c>
      <c r="M52" s="19"/>
      <c r="N52" s="19"/>
    </row>
    <row r="53" spans="1:14" s="18" customFormat="1" x14ac:dyDescent="0.3">
      <c r="A53" s="16">
        <v>5</v>
      </c>
      <c r="B53" s="16" t="s">
        <v>21</v>
      </c>
      <c r="C53" s="16">
        <v>120</v>
      </c>
      <c r="D53" s="16">
        <v>10</v>
      </c>
      <c r="E53" s="16" t="s">
        <v>71</v>
      </c>
      <c r="F53" s="16" t="s">
        <v>77</v>
      </c>
      <c r="G53" s="24"/>
      <c r="H53" s="17" t="s">
        <v>84</v>
      </c>
      <c r="I53" s="16">
        <v>2</v>
      </c>
      <c r="J53" s="17"/>
      <c r="L53" s="19"/>
      <c r="M53" s="19"/>
      <c r="N53" s="19"/>
    </row>
    <row r="54" spans="1:14" s="18" customFormat="1" x14ac:dyDescent="0.3">
      <c r="A54" s="16">
        <v>50</v>
      </c>
      <c r="B54" s="16" t="s">
        <v>21</v>
      </c>
      <c r="C54" s="16">
        <v>100</v>
      </c>
      <c r="D54" s="16">
        <v>10</v>
      </c>
      <c r="E54" s="16" t="s">
        <v>71</v>
      </c>
      <c r="F54" s="16" t="s">
        <v>121</v>
      </c>
      <c r="G54" s="24"/>
      <c r="H54" s="17" t="s">
        <v>84</v>
      </c>
      <c r="I54" s="16">
        <v>2</v>
      </c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>
        <v>50</v>
      </c>
      <c r="B55" s="16" t="s">
        <v>21</v>
      </c>
      <c r="C55" s="16">
        <v>230</v>
      </c>
      <c r="D55" s="16">
        <v>10</v>
      </c>
      <c r="E55" s="16" t="s">
        <v>71</v>
      </c>
      <c r="F55" s="16" t="s">
        <v>121</v>
      </c>
      <c r="G55" s="24"/>
      <c r="H55" s="17" t="s">
        <v>84</v>
      </c>
      <c r="I55" s="16">
        <v>2</v>
      </c>
      <c r="J55" s="17"/>
      <c r="L55" s="19">
        <f>SUMIFS($A$10:$A$400,$B$10:$B$400,"RT",$D$10:$D$400,"2")</f>
        <v>11</v>
      </c>
      <c r="M55" s="19" t="s">
        <v>21</v>
      </c>
      <c r="N55" s="19" t="s">
        <v>22</v>
      </c>
    </row>
    <row r="56" spans="1:14" s="18" customFormat="1" x14ac:dyDescent="0.3">
      <c r="A56" s="16">
        <v>50</v>
      </c>
      <c r="B56" s="16" t="s">
        <v>21</v>
      </c>
      <c r="C56" s="16">
        <v>120</v>
      </c>
      <c r="D56" s="16">
        <v>10</v>
      </c>
      <c r="E56" s="16" t="s">
        <v>71</v>
      </c>
      <c r="F56" s="16" t="s">
        <v>121</v>
      </c>
      <c r="G56" s="24"/>
      <c r="H56" s="17" t="s">
        <v>84</v>
      </c>
      <c r="I56" s="16">
        <v>2</v>
      </c>
      <c r="J56" s="17"/>
      <c r="L56" s="19">
        <f>SUMIFS($A$10:$A$400,$B$10:$B$400,"RT",$D$10:$D$400,"3")</f>
        <v>2</v>
      </c>
      <c r="M56" s="19" t="s">
        <v>21</v>
      </c>
      <c r="N56" s="19" t="s">
        <v>24</v>
      </c>
    </row>
    <row r="57" spans="1:14" s="18" customFormat="1" x14ac:dyDescent="0.3">
      <c r="A57" s="16">
        <v>25</v>
      </c>
      <c r="B57" s="16" t="s">
        <v>21</v>
      </c>
      <c r="C57" s="16">
        <v>100</v>
      </c>
      <c r="D57" s="16">
        <v>10</v>
      </c>
      <c r="E57" s="16" t="s">
        <v>71</v>
      </c>
      <c r="F57" s="16" t="s">
        <v>121</v>
      </c>
      <c r="G57" s="24"/>
      <c r="H57" s="17" t="s">
        <v>84</v>
      </c>
      <c r="I57" s="16">
        <v>2</v>
      </c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19</v>
      </c>
      <c r="C58" s="16">
        <v>80</v>
      </c>
      <c r="D58" s="16">
        <v>10</v>
      </c>
      <c r="E58" s="16" t="s">
        <v>71</v>
      </c>
      <c r="F58" s="16" t="s">
        <v>121</v>
      </c>
      <c r="G58" s="24"/>
      <c r="H58" s="17" t="s">
        <v>97</v>
      </c>
      <c r="I58" s="16">
        <v>1</v>
      </c>
      <c r="J58" s="17"/>
      <c r="L58" s="19">
        <f>SUMIFS($A$10:$A$400,$B$10:$B$400,"RT",$D$10:$D$400,"5")</f>
        <v>1</v>
      </c>
      <c r="M58" s="19" t="s">
        <v>21</v>
      </c>
      <c r="N58" s="19" t="s">
        <v>27</v>
      </c>
    </row>
    <row r="59" spans="1:14" s="18" customFormat="1" x14ac:dyDescent="0.3">
      <c r="A59" s="16">
        <v>25</v>
      </c>
      <c r="B59" s="16" t="s">
        <v>21</v>
      </c>
      <c r="C59" s="16">
        <v>120</v>
      </c>
      <c r="D59" s="16">
        <v>10</v>
      </c>
      <c r="E59" s="16" t="s">
        <v>71</v>
      </c>
      <c r="F59" s="16" t="s">
        <v>121</v>
      </c>
      <c r="G59" s="24"/>
      <c r="H59" s="17" t="s">
        <v>99</v>
      </c>
      <c r="I59" s="16">
        <v>3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>
        <v>25</v>
      </c>
      <c r="B60" s="16" t="s">
        <v>21</v>
      </c>
      <c r="C60" s="16">
        <v>220</v>
      </c>
      <c r="D60" s="16">
        <v>10</v>
      </c>
      <c r="E60" s="16" t="s">
        <v>71</v>
      </c>
      <c r="F60" s="16" t="s">
        <v>121</v>
      </c>
      <c r="G60" s="24"/>
      <c r="H60" s="17" t="s">
        <v>99</v>
      </c>
      <c r="I60" s="16">
        <v>3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19</v>
      </c>
      <c r="C61" s="16">
        <v>80</v>
      </c>
      <c r="D61" s="16">
        <v>10</v>
      </c>
      <c r="E61" s="16" t="s">
        <v>71</v>
      </c>
      <c r="F61" s="16" t="s">
        <v>121</v>
      </c>
      <c r="G61" s="24"/>
      <c r="H61" s="17" t="s">
        <v>84</v>
      </c>
      <c r="I61" s="16">
        <v>2</v>
      </c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>
        <v>3</v>
      </c>
      <c r="B62" s="16" t="s">
        <v>19</v>
      </c>
      <c r="C62" s="16">
        <v>75</v>
      </c>
      <c r="D62" s="16">
        <v>10</v>
      </c>
      <c r="E62" s="16" t="s">
        <v>71</v>
      </c>
      <c r="F62" s="16" t="s">
        <v>121</v>
      </c>
      <c r="G62" s="24"/>
      <c r="H62" s="17" t="s">
        <v>84</v>
      </c>
      <c r="I62" s="16">
        <v>2</v>
      </c>
      <c r="J62" s="17"/>
      <c r="L62" s="19">
        <f>SUMIFS($A$10:$A$400,$B$10:$B$400,"RT",$D$10:$D$400,"9")</f>
        <v>6</v>
      </c>
      <c r="M62" s="19" t="s">
        <v>21</v>
      </c>
      <c r="N62" s="19" t="s">
        <v>31</v>
      </c>
    </row>
    <row r="63" spans="1:14" s="18" customFormat="1" x14ac:dyDescent="0.3">
      <c r="A63" s="16">
        <v>4</v>
      </c>
      <c r="B63" s="16" t="s">
        <v>21</v>
      </c>
      <c r="C63" s="16">
        <v>100</v>
      </c>
      <c r="D63" s="16">
        <v>10</v>
      </c>
      <c r="E63" s="16" t="s">
        <v>71</v>
      </c>
      <c r="F63" s="16" t="s">
        <v>121</v>
      </c>
      <c r="G63" s="24"/>
      <c r="H63" s="17" t="s">
        <v>99</v>
      </c>
      <c r="I63" s="16">
        <v>3</v>
      </c>
      <c r="J63" s="17"/>
      <c r="L63" s="19">
        <f>SUMIFS($A$10:$A$400,$B$10:$B$400,"RT",$D$10:$D$400,"10")</f>
        <v>268</v>
      </c>
      <c r="M63" s="19" t="s">
        <v>21</v>
      </c>
      <c r="N63" s="19" t="s">
        <v>20</v>
      </c>
    </row>
    <row r="64" spans="1:14" s="18" customFormat="1" x14ac:dyDescent="0.3">
      <c r="A64" s="16">
        <v>1</v>
      </c>
      <c r="B64" s="16" t="s">
        <v>21</v>
      </c>
      <c r="C64" s="16">
        <v>50</v>
      </c>
      <c r="D64" s="16">
        <v>11</v>
      </c>
      <c r="E64" s="16" t="s">
        <v>65</v>
      </c>
      <c r="F64" s="16" t="s">
        <v>77</v>
      </c>
      <c r="G64" s="24"/>
      <c r="H64" s="17" t="s">
        <v>97</v>
      </c>
      <c r="I64" s="16">
        <v>1</v>
      </c>
      <c r="J64" s="17" t="s">
        <v>122</v>
      </c>
      <c r="L64" s="19">
        <f>SUMIFS($A$10:$A$400,$B$10:$B$400,"RT",$D$10:$D$400,"11")</f>
        <v>1</v>
      </c>
      <c r="M64" s="19" t="s">
        <v>21</v>
      </c>
      <c r="N64" s="19" t="s">
        <v>23</v>
      </c>
    </row>
    <row r="65" spans="1:14" s="18" customFormat="1" x14ac:dyDescent="0.3">
      <c r="A65" s="16">
        <v>1</v>
      </c>
      <c r="B65" s="16" t="s">
        <v>19</v>
      </c>
      <c r="C65" s="16">
        <v>75</v>
      </c>
      <c r="D65" s="16">
        <v>11</v>
      </c>
      <c r="E65" s="16" t="s">
        <v>65</v>
      </c>
      <c r="F65" s="16" t="s">
        <v>77</v>
      </c>
      <c r="G65" s="24"/>
      <c r="H65" s="17" t="s">
        <v>84</v>
      </c>
      <c r="I65" s="16">
        <v>2</v>
      </c>
      <c r="J65" s="17"/>
      <c r="L65" s="19">
        <f>SUMIFS($A$10:$A$400,$B$10:$B$400,"RT",$D$10:$D$400,"12")</f>
        <v>67</v>
      </c>
      <c r="M65" s="19" t="s">
        <v>21</v>
      </c>
      <c r="N65" s="19" t="s">
        <v>32</v>
      </c>
    </row>
    <row r="66" spans="1:14" s="18" customFormat="1" x14ac:dyDescent="0.3">
      <c r="A66" s="16">
        <v>5</v>
      </c>
      <c r="B66" s="16" t="s">
        <v>21</v>
      </c>
      <c r="C66" s="16">
        <v>60</v>
      </c>
      <c r="D66" s="16">
        <v>12</v>
      </c>
      <c r="E66" s="16" t="s">
        <v>71</v>
      </c>
      <c r="F66" s="16" t="s">
        <v>63</v>
      </c>
      <c r="G66" s="24"/>
      <c r="H66" s="17" t="s">
        <v>97</v>
      </c>
      <c r="I66" s="16">
        <v>1</v>
      </c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>
        <v>60</v>
      </c>
      <c r="B67" s="16" t="s">
        <v>21</v>
      </c>
      <c r="C67" s="16">
        <v>50</v>
      </c>
      <c r="D67" s="16">
        <v>12</v>
      </c>
      <c r="E67" s="16" t="s">
        <v>71</v>
      </c>
      <c r="F67" s="16" t="s">
        <v>77</v>
      </c>
      <c r="G67" s="24"/>
      <c r="H67" s="17" t="s">
        <v>97</v>
      </c>
      <c r="I67" s="16">
        <v>1</v>
      </c>
      <c r="J67" s="17"/>
      <c r="L67" s="19">
        <f>SUMIFS($A$10:$A$400,$B$10:$B$400,"RT",$D$10:$D$400,"14")</f>
        <v>12</v>
      </c>
      <c r="M67" s="19" t="s">
        <v>21</v>
      </c>
      <c r="N67" s="19" t="s">
        <v>34</v>
      </c>
    </row>
    <row r="68" spans="1:14" s="18" customFormat="1" x14ac:dyDescent="0.3">
      <c r="A68" s="16">
        <v>2</v>
      </c>
      <c r="B68" s="16" t="s">
        <v>21</v>
      </c>
      <c r="C68" s="16">
        <v>60</v>
      </c>
      <c r="D68" s="16">
        <v>12</v>
      </c>
      <c r="E68" s="16" t="s">
        <v>71</v>
      </c>
      <c r="F68" s="16" t="s">
        <v>62</v>
      </c>
      <c r="G68" s="24"/>
      <c r="H68" s="17" t="s">
        <v>97</v>
      </c>
      <c r="I68" s="16">
        <v>1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>
        <v>13</v>
      </c>
      <c r="E69" s="16" t="s">
        <v>65</v>
      </c>
      <c r="F69" s="16"/>
      <c r="G69" s="24"/>
      <c r="H69" s="17"/>
      <c r="I69" s="16"/>
      <c r="J69" s="17" t="s">
        <v>89</v>
      </c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>
        <v>1</v>
      </c>
      <c r="B70" s="16" t="s">
        <v>21</v>
      </c>
      <c r="C70" s="16">
        <v>45</v>
      </c>
      <c r="D70" s="16">
        <v>14</v>
      </c>
      <c r="E70" s="16" t="s">
        <v>71</v>
      </c>
      <c r="F70" s="16" t="s">
        <v>77</v>
      </c>
      <c r="G70" s="24"/>
      <c r="H70" s="17" t="s">
        <v>99</v>
      </c>
      <c r="I70" s="16">
        <v>2</v>
      </c>
      <c r="J70" s="17"/>
      <c r="L70" s="19">
        <f>SUMIFS($A$10:$A$400,$B$10:$B$400,"RT",$D$10:$D$400,"17")</f>
        <v>1</v>
      </c>
      <c r="M70" s="19" t="s">
        <v>21</v>
      </c>
      <c r="N70" s="19" t="s">
        <v>37</v>
      </c>
    </row>
    <row r="71" spans="1:14" s="18" customFormat="1" x14ac:dyDescent="0.3">
      <c r="A71" s="16">
        <v>1</v>
      </c>
      <c r="B71" s="16" t="s">
        <v>21</v>
      </c>
      <c r="C71" s="16">
        <v>60</v>
      </c>
      <c r="D71" s="16">
        <v>14</v>
      </c>
      <c r="E71" s="16" t="s">
        <v>71</v>
      </c>
      <c r="F71" s="16" t="s">
        <v>63</v>
      </c>
      <c r="G71" s="24"/>
      <c r="H71" s="17" t="s">
        <v>99</v>
      </c>
      <c r="I71" s="16">
        <v>2</v>
      </c>
      <c r="J71" s="17"/>
      <c r="L71" s="19">
        <f>SUMIFS($A$10:$A$400,$B$10:$B$400,"RT",$D$10:$D$400,"18")</f>
        <v>4</v>
      </c>
      <c r="M71" s="19" t="s">
        <v>21</v>
      </c>
      <c r="N71" s="19" t="s">
        <v>38</v>
      </c>
    </row>
    <row r="72" spans="1:14" s="18" customFormat="1" x14ac:dyDescent="0.3">
      <c r="A72" s="16">
        <v>2</v>
      </c>
      <c r="B72" s="16" t="s">
        <v>21</v>
      </c>
      <c r="C72" s="16">
        <v>50</v>
      </c>
      <c r="D72" s="16">
        <v>14</v>
      </c>
      <c r="E72" s="16" t="s">
        <v>71</v>
      </c>
      <c r="F72" s="16" t="s">
        <v>63</v>
      </c>
      <c r="G72" s="24"/>
      <c r="H72" s="17" t="s">
        <v>97</v>
      </c>
      <c r="I72" s="16">
        <v>1</v>
      </c>
      <c r="J72" s="17"/>
      <c r="L72" s="19">
        <f>SUMIFS($A$10:$A$400,$B$10:$B$400,"RT",$D$10:$D$400,"19")</f>
        <v>2</v>
      </c>
      <c r="M72" s="19" t="s">
        <v>21</v>
      </c>
      <c r="N72" s="19" t="s">
        <v>39</v>
      </c>
    </row>
    <row r="73" spans="1:14" s="18" customFormat="1" x14ac:dyDescent="0.3">
      <c r="A73" s="16">
        <v>3</v>
      </c>
      <c r="B73" s="16" t="s">
        <v>21</v>
      </c>
      <c r="C73" s="16">
        <v>60</v>
      </c>
      <c r="D73" s="16">
        <v>14</v>
      </c>
      <c r="E73" s="16" t="s">
        <v>71</v>
      </c>
      <c r="F73" s="16" t="s">
        <v>63</v>
      </c>
      <c r="G73" s="24"/>
      <c r="H73" s="17" t="s">
        <v>97</v>
      </c>
      <c r="I73" s="16">
        <v>1</v>
      </c>
      <c r="J73" s="17"/>
      <c r="L73" s="19">
        <f>SUMIFS($A$10:$A$400,$B$10:$B$400,"RT",$D$10:$D$400,"20")</f>
        <v>1</v>
      </c>
      <c r="M73" s="19" t="s">
        <v>21</v>
      </c>
      <c r="N73" s="19" t="s">
        <v>40</v>
      </c>
    </row>
    <row r="74" spans="1:14" s="18" customFormat="1" x14ac:dyDescent="0.3">
      <c r="A74" s="16">
        <v>5</v>
      </c>
      <c r="B74" s="16" t="s">
        <v>21</v>
      </c>
      <c r="C74" s="16">
        <v>50</v>
      </c>
      <c r="D74" s="16">
        <v>14</v>
      </c>
      <c r="E74" s="16" t="s">
        <v>71</v>
      </c>
      <c r="F74" s="16" t="s">
        <v>63</v>
      </c>
      <c r="G74" s="24"/>
      <c r="H74" s="17" t="s">
        <v>99</v>
      </c>
      <c r="I74" s="16">
        <v>2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>
        <v>15</v>
      </c>
      <c r="E75" s="16" t="s">
        <v>72</v>
      </c>
      <c r="F75" s="16"/>
      <c r="G75" s="24"/>
      <c r="H75" s="17"/>
      <c r="I75" s="16"/>
      <c r="J75" s="17" t="s">
        <v>89</v>
      </c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>
        <v>16</v>
      </c>
      <c r="E76" s="16" t="s">
        <v>65</v>
      </c>
      <c r="F76" s="16"/>
      <c r="G76" s="24"/>
      <c r="H76" s="17"/>
      <c r="I76" s="16"/>
      <c r="J76" s="17" t="s">
        <v>89</v>
      </c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1</v>
      </c>
      <c r="B77" s="16" t="s">
        <v>21</v>
      </c>
      <c r="C77" s="16">
        <v>250</v>
      </c>
      <c r="D77" s="16">
        <v>17</v>
      </c>
      <c r="E77" s="16" t="s">
        <v>71</v>
      </c>
      <c r="F77" s="16" t="s">
        <v>77</v>
      </c>
      <c r="G77" s="24"/>
      <c r="H77" s="17" t="s">
        <v>97</v>
      </c>
      <c r="I77" s="16">
        <v>2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4</v>
      </c>
      <c r="B78" s="16" t="s">
        <v>21</v>
      </c>
      <c r="C78" s="16">
        <v>60</v>
      </c>
      <c r="D78" s="16">
        <v>18</v>
      </c>
      <c r="E78" s="16" t="s">
        <v>93</v>
      </c>
      <c r="F78" s="16"/>
      <c r="G78" s="24"/>
      <c r="H78" s="17" t="s">
        <v>97</v>
      </c>
      <c r="I78" s="16">
        <v>2</v>
      </c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1</v>
      </c>
      <c r="B79" s="16" t="s">
        <v>21</v>
      </c>
      <c r="C79" s="16">
        <v>60</v>
      </c>
      <c r="D79" s="16">
        <v>19</v>
      </c>
      <c r="E79" s="16" t="s">
        <v>65</v>
      </c>
      <c r="F79" s="16"/>
      <c r="G79" s="24"/>
      <c r="H79" s="17" t="s">
        <v>99</v>
      </c>
      <c r="I79" s="16">
        <v>1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>
        <v>1</v>
      </c>
      <c r="B80" s="16" t="s">
        <v>21</v>
      </c>
      <c r="C80" s="16">
        <v>40</v>
      </c>
      <c r="D80" s="16">
        <v>19</v>
      </c>
      <c r="E80" s="16" t="s">
        <v>65</v>
      </c>
      <c r="F80" s="16"/>
      <c r="G80" s="24"/>
      <c r="H80" s="17" t="s">
        <v>99</v>
      </c>
      <c r="I80" s="16">
        <v>1</v>
      </c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>
        <v>1</v>
      </c>
      <c r="B81" s="16" t="s">
        <v>21</v>
      </c>
      <c r="C81" s="16">
        <v>40</v>
      </c>
      <c r="D81" s="16">
        <v>20</v>
      </c>
      <c r="E81" s="16" t="s">
        <v>71</v>
      </c>
      <c r="F81" s="16" t="s">
        <v>73</v>
      </c>
      <c r="G81" s="24"/>
      <c r="H81" s="17" t="s">
        <v>99</v>
      </c>
      <c r="I81" s="16">
        <v>1</v>
      </c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>
        <v>1</v>
      </c>
      <c r="B82" s="16" t="s">
        <v>19</v>
      </c>
      <c r="C82" s="16">
        <v>40</v>
      </c>
      <c r="D82" s="16">
        <v>20</v>
      </c>
      <c r="E82" s="16" t="s">
        <v>71</v>
      </c>
      <c r="F82" s="16" t="s">
        <v>63</v>
      </c>
      <c r="G82" s="24"/>
      <c r="H82" s="17" t="s">
        <v>99</v>
      </c>
      <c r="I82" s="16">
        <v>1</v>
      </c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>
        <v>21</v>
      </c>
      <c r="E83" s="16" t="s">
        <v>65</v>
      </c>
      <c r="F83" s="16"/>
      <c r="G83" s="24">
        <v>1635</v>
      </c>
      <c r="H83" s="17"/>
      <c r="I83" s="16"/>
      <c r="J83" s="17" t="s">
        <v>89</v>
      </c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377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725</v>
      </c>
      <c r="E3" s="4"/>
    </row>
    <row r="4" spans="1:14" x14ac:dyDescent="0.3">
      <c r="A4" s="6" t="s">
        <v>3</v>
      </c>
      <c r="B4" s="8">
        <v>43004</v>
      </c>
      <c r="E4" s="4"/>
    </row>
    <row r="5" spans="1:14" x14ac:dyDescent="0.3">
      <c r="A5" s="6" t="s">
        <v>4</v>
      </c>
      <c r="B5" s="7" t="s">
        <v>198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123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65</v>
      </c>
      <c r="F10" s="16"/>
      <c r="G10" s="24">
        <v>1300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85</v>
      </c>
      <c r="C11" s="16">
        <v>200</v>
      </c>
      <c r="D11" s="16">
        <v>2</v>
      </c>
      <c r="E11" s="16" t="s">
        <v>72</v>
      </c>
      <c r="F11" s="16" t="s">
        <v>124</v>
      </c>
      <c r="G11" s="24"/>
      <c r="H11" s="17" t="s">
        <v>96</v>
      </c>
      <c r="I11" s="16">
        <v>2</v>
      </c>
      <c r="J11" s="17" t="s">
        <v>125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85</v>
      </c>
      <c r="C12" s="16">
        <v>200</v>
      </c>
      <c r="D12" s="16">
        <v>3</v>
      </c>
      <c r="E12" s="16" t="s">
        <v>65</v>
      </c>
      <c r="F12" s="16" t="s">
        <v>77</v>
      </c>
      <c r="G12" s="24"/>
      <c r="H12" s="17" t="s">
        <v>96</v>
      </c>
      <c r="I12" s="16">
        <v>2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21</v>
      </c>
      <c r="C13" s="16">
        <v>60</v>
      </c>
      <c r="D13" s="16">
        <v>3</v>
      </c>
      <c r="E13" s="16" t="s">
        <v>65</v>
      </c>
      <c r="F13" s="16" t="s">
        <v>77</v>
      </c>
      <c r="G13" s="24"/>
      <c r="H13" s="17" t="s">
        <v>96</v>
      </c>
      <c r="I13" s="16">
        <v>2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21</v>
      </c>
      <c r="C14" s="16">
        <v>200</v>
      </c>
      <c r="D14" s="16">
        <v>3</v>
      </c>
      <c r="E14" s="16" t="s">
        <v>65</v>
      </c>
      <c r="F14" s="16" t="s">
        <v>77</v>
      </c>
      <c r="G14" s="24"/>
      <c r="H14" s="17" t="s">
        <v>96</v>
      </c>
      <c r="I14" s="16">
        <v>2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68</v>
      </c>
      <c r="C15" s="16">
        <v>80</v>
      </c>
      <c r="D15" s="16">
        <v>3</v>
      </c>
      <c r="E15" s="16" t="s">
        <v>65</v>
      </c>
      <c r="F15" s="16" t="s">
        <v>66</v>
      </c>
      <c r="G15" s="24"/>
      <c r="H15" s="17" t="s">
        <v>96</v>
      </c>
      <c r="I15" s="16">
        <v>2</v>
      </c>
      <c r="J15" s="17"/>
      <c r="L15" s="19">
        <f>SUMIFS($A$10:$A$400,$B$10:$B$400,"CH",$D$10:$D$400,"6")</f>
        <v>1</v>
      </c>
      <c r="M15" s="19" t="s">
        <v>19</v>
      </c>
      <c r="N15" s="19" t="s">
        <v>28</v>
      </c>
    </row>
    <row r="16" spans="1:14" s="18" customFormat="1" x14ac:dyDescent="0.3">
      <c r="A16" s="16">
        <v>0</v>
      </c>
      <c r="B16" s="16"/>
      <c r="C16" s="16"/>
      <c r="D16" s="16">
        <v>4</v>
      </c>
      <c r="E16" s="16" t="s">
        <v>71</v>
      </c>
      <c r="F16" s="16"/>
      <c r="G16" s="24"/>
      <c r="H16" s="17"/>
      <c r="I16" s="16"/>
      <c r="J16" s="17" t="s">
        <v>89</v>
      </c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5</v>
      </c>
      <c r="B17" s="16" t="s">
        <v>85</v>
      </c>
      <c r="C17" s="16">
        <v>150</v>
      </c>
      <c r="D17" s="16">
        <v>5</v>
      </c>
      <c r="E17" s="16" t="s">
        <v>71</v>
      </c>
      <c r="F17" s="16" t="s">
        <v>77</v>
      </c>
      <c r="G17" s="24"/>
      <c r="H17" s="17" t="s">
        <v>96</v>
      </c>
      <c r="I17" s="16">
        <v>2</v>
      </c>
      <c r="J17" s="17"/>
      <c r="L17" s="19">
        <f>SUMIFS($A$10:$A$400,$B$10:$B$400,"CH",$D$10:$D$400,"8")</f>
        <v>6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50</v>
      </c>
      <c r="D18" s="16">
        <v>5</v>
      </c>
      <c r="E18" s="16" t="s">
        <v>71</v>
      </c>
      <c r="F18" s="16" t="s">
        <v>77</v>
      </c>
      <c r="G18" s="24"/>
      <c r="H18" s="17" t="s">
        <v>84</v>
      </c>
      <c r="I18" s="16">
        <v>4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85</v>
      </c>
      <c r="C19" s="16">
        <v>150</v>
      </c>
      <c r="D19" s="16">
        <v>5</v>
      </c>
      <c r="E19" s="16" t="s">
        <v>71</v>
      </c>
      <c r="F19" s="16" t="s">
        <v>77</v>
      </c>
      <c r="G19" s="24"/>
      <c r="H19" s="17" t="s">
        <v>96</v>
      </c>
      <c r="I19" s="16">
        <v>2</v>
      </c>
      <c r="J19" s="17"/>
      <c r="L19" s="19">
        <f>SUMIFS($A$10:$A$400,$B$10:$B$400,"CH",$D$10:$D$400,"10")</f>
        <v>5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85</v>
      </c>
      <c r="C20" s="16">
        <v>200</v>
      </c>
      <c r="D20" s="16">
        <v>5</v>
      </c>
      <c r="E20" s="16" t="s">
        <v>71</v>
      </c>
      <c r="F20" s="16" t="s">
        <v>77</v>
      </c>
      <c r="G20" s="24"/>
      <c r="H20" s="17" t="s">
        <v>96</v>
      </c>
      <c r="I20" s="16">
        <v>2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19</v>
      </c>
      <c r="C21" s="16">
        <v>75</v>
      </c>
      <c r="D21" s="16">
        <v>6</v>
      </c>
      <c r="E21" s="16" t="s">
        <v>72</v>
      </c>
      <c r="F21" s="16" t="s">
        <v>66</v>
      </c>
      <c r="G21" s="24"/>
      <c r="H21" s="17" t="s">
        <v>99</v>
      </c>
      <c r="I21" s="16">
        <v>3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0</v>
      </c>
      <c r="B22" s="16"/>
      <c r="C22" s="16"/>
      <c r="D22" s="16">
        <v>7</v>
      </c>
      <c r="E22" s="16" t="s">
        <v>65</v>
      </c>
      <c r="F22" s="16"/>
      <c r="G22" s="24"/>
      <c r="H22" s="17"/>
      <c r="I22" s="16"/>
      <c r="J22" s="17" t="s">
        <v>89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17</v>
      </c>
      <c r="B23" s="16" t="s">
        <v>85</v>
      </c>
      <c r="C23" s="16">
        <v>200</v>
      </c>
      <c r="D23" s="16">
        <v>8</v>
      </c>
      <c r="E23" s="16" t="s">
        <v>71</v>
      </c>
      <c r="F23" s="16" t="s">
        <v>77</v>
      </c>
      <c r="G23" s="24"/>
      <c r="H23" s="17" t="s">
        <v>96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21</v>
      </c>
      <c r="C24" s="16">
        <v>70</v>
      </c>
      <c r="D24" s="16">
        <v>8</v>
      </c>
      <c r="E24" s="16" t="s">
        <v>71</v>
      </c>
      <c r="F24" s="16" t="s">
        <v>77</v>
      </c>
      <c r="G24" s="24"/>
      <c r="H24" s="17" t="s">
        <v>96</v>
      </c>
      <c r="I24" s="16">
        <v>2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19</v>
      </c>
      <c r="C25" s="16">
        <v>70</v>
      </c>
      <c r="D25" s="16">
        <v>8</v>
      </c>
      <c r="E25" s="16" t="s">
        <v>71</v>
      </c>
      <c r="F25" s="16" t="s">
        <v>77</v>
      </c>
      <c r="G25" s="24"/>
      <c r="H25" s="17" t="s">
        <v>96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21</v>
      </c>
      <c r="C26" s="16">
        <v>200</v>
      </c>
      <c r="D26" s="16">
        <v>8</v>
      </c>
      <c r="E26" s="16" t="s">
        <v>71</v>
      </c>
      <c r="F26" s="16" t="s">
        <v>77</v>
      </c>
      <c r="G26" s="24"/>
      <c r="H26" s="17" t="s">
        <v>99</v>
      </c>
      <c r="I26" s="16">
        <v>3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150</v>
      </c>
      <c r="D27" s="16">
        <v>8</v>
      </c>
      <c r="E27" s="16" t="s">
        <v>71</v>
      </c>
      <c r="F27" s="16" t="s">
        <v>77</v>
      </c>
      <c r="G27" s="24"/>
      <c r="H27" s="17" t="s">
        <v>99</v>
      </c>
      <c r="I27" s="16">
        <v>3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2</v>
      </c>
      <c r="B28" s="16" t="s">
        <v>21</v>
      </c>
      <c r="C28" s="16">
        <v>130</v>
      </c>
      <c r="D28" s="16">
        <v>8</v>
      </c>
      <c r="E28" s="16" t="s">
        <v>71</v>
      </c>
      <c r="F28" s="16" t="s">
        <v>77</v>
      </c>
      <c r="G28" s="24"/>
      <c r="H28" s="17" t="s">
        <v>96</v>
      </c>
      <c r="I28" s="16">
        <v>2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5</v>
      </c>
      <c r="B29" s="16" t="s">
        <v>19</v>
      </c>
      <c r="C29" s="16">
        <v>70</v>
      </c>
      <c r="D29" s="16">
        <v>8</v>
      </c>
      <c r="E29" s="16" t="s">
        <v>71</v>
      </c>
      <c r="F29" s="16" t="s">
        <v>77</v>
      </c>
      <c r="G29" s="24"/>
      <c r="H29" s="17" t="s">
        <v>96</v>
      </c>
      <c r="I29" s="16">
        <v>2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35</v>
      </c>
      <c r="B30" s="16" t="s">
        <v>85</v>
      </c>
      <c r="C30" s="16">
        <v>200</v>
      </c>
      <c r="D30" s="16">
        <v>8</v>
      </c>
      <c r="E30" s="16" t="s">
        <v>71</v>
      </c>
      <c r="F30" s="16" t="s">
        <v>77</v>
      </c>
      <c r="G30" s="24"/>
      <c r="H30" s="17" t="s">
        <v>96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2</v>
      </c>
      <c r="B31" s="16" t="s">
        <v>21</v>
      </c>
      <c r="C31" s="16">
        <v>80</v>
      </c>
      <c r="D31" s="16">
        <v>8</v>
      </c>
      <c r="E31" s="16" t="s">
        <v>71</v>
      </c>
      <c r="F31" s="16" t="s">
        <v>77</v>
      </c>
      <c r="G31" s="24"/>
      <c r="H31" s="17" t="s">
        <v>99</v>
      </c>
      <c r="I31" s="16">
        <v>3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3</v>
      </c>
      <c r="B32" s="16" t="s">
        <v>21</v>
      </c>
      <c r="C32" s="16">
        <v>60</v>
      </c>
      <c r="D32" s="16">
        <v>9</v>
      </c>
      <c r="E32" s="16" t="s">
        <v>72</v>
      </c>
      <c r="F32" s="16" t="s">
        <v>66</v>
      </c>
      <c r="G32" s="24"/>
      <c r="H32" s="17" t="s">
        <v>96</v>
      </c>
      <c r="I32" s="16">
        <v>2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67</v>
      </c>
      <c r="C33" s="16">
        <v>150</v>
      </c>
      <c r="D33" s="16">
        <v>9</v>
      </c>
      <c r="E33" s="16" t="s">
        <v>72</v>
      </c>
      <c r="F33" s="16" t="s">
        <v>66</v>
      </c>
      <c r="G33" s="24"/>
      <c r="H33" s="17" t="s">
        <v>96</v>
      </c>
      <c r="I33" s="16">
        <v>2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1</v>
      </c>
      <c r="B34" s="16" t="s">
        <v>21</v>
      </c>
      <c r="C34" s="16">
        <v>110</v>
      </c>
      <c r="D34" s="16">
        <v>9</v>
      </c>
      <c r="E34" s="16" t="s">
        <v>72</v>
      </c>
      <c r="F34" s="16" t="s">
        <v>66</v>
      </c>
      <c r="G34" s="24"/>
      <c r="H34" s="17" t="s">
        <v>96</v>
      </c>
      <c r="I34" s="16">
        <v>2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4</v>
      </c>
      <c r="B35" s="16" t="s">
        <v>85</v>
      </c>
      <c r="C35" s="16">
        <v>200</v>
      </c>
      <c r="D35" s="16">
        <v>9</v>
      </c>
      <c r="E35" s="16" t="s">
        <v>72</v>
      </c>
      <c r="F35" s="16" t="s">
        <v>66</v>
      </c>
      <c r="G35" s="24"/>
      <c r="H35" s="17" t="s">
        <v>96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180</v>
      </c>
      <c r="D36" s="16">
        <v>9</v>
      </c>
      <c r="E36" s="16" t="s">
        <v>72</v>
      </c>
      <c r="F36" s="16" t="s">
        <v>126</v>
      </c>
      <c r="G36" s="24"/>
      <c r="H36" s="17" t="s">
        <v>84</v>
      </c>
      <c r="I36" s="16">
        <v>1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21</v>
      </c>
      <c r="C37" s="16">
        <v>140</v>
      </c>
      <c r="D37" s="16">
        <v>9</v>
      </c>
      <c r="E37" s="16" t="s">
        <v>72</v>
      </c>
      <c r="F37" s="16" t="s">
        <v>77</v>
      </c>
      <c r="G37" s="24"/>
      <c r="H37" s="17" t="s">
        <v>96</v>
      </c>
      <c r="I37" s="16">
        <v>2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21</v>
      </c>
      <c r="C38" s="16">
        <v>100</v>
      </c>
      <c r="D38" s="16">
        <v>9</v>
      </c>
      <c r="E38" s="16" t="s">
        <v>72</v>
      </c>
      <c r="F38" s="16" t="s">
        <v>77</v>
      </c>
      <c r="G38" s="24"/>
      <c r="H38" s="17" t="s">
        <v>96</v>
      </c>
      <c r="I38" s="16">
        <v>2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2</v>
      </c>
      <c r="B39" s="16" t="s">
        <v>21</v>
      </c>
      <c r="C39" s="16">
        <v>230</v>
      </c>
      <c r="D39" s="16">
        <v>9</v>
      </c>
      <c r="E39" s="16" t="s">
        <v>72</v>
      </c>
      <c r="F39" s="16" t="s">
        <v>77</v>
      </c>
      <c r="G39" s="24"/>
      <c r="H39" s="17" t="s">
        <v>96</v>
      </c>
      <c r="I39" s="16">
        <v>2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80</v>
      </c>
      <c r="D40" s="16">
        <v>9</v>
      </c>
      <c r="E40" s="16" t="s">
        <v>72</v>
      </c>
      <c r="F40" s="16" t="s">
        <v>126</v>
      </c>
      <c r="G40" s="24"/>
      <c r="H40" s="17" t="s">
        <v>84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21</v>
      </c>
      <c r="C41" s="16">
        <v>280</v>
      </c>
      <c r="D41" s="16">
        <v>9</v>
      </c>
      <c r="E41" s="16" t="s">
        <v>72</v>
      </c>
      <c r="F41" s="16" t="s">
        <v>127</v>
      </c>
      <c r="G41" s="24"/>
      <c r="H41" s="17" t="s">
        <v>84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3</v>
      </c>
      <c r="B42" s="16" t="s">
        <v>21</v>
      </c>
      <c r="C42" s="16">
        <v>150</v>
      </c>
      <c r="D42" s="16">
        <v>9</v>
      </c>
      <c r="E42" s="16" t="s">
        <v>72</v>
      </c>
      <c r="F42" s="16" t="s">
        <v>128</v>
      </c>
      <c r="G42" s="24"/>
      <c r="H42" s="17" t="s">
        <v>96</v>
      </c>
      <c r="I42" s="16">
        <v>2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2</v>
      </c>
      <c r="B43" s="16" t="s">
        <v>85</v>
      </c>
      <c r="C43" s="16">
        <v>200</v>
      </c>
      <c r="D43" s="16">
        <v>9</v>
      </c>
      <c r="E43" s="16" t="s">
        <v>72</v>
      </c>
      <c r="F43" s="16" t="s">
        <v>128</v>
      </c>
      <c r="G43" s="24"/>
      <c r="H43" s="17" t="s">
        <v>96</v>
      </c>
      <c r="I43" s="16">
        <v>2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2</v>
      </c>
      <c r="B44" s="16" t="s">
        <v>21</v>
      </c>
      <c r="C44" s="16">
        <v>230</v>
      </c>
      <c r="D44" s="16">
        <v>9</v>
      </c>
      <c r="E44" s="16" t="s">
        <v>72</v>
      </c>
      <c r="F44" s="16" t="s">
        <v>128</v>
      </c>
      <c r="G44" s="24"/>
      <c r="H44" s="17" t="s">
        <v>96</v>
      </c>
      <c r="I44" s="16">
        <v>2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2</v>
      </c>
      <c r="B45" s="16" t="s">
        <v>21</v>
      </c>
      <c r="C45" s="16">
        <v>200</v>
      </c>
      <c r="D45" s="16">
        <v>9</v>
      </c>
      <c r="E45" s="16" t="s">
        <v>72</v>
      </c>
      <c r="F45" s="16" t="s">
        <v>77</v>
      </c>
      <c r="G45" s="24"/>
      <c r="H45" s="17" t="s">
        <v>96</v>
      </c>
      <c r="I45" s="16">
        <v>2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21</v>
      </c>
      <c r="C46" s="16">
        <v>200</v>
      </c>
      <c r="D46" s="16">
        <v>10</v>
      </c>
      <c r="E46" s="16" t="s">
        <v>65</v>
      </c>
      <c r="F46" s="16" t="s">
        <v>77</v>
      </c>
      <c r="G46" s="24"/>
      <c r="H46" s="17" t="s">
        <v>96</v>
      </c>
      <c r="I46" s="16">
        <v>2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68</v>
      </c>
      <c r="C47" s="16">
        <v>60</v>
      </c>
      <c r="D47" s="16">
        <v>10</v>
      </c>
      <c r="E47" s="16" t="s">
        <v>65</v>
      </c>
      <c r="F47" s="16" t="s">
        <v>77</v>
      </c>
      <c r="G47" s="24"/>
      <c r="H47" s="17" t="s">
        <v>96</v>
      </c>
      <c r="I47" s="16">
        <v>2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21</v>
      </c>
      <c r="C48" s="16">
        <v>110</v>
      </c>
      <c r="D48" s="16">
        <v>10</v>
      </c>
      <c r="E48" s="16" t="s">
        <v>65</v>
      </c>
      <c r="F48" s="16" t="s">
        <v>77</v>
      </c>
      <c r="G48" s="24"/>
      <c r="H48" s="17" t="s">
        <v>99</v>
      </c>
      <c r="I48" s="16">
        <v>3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4</v>
      </c>
      <c r="B49" s="16" t="s">
        <v>85</v>
      </c>
      <c r="C49" s="16">
        <v>210</v>
      </c>
      <c r="D49" s="16">
        <v>10</v>
      </c>
      <c r="E49" s="16" t="s">
        <v>65</v>
      </c>
      <c r="F49" s="16" t="s">
        <v>77</v>
      </c>
      <c r="G49" s="24"/>
      <c r="H49" s="17" t="s">
        <v>99</v>
      </c>
      <c r="I49" s="16">
        <v>3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5</v>
      </c>
      <c r="B50" s="16" t="s">
        <v>19</v>
      </c>
      <c r="C50" s="16">
        <v>80</v>
      </c>
      <c r="D50" s="16">
        <v>10</v>
      </c>
      <c r="E50" s="16" t="s">
        <v>65</v>
      </c>
      <c r="F50" s="16" t="s">
        <v>73</v>
      </c>
      <c r="G50" s="24"/>
      <c r="H50" s="17" t="s">
        <v>84</v>
      </c>
      <c r="I50" s="16">
        <v>1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68</v>
      </c>
      <c r="C51" s="16">
        <v>60</v>
      </c>
      <c r="D51" s="16">
        <v>10</v>
      </c>
      <c r="E51" s="16" t="s">
        <v>65</v>
      </c>
      <c r="F51" s="16" t="s">
        <v>77</v>
      </c>
      <c r="G51" s="24"/>
      <c r="H51" s="17" t="s">
        <v>99</v>
      </c>
      <c r="I51" s="16">
        <v>3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21</v>
      </c>
      <c r="C52" s="16">
        <v>110</v>
      </c>
      <c r="D52" s="16">
        <v>10</v>
      </c>
      <c r="E52" s="16" t="s">
        <v>65</v>
      </c>
      <c r="F52" s="16" t="s">
        <v>77</v>
      </c>
      <c r="G52" s="24"/>
      <c r="H52" s="17" t="s">
        <v>99</v>
      </c>
      <c r="I52" s="16">
        <v>3</v>
      </c>
      <c r="J52" s="17"/>
      <c r="L52" s="19">
        <f>SUM(L10:L51)</f>
        <v>12</v>
      </c>
      <c r="M52" s="19"/>
      <c r="N52" s="19"/>
    </row>
    <row r="53" spans="1:14" s="18" customFormat="1" x14ac:dyDescent="0.3">
      <c r="A53" s="16">
        <v>0</v>
      </c>
      <c r="B53" s="16"/>
      <c r="C53" s="16"/>
      <c r="D53" s="16">
        <v>11</v>
      </c>
      <c r="E53" s="16" t="s">
        <v>72</v>
      </c>
      <c r="F53" s="16"/>
      <c r="G53" s="24">
        <v>1445</v>
      </c>
      <c r="H53" s="17"/>
      <c r="I53" s="16"/>
      <c r="J53" s="17" t="s">
        <v>129</v>
      </c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2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7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18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3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30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727</v>
      </c>
      <c r="E3" s="4"/>
    </row>
    <row r="4" spans="1:14" x14ac:dyDescent="0.3">
      <c r="A4" s="6" t="s">
        <v>3</v>
      </c>
      <c r="B4" s="8">
        <v>42935</v>
      </c>
      <c r="E4" s="4"/>
    </row>
    <row r="5" spans="1:14" x14ac:dyDescent="0.3">
      <c r="A5" s="6" t="s">
        <v>4</v>
      </c>
      <c r="B5" s="7" t="s">
        <v>193</v>
      </c>
      <c r="E5" s="4"/>
    </row>
    <row r="6" spans="1:14" x14ac:dyDescent="0.3">
      <c r="A6" s="9" t="s">
        <v>1</v>
      </c>
      <c r="B6" s="10"/>
    </row>
    <row r="7" spans="1:14" x14ac:dyDescent="0.3">
      <c r="A7" s="9" t="s">
        <v>5</v>
      </c>
      <c r="B7" s="11"/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71</v>
      </c>
      <c r="F10" s="16"/>
      <c r="G10" s="24">
        <v>1330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130</v>
      </c>
      <c r="F11" s="16"/>
      <c r="G11" s="24">
        <v>1</v>
      </c>
      <c r="H11" s="17"/>
      <c r="I11" s="16"/>
      <c r="J11" s="17" t="s">
        <v>131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0</v>
      </c>
      <c r="B12" s="16"/>
      <c r="C12" s="16"/>
      <c r="D12" s="16">
        <v>3</v>
      </c>
      <c r="E12" s="16" t="s">
        <v>65</v>
      </c>
      <c r="F12" s="16"/>
      <c r="G12" s="24"/>
      <c r="H12" s="17"/>
      <c r="I12" s="16"/>
      <c r="J12" s="17" t="s">
        <v>89</v>
      </c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0</v>
      </c>
      <c r="B13" s="16"/>
      <c r="C13" s="16"/>
      <c r="D13" s="16">
        <v>4</v>
      </c>
      <c r="E13" s="16" t="s">
        <v>71</v>
      </c>
      <c r="F13" s="16"/>
      <c r="G13" s="24"/>
      <c r="H13" s="17"/>
      <c r="I13" s="16"/>
      <c r="J13" s="17" t="s">
        <v>89</v>
      </c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2</v>
      </c>
      <c r="B14" s="16" t="s">
        <v>68</v>
      </c>
      <c r="C14" s="16">
        <v>25</v>
      </c>
      <c r="D14" s="16">
        <v>5</v>
      </c>
      <c r="E14" s="16" t="s">
        <v>72</v>
      </c>
      <c r="F14" s="16" t="s">
        <v>77</v>
      </c>
      <c r="G14" s="24"/>
      <c r="H14" s="17" t="s">
        <v>84</v>
      </c>
      <c r="I14" s="16">
        <v>1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68</v>
      </c>
      <c r="C15" s="16">
        <v>30</v>
      </c>
      <c r="D15" s="16">
        <v>6</v>
      </c>
      <c r="E15" s="16" t="s">
        <v>71</v>
      </c>
      <c r="F15" s="16" t="s">
        <v>132</v>
      </c>
      <c r="G15" s="24"/>
      <c r="H15" s="17" t="s">
        <v>99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2</v>
      </c>
      <c r="B16" s="16" t="s">
        <v>68</v>
      </c>
      <c r="C16" s="16">
        <v>40</v>
      </c>
      <c r="D16" s="16">
        <v>7</v>
      </c>
      <c r="E16" s="16" t="s">
        <v>65</v>
      </c>
      <c r="F16" s="16" t="s">
        <v>77</v>
      </c>
      <c r="G16" s="24"/>
      <c r="H16" s="17" t="s">
        <v>99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0</v>
      </c>
      <c r="B17" s="16"/>
      <c r="C17" s="16"/>
      <c r="D17" s="16">
        <v>8</v>
      </c>
      <c r="E17" s="16" t="s">
        <v>65</v>
      </c>
      <c r="F17" s="16"/>
      <c r="G17" s="24"/>
      <c r="H17" s="17" t="s">
        <v>86</v>
      </c>
      <c r="I17" s="16">
        <v>2</v>
      </c>
      <c r="J17" s="17" t="s">
        <v>89</v>
      </c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0</v>
      </c>
      <c r="B18" s="16"/>
      <c r="C18" s="16"/>
      <c r="D18" s="16">
        <v>9</v>
      </c>
      <c r="E18" s="16" t="s">
        <v>71</v>
      </c>
      <c r="F18" s="16"/>
      <c r="G18" s="24"/>
      <c r="H18" s="17" t="s">
        <v>86</v>
      </c>
      <c r="I18" s="16">
        <v>3</v>
      </c>
      <c r="J18" s="17" t="s">
        <v>89</v>
      </c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68</v>
      </c>
      <c r="C19" s="16">
        <v>50</v>
      </c>
      <c r="D19" s="16">
        <v>10</v>
      </c>
      <c r="E19" s="16" t="s">
        <v>72</v>
      </c>
      <c r="F19" s="16" t="s">
        <v>77</v>
      </c>
      <c r="G19" s="24"/>
      <c r="H19" s="17" t="s">
        <v>97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0</v>
      </c>
      <c r="B20" s="16"/>
      <c r="C20" s="16"/>
      <c r="D20" s="16">
        <v>11</v>
      </c>
      <c r="E20" s="16" t="s">
        <v>71</v>
      </c>
      <c r="F20" s="16"/>
      <c r="G20" s="24"/>
      <c r="H20" s="17" t="s">
        <v>99</v>
      </c>
      <c r="I20" s="16">
        <v>1</v>
      </c>
      <c r="J20" s="17" t="s">
        <v>89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0</v>
      </c>
      <c r="B21" s="16"/>
      <c r="C21" s="16"/>
      <c r="D21" s="16">
        <v>12</v>
      </c>
      <c r="E21" s="16" t="s">
        <v>65</v>
      </c>
      <c r="F21" s="16"/>
      <c r="G21" s="24"/>
      <c r="H21" s="17" t="s">
        <v>99</v>
      </c>
      <c r="I21" s="16">
        <v>1</v>
      </c>
      <c r="J21" s="17" t="s">
        <v>133</v>
      </c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68</v>
      </c>
      <c r="C22" s="16">
        <v>30</v>
      </c>
      <c r="D22" s="16">
        <v>13</v>
      </c>
      <c r="E22" s="16" t="s">
        <v>65</v>
      </c>
      <c r="F22" s="16" t="s">
        <v>77</v>
      </c>
      <c r="G22" s="24"/>
      <c r="H22" s="17" t="s">
        <v>99</v>
      </c>
      <c r="I22" s="16">
        <v>2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2</v>
      </c>
      <c r="B23" s="16" t="s">
        <v>68</v>
      </c>
      <c r="C23" s="16">
        <v>30</v>
      </c>
      <c r="D23" s="16">
        <v>13</v>
      </c>
      <c r="E23" s="16" t="s">
        <v>65</v>
      </c>
      <c r="F23" s="16" t="s">
        <v>77</v>
      </c>
      <c r="G23" s="24"/>
      <c r="H23" s="17" t="s">
        <v>99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0</v>
      </c>
      <c r="B24" s="16"/>
      <c r="C24" s="16"/>
      <c r="D24" s="16">
        <v>14</v>
      </c>
      <c r="E24" s="16" t="s">
        <v>72</v>
      </c>
      <c r="F24" s="16"/>
      <c r="G24" s="24"/>
      <c r="H24" s="17" t="s">
        <v>99</v>
      </c>
      <c r="I24" s="16">
        <v>1</v>
      </c>
      <c r="J24" s="17" t="s">
        <v>89</v>
      </c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0</v>
      </c>
      <c r="B25" s="16"/>
      <c r="C25" s="16"/>
      <c r="D25" s="16">
        <v>15</v>
      </c>
      <c r="E25" s="16" t="s">
        <v>71</v>
      </c>
      <c r="F25" s="16"/>
      <c r="G25" s="24"/>
      <c r="H25" s="17" t="s">
        <v>99</v>
      </c>
      <c r="I25" s="16">
        <v>1</v>
      </c>
      <c r="J25" s="17" t="s">
        <v>89</v>
      </c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0</v>
      </c>
      <c r="B26" s="16"/>
      <c r="C26" s="16"/>
      <c r="D26" s="16">
        <v>16</v>
      </c>
      <c r="E26" s="16" t="s">
        <v>65</v>
      </c>
      <c r="F26" s="16"/>
      <c r="G26" s="24"/>
      <c r="H26" s="17" t="s">
        <v>134</v>
      </c>
      <c r="I26" s="16">
        <v>1</v>
      </c>
      <c r="J26" s="17" t="s">
        <v>89</v>
      </c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0</v>
      </c>
      <c r="B27" s="16"/>
      <c r="C27" s="16"/>
      <c r="D27" s="16">
        <v>17</v>
      </c>
      <c r="E27" s="16" t="s">
        <v>71</v>
      </c>
      <c r="F27" s="16"/>
      <c r="G27" s="24"/>
      <c r="H27" s="17" t="s">
        <v>99</v>
      </c>
      <c r="I27" s="16">
        <v>1</v>
      </c>
      <c r="J27" s="17" t="s">
        <v>89</v>
      </c>
      <c r="L27" s="19">
        <f>SUMIFS($A$10:$A$400,$B$10:$B$400,"CH",$D$10:$D$400,"18")</f>
        <v>4</v>
      </c>
      <c r="M27" s="19" t="s">
        <v>19</v>
      </c>
      <c r="N27" s="19" t="s">
        <v>38</v>
      </c>
    </row>
    <row r="28" spans="1:14" s="18" customFormat="1" x14ac:dyDescent="0.3">
      <c r="A28" s="16">
        <v>4</v>
      </c>
      <c r="B28" s="16" t="s">
        <v>19</v>
      </c>
      <c r="C28" s="16">
        <v>50</v>
      </c>
      <c r="D28" s="16">
        <v>18</v>
      </c>
      <c r="E28" s="16" t="s">
        <v>135</v>
      </c>
      <c r="F28" s="16"/>
      <c r="G28" s="24"/>
      <c r="H28" s="17" t="s">
        <v>84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4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777</v>
      </c>
      <c r="E3" s="4"/>
    </row>
    <row r="4" spans="1:14" x14ac:dyDescent="0.3">
      <c r="A4" s="6" t="s">
        <v>3</v>
      </c>
      <c r="B4" s="8">
        <v>42970</v>
      </c>
      <c r="E4" s="4"/>
    </row>
    <row r="5" spans="1:14" x14ac:dyDescent="0.3">
      <c r="A5" s="6" t="s">
        <v>4</v>
      </c>
      <c r="B5" s="7" t="s">
        <v>199</v>
      </c>
      <c r="E5" s="4"/>
    </row>
    <row r="6" spans="1:14" x14ac:dyDescent="0.3">
      <c r="A6" s="9" t="s">
        <v>1</v>
      </c>
      <c r="B6" s="10">
        <v>2.5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200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68</v>
      </c>
      <c r="C10" s="16">
        <v>50</v>
      </c>
      <c r="D10" s="16">
        <v>1</v>
      </c>
      <c r="E10" s="16" t="s">
        <v>65</v>
      </c>
      <c r="F10" s="16" t="s">
        <v>77</v>
      </c>
      <c r="G10" s="24">
        <v>1200</v>
      </c>
      <c r="H10" s="17" t="s">
        <v>99</v>
      </c>
      <c r="I10" s="16">
        <v>2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21</v>
      </c>
      <c r="C11" s="16">
        <v>50</v>
      </c>
      <c r="D11" s="16">
        <v>2</v>
      </c>
      <c r="E11" s="16" t="s">
        <v>72</v>
      </c>
      <c r="F11" s="16" t="s">
        <v>73</v>
      </c>
      <c r="G11" s="24"/>
      <c r="H11" s="17" t="s">
        <v>97</v>
      </c>
      <c r="I11" s="16">
        <v>1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10</v>
      </c>
      <c r="D12" s="16">
        <v>2</v>
      </c>
      <c r="E12" s="16" t="s">
        <v>72</v>
      </c>
      <c r="F12" s="16" t="s">
        <v>73</v>
      </c>
      <c r="G12" s="24"/>
      <c r="H12" s="17" t="s">
        <v>97</v>
      </c>
      <c r="I12" s="16">
        <v>1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0</v>
      </c>
      <c r="B13" s="16"/>
      <c r="C13" s="16"/>
      <c r="D13" s="16">
        <v>3</v>
      </c>
      <c r="E13" s="16" t="s">
        <v>65</v>
      </c>
      <c r="F13" s="16"/>
      <c r="G13" s="24"/>
      <c r="H13" s="17"/>
      <c r="I13" s="16"/>
      <c r="J13" s="17" t="s">
        <v>89</v>
      </c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68</v>
      </c>
      <c r="C14" s="16">
        <v>50</v>
      </c>
      <c r="D14" s="16">
        <v>4</v>
      </c>
      <c r="E14" s="16" t="s">
        <v>72</v>
      </c>
      <c r="F14" s="16" t="s">
        <v>77</v>
      </c>
      <c r="G14" s="24"/>
      <c r="H14" s="17" t="s">
        <v>99</v>
      </c>
      <c r="I14" s="16">
        <v>2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68</v>
      </c>
      <c r="C15" s="16">
        <v>75</v>
      </c>
      <c r="D15" s="16">
        <v>4</v>
      </c>
      <c r="E15" s="16" t="s">
        <v>72</v>
      </c>
      <c r="F15" s="16" t="s">
        <v>77</v>
      </c>
      <c r="G15" s="24"/>
      <c r="H15" s="17" t="s">
        <v>99</v>
      </c>
      <c r="I15" s="16">
        <v>2</v>
      </c>
      <c r="J15" s="17"/>
      <c r="L15" s="19">
        <f>SUMIFS($A$10:$A$400,$B$10:$B$400,"CH",$D$10:$D$400,"6")</f>
        <v>1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68</v>
      </c>
      <c r="C16" s="16">
        <v>80</v>
      </c>
      <c r="D16" s="16">
        <v>4</v>
      </c>
      <c r="E16" s="16" t="s">
        <v>72</v>
      </c>
      <c r="F16" s="16" t="s">
        <v>73</v>
      </c>
      <c r="G16" s="24"/>
      <c r="H16" s="17" t="s">
        <v>86</v>
      </c>
      <c r="I16" s="16">
        <v>4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68</v>
      </c>
      <c r="C17" s="16">
        <v>40</v>
      </c>
      <c r="D17" s="16">
        <v>4</v>
      </c>
      <c r="E17" s="16" t="s">
        <v>72</v>
      </c>
      <c r="F17" s="16" t="s">
        <v>77</v>
      </c>
      <c r="G17" s="24"/>
      <c r="H17" s="17" t="s">
        <v>99</v>
      </c>
      <c r="I17" s="16">
        <v>2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80</v>
      </c>
      <c r="D18" s="16">
        <v>4</v>
      </c>
      <c r="E18" s="16" t="s">
        <v>72</v>
      </c>
      <c r="F18" s="16" t="s">
        <v>77</v>
      </c>
      <c r="G18" s="24"/>
      <c r="H18" s="17" t="s">
        <v>96</v>
      </c>
      <c r="I18" s="16">
        <v>3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68</v>
      </c>
      <c r="C19" s="16">
        <v>80</v>
      </c>
      <c r="D19" s="16">
        <v>4</v>
      </c>
      <c r="E19" s="16" t="s">
        <v>72</v>
      </c>
      <c r="F19" s="16" t="s">
        <v>73</v>
      </c>
      <c r="G19" s="24"/>
      <c r="H19" s="17" t="s">
        <v>97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85</v>
      </c>
      <c r="C20" s="16">
        <v>300</v>
      </c>
      <c r="D20" s="16">
        <v>5</v>
      </c>
      <c r="E20" s="16" t="s">
        <v>65</v>
      </c>
      <c r="F20" s="16" t="s">
        <v>73</v>
      </c>
      <c r="G20" s="24"/>
      <c r="H20" s="17" t="s">
        <v>97</v>
      </c>
      <c r="I20" s="16">
        <v>1</v>
      </c>
      <c r="J20" s="17" t="s">
        <v>136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100</v>
      </c>
      <c r="D21" s="16">
        <v>6</v>
      </c>
      <c r="E21" s="16" t="s">
        <v>72</v>
      </c>
      <c r="F21" s="16" t="s">
        <v>77</v>
      </c>
      <c r="G21" s="24"/>
      <c r="H21" s="17" t="s">
        <v>99</v>
      </c>
      <c r="I21" s="16">
        <v>2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85</v>
      </c>
      <c r="C22" s="16">
        <v>200</v>
      </c>
      <c r="D22" s="16">
        <v>6</v>
      </c>
      <c r="E22" s="16" t="s">
        <v>72</v>
      </c>
      <c r="F22" s="16" t="s">
        <v>77</v>
      </c>
      <c r="G22" s="24"/>
      <c r="H22" s="17" t="s">
        <v>99</v>
      </c>
      <c r="I22" s="16">
        <v>2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85</v>
      </c>
      <c r="C23" s="16">
        <v>180</v>
      </c>
      <c r="D23" s="16">
        <v>6</v>
      </c>
      <c r="E23" s="16" t="s">
        <v>72</v>
      </c>
      <c r="F23" s="16" t="s">
        <v>124</v>
      </c>
      <c r="G23" s="24"/>
      <c r="H23" s="17" t="s">
        <v>96</v>
      </c>
      <c r="I23" s="16">
        <v>3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19</v>
      </c>
      <c r="C24" s="16">
        <v>50</v>
      </c>
      <c r="D24" s="16">
        <v>6</v>
      </c>
      <c r="E24" s="16" t="s">
        <v>72</v>
      </c>
      <c r="F24" s="16" t="s">
        <v>124</v>
      </c>
      <c r="G24" s="24"/>
      <c r="H24" s="17" t="s">
        <v>99</v>
      </c>
      <c r="I24" s="16">
        <v>2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68</v>
      </c>
      <c r="C25" s="16">
        <v>60</v>
      </c>
      <c r="D25" s="16">
        <v>6</v>
      </c>
      <c r="E25" s="16" t="s">
        <v>72</v>
      </c>
      <c r="F25" s="16" t="s">
        <v>66</v>
      </c>
      <c r="G25" s="24"/>
      <c r="H25" s="17" t="s">
        <v>99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21</v>
      </c>
      <c r="C26" s="16">
        <v>80</v>
      </c>
      <c r="D26" s="16">
        <v>6</v>
      </c>
      <c r="E26" s="16" t="s">
        <v>72</v>
      </c>
      <c r="F26" s="16" t="s">
        <v>77</v>
      </c>
      <c r="G26" s="24"/>
      <c r="H26" s="17" t="s">
        <v>99</v>
      </c>
      <c r="I26" s="16">
        <v>2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2</v>
      </c>
      <c r="B27" s="16" t="s">
        <v>21</v>
      </c>
      <c r="C27" s="16">
        <v>90</v>
      </c>
      <c r="D27" s="16">
        <v>6</v>
      </c>
      <c r="E27" s="16" t="s">
        <v>72</v>
      </c>
      <c r="F27" s="16" t="s">
        <v>77</v>
      </c>
      <c r="G27" s="24"/>
      <c r="H27" s="17" t="s">
        <v>96</v>
      </c>
      <c r="I27" s="16">
        <v>3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21</v>
      </c>
      <c r="C28" s="16">
        <v>70</v>
      </c>
      <c r="D28" s="16">
        <v>6</v>
      </c>
      <c r="E28" s="16" t="s">
        <v>72</v>
      </c>
      <c r="F28" s="16" t="s">
        <v>77</v>
      </c>
      <c r="G28" s="24"/>
      <c r="H28" s="17" t="s">
        <v>99</v>
      </c>
      <c r="I28" s="16">
        <v>2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21</v>
      </c>
      <c r="C29" s="16">
        <v>80</v>
      </c>
      <c r="D29" s="16">
        <v>6</v>
      </c>
      <c r="E29" s="16" t="s">
        <v>72</v>
      </c>
      <c r="F29" s="16" t="s">
        <v>77</v>
      </c>
      <c r="G29" s="24"/>
      <c r="H29" s="17" t="s">
        <v>96</v>
      </c>
      <c r="I29" s="16">
        <v>3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1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1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6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8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137</v>
      </c>
      <c r="E2" s="4"/>
    </row>
    <row r="3" spans="1:14" x14ac:dyDescent="0.3">
      <c r="A3" s="6" t="s">
        <v>2</v>
      </c>
      <c r="B3" s="7">
        <v>835</v>
      </c>
      <c r="E3" s="4"/>
    </row>
    <row r="4" spans="1:14" x14ac:dyDescent="0.3">
      <c r="A4" s="6" t="s">
        <v>3</v>
      </c>
      <c r="B4" s="8">
        <v>42970</v>
      </c>
      <c r="E4" s="4"/>
    </row>
    <row r="5" spans="1:14" x14ac:dyDescent="0.3">
      <c r="A5" s="6" t="s">
        <v>4</v>
      </c>
      <c r="B5" s="7" t="s">
        <v>201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65</v>
      </c>
      <c r="F10" s="16"/>
      <c r="G10" s="24">
        <v>1430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68</v>
      </c>
      <c r="C11" s="16">
        <v>40</v>
      </c>
      <c r="D11" s="16">
        <v>2</v>
      </c>
      <c r="E11" s="16" t="s">
        <v>72</v>
      </c>
      <c r="F11" s="16" t="s">
        <v>77</v>
      </c>
      <c r="G11" s="24"/>
      <c r="H11" s="17" t="s">
        <v>99</v>
      </c>
      <c r="I11" s="16">
        <v>3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15</v>
      </c>
      <c r="B12" s="16" t="s">
        <v>19</v>
      </c>
      <c r="C12" s="16">
        <v>60</v>
      </c>
      <c r="D12" s="16">
        <v>3</v>
      </c>
      <c r="E12" s="16" t="s">
        <v>93</v>
      </c>
      <c r="F12" s="16" t="s">
        <v>77</v>
      </c>
      <c r="G12" s="24"/>
      <c r="H12" s="17" t="s">
        <v>106</v>
      </c>
      <c r="I12" s="16">
        <v>1</v>
      </c>
      <c r="J12" s="17"/>
      <c r="L12" s="19">
        <f>SUMIFS($A$10:$A$400,$B$10:$B$400,"CH",$D$10:$D$400,"3")</f>
        <v>37</v>
      </c>
      <c r="M12" s="19" t="s">
        <v>19</v>
      </c>
      <c r="N12" s="19" t="s">
        <v>24</v>
      </c>
    </row>
    <row r="13" spans="1:14" s="18" customFormat="1" x14ac:dyDescent="0.3">
      <c r="A13" s="16">
        <v>10</v>
      </c>
      <c r="B13" s="16" t="s">
        <v>19</v>
      </c>
      <c r="C13" s="16">
        <v>70</v>
      </c>
      <c r="D13" s="16">
        <v>3</v>
      </c>
      <c r="E13" s="16" t="s">
        <v>93</v>
      </c>
      <c r="F13" s="16" t="s">
        <v>77</v>
      </c>
      <c r="G13" s="24"/>
      <c r="H13" s="17" t="s">
        <v>106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12</v>
      </c>
      <c r="B14" s="16" t="s">
        <v>19</v>
      </c>
      <c r="C14" s="16">
        <v>90</v>
      </c>
      <c r="D14" s="16">
        <v>3</v>
      </c>
      <c r="E14" s="16" t="s">
        <v>93</v>
      </c>
      <c r="F14" s="16" t="s">
        <v>77</v>
      </c>
      <c r="G14" s="24"/>
      <c r="H14" s="17" t="s">
        <v>106</v>
      </c>
      <c r="I14" s="16">
        <v>1</v>
      </c>
      <c r="J14" s="17"/>
      <c r="L14" s="19">
        <f>SUMIFS($A$10:$A$400,$B$10:$B$400,"CH",$D$10:$D$400,"5")</f>
        <v>21</v>
      </c>
      <c r="M14" s="19" t="s">
        <v>19</v>
      </c>
      <c r="N14" s="19" t="s">
        <v>27</v>
      </c>
    </row>
    <row r="15" spans="1:14" s="18" customFormat="1" x14ac:dyDescent="0.3">
      <c r="A15" s="16">
        <v>3</v>
      </c>
      <c r="B15" s="16" t="s">
        <v>85</v>
      </c>
      <c r="C15" s="16">
        <v>40</v>
      </c>
      <c r="D15" s="16">
        <v>3</v>
      </c>
      <c r="E15" s="16" t="s">
        <v>93</v>
      </c>
      <c r="F15" s="16" t="s">
        <v>77</v>
      </c>
      <c r="G15" s="24"/>
      <c r="H15" s="17" t="s">
        <v>106</v>
      </c>
      <c r="I15" s="16">
        <v>1</v>
      </c>
      <c r="J15" s="17"/>
      <c r="L15" s="19">
        <f>SUMIFS($A$10:$A$400,$B$10:$B$400,"CH",$D$10:$D$400,"6")</f>
        <v>12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21</v>
      </c>
      <c r="C16" s="16">
        <v>120</v>
      </c>
      <c r="D16" s="16">
        <v>3</v>
      </c>
      <c r="E16" s="16" t="s">
        <v>93</v>
      </c>
      <c r="F16" s="16" t="s">
        <v>77</v>
      </c>
      <c r="G16" s="24"/>
      <c r="H16" s="17" t="s">
        <v>106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3</v>
      </c>
      <c r="B17" s="16" t="s">
        <v>21</v>
      </c>
      <c r="C17" s="16">
        <v>60</v>
      </c>
      <c r="D17" s="16">
        <v>3</v>
      </c>
      <c r="E17" s="16" t="s">
        <v>93</v>
      </c>
      <c r="F17" s="16" t="s">
        <v>77</v>
      </c>
      <c r="G17" s="24"/>
      <c r="H17" s="17" t="s">
        <v>106</v>
      </c>
      <c r="I17" s="16">
        <v>1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50</v>
      </c>
      <c r="D18" s="16">
        <v>4</v>
      </c>
      <c r="E18" s="16" t="s">
        <v>65</v>
      </c>
      <c r="F18" s="16" t="s">
        <v>77</v>
      </c>
      <c r="G18" s="24"/>
      <c r="H18" s="17" t="s">
        <v>99</v>
      </c>
      <c r="I18" s="16">
        <v>3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85</v>
      </c>
      <c r="C19" s="16">
        <v>75</v>
      </c>
      <c r="D19" s="16">
        <v>4</v>
      </c>
      <c r="E19" s="16" t="s">
        <v>65</v>
      </c>
      <c r="F19" s="16" t="s">
        <v>77</v>
      </c>
      <c r="G19" s="24"/>
      <c r="H19" s="17" t="s">
        <v>106</v>
      </c>
      <c r="I19" s="16">
        <v>4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64</v>
      </c>
      <c r="C20" s="16">
        <v>80</v>
      </c>
      <c r="D20" s="16">
        <v>4</v>
      </c>
      <c r="E20" s="16" t="s">
        <v>65</v>
      </c>
      <c r="F20" s="16"/>
      <c r="G20" s="24"/>
      <c r="H20" s="17" t="s">
        <v>99</v>
      </c>
      <c r="I20" s="16">
        <v>3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120</v>
      </c>
      <c r="D21" s="16">
        <v>4</v>
      </c>
      <c r="E21" s="16" t="s">
        <v>65</v>
      </c>
      <c r="F21" s="16" t="s">
        <v>77</v>
      </c>
      <c r="G21" s="24"/>
      <c r="H21" s="17" t="s">
        <v>99</v>
      </c>
      <c r="I21" s="16">
        <v>3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2</v>
      </c>
      <c r="B22" s="16" t="s">
        <v>21</v>
      </c>
      <c r="C22" s="16">
        <v>100</v>
      </c>
      <c r="D22" s="16">
        <v>5</v>
      </c>
      <c r="E22" s="16" t="s">
        <v>72</v>
      </c>
      <c r="F22" s="16" t="s">
        <v>77</v>
      </c>
      <c r="G22" s="24"/>
      <c r="H22" s="17" t="s">
        <v>96</v>
      </c>
      <c r="I22" s="16">
        <v>2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21</v>
      </c>
      <c r="C23" s="16">
        <v>130</v>
      </c>
      <c r="D23" s="16">
        <v>5</v>
      </c>
      <c r="E23" s="16" t="s">
        <v>72</v>
      </c>
      <c r="F23" s="16" t="s">
        <v>77</v>
      </c>
      <c r="G23" s="24"/>
      <c r="H23" s="17" t="s">
        <v>96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21</v>
      </c>
      <c r="C24" s="16">
        <v>120</v>
      </c>
      <c r="D24" s="16">
        <v>5</v>
      </c>
      <c r="E24" s="16" t="s">
        <v>72</v>
      </c>
      <c r="F24" s="16" t="s">
        <v>77</v>
      </c>
      <c r="G24" s="24"/>
      <c r="H24" s="17" t="s">
        <v>96</v>
      </c>
      <c r="I24" s="16">
        <v>2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21</v>
      </c>
      <c r="C25" s="16">
        <v>150</v>
      </c>
      <c r="D25" s="16">
        <v>5</v>
      </c>
      <c r="E25" s="16" t="s">
        <v>72</v>
      </c>
      <c r="F25" s="16" t="s">
        <v>77</v>
      </c>
      <c r="G25" s="24"/>
      <c r="H25" s="17" t="s">
        <v>99</v>
      </c>
      <c r="I25" s="16">
        <v>3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19</v>
      </c>
      <c r="C26" s="16">
        <v>80</v>
      </c>
      <c r="D26" s="16">
        <v>5</v>
      </c>
      <c r="E26" s="16" t="s">
        <v>72</v>
      </c>
      <c r="F26" s="16" t="s">
        <v>77</v>
      </c>
      <c r="G26" s="24"/>
      <c r="H26" s="17" t="s">
        <v>106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110</v>
      </c>
      <c r="D27" s="16">
        <v>6</v>
      </c>
      <c r="E27" s="16" t="s">
        <v>71</v>
      </c>
      <c r="F27" s="16"/>
      <c r="G27" s="24"/>
      <c r="H27" s="17" t="s">
        <v>106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3</v>
      </c>
      <c r="B28" s="16" t="s">
        <v>19</v>
      </c>
      <c r="C28" s="16">
        <v>100</v>
      </c>
      <c r="D28" s="16">
        <v>6</v>
      </c>
      <c r="E28" s="16" t="s">
        <v>71</v>
      </c>
      <c r="F28" s="16"/>
      <c r="G28" s="24"/>
      <c r="H28" s="17" t="s">
        <v>106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8</v>
      </c>
      <c r="B29" s="16" t="s">
        <v>19</v>
      </c>
      <c r="C29" s="16">
        <v>70</v>
      </c>
      <c r="D29" s="16">
        <v>6</v>
      </c>
      <c r="E29" s="16" t="s">
        <v>71</v>
      </c>
      <c r="F29" s="16"/>
      <c r="G29" s="24"/>
      <c r="H29" s="17" t="s">
        <v>106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19</v>
      </c>
      <c r="C30" s="16">
        <v>65</v>
      </c>
      <c r="D30" s="16">
        <v>6</v>
      </c>
      <c r="E30" s="16" t="s">
        <v>71</v>
      </c>
      <c r="F30" s="16"/>
      <c r="G30" s="24"/>
      <c r="H30" s="17" t="s">
        <v>106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7</v>
      </c>
      <c r="B31" s="16" t="s">
        <v>85</v>
      </c>
      <c r="C31" s="16">
        <v>200</v>
      </c>
      <c r="D31" s="16">
        <v>5</v>
      </c>
      <c r="E31" s="16" t="s">
        <v>72</v>
      </c>
      <c r="F31" s="16" t="s">
        <v>77</v>
      </c>
      <c r="G31" s="24"/>
      <c r="H31" s="17" t="s">
        <v>99</v>
      </c>
      <c r="I31" s="16">
        <v>3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21</v>
      </c>
      <c r="C32" s="16">
        <v>310</v>
      </c>
      <c r="D32" s="16">
        <v>5</v>
      </c>
      <c r="E32" s="16" t="s">
        <v>72</v>
      </c>
      <c r="F32" s="16" t="s">
        <v>62</v>
      </c>
      <c r="G32" s="24"/>
      <c r="H32" s="17" t="s">
        <v>106</v>
      </c>
      <c r="I32" s="16">
        <v>4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21</v>
      </c>
      <c r="C33" s="16">
        <v>75</v>
      </c>
      <c r="D33" s="16">
        <v>5</v>
      </c>
      <c r="E33" s="16" t="s">
        <v>72</v>
      </c>
      <c r="F33" s="16" t="s">
        <v>77</v>
      </c>
      <c r="G33" s="24"/>
      <c r="H33" s="17" t="s">
        <v>99</v>
      </c>
      <c r="I33" s="16">
        <v>3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5</v>
      </c>
      <c r="B34" s="16" t="s">
        <v>21</v>
      </c>
      <c r="C34" s="16">
        <v>90</v>
      </c>
      <c r="D34" s="16">
        <v>5</v>
      </c>
      <c r="E34" s="16" t="s">
        <v>72</v>
      </c>
      <c r="F34" s="16" t="s">
        <v>62</v>
      </c>
      <c r="G34" s="24"/>
      <c r="H34" s="17" t="s">
        <v>106</v>
      </c>
      <c r="I34" s="16">
        <v>4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20</v>
      </c>
      <c r="B35" s="16" t="s">
        <v>19</v>
      </c>
      <c r="C35" s="16">
        <v>65</v>
      </c>
      <c r="D35" s="16">
        <v>5</v>
      </c>
      <c r="E35" s="16" t="s">
        <v>72</v>
      </c>
      <c r="F35" s="16" t="s">
        <v>62</v>
      </c>
      <c r="G35" s="24"/>
      <c r="H35" s="17" t="s">
        <v>106</v>
      </c>
      <c r="I35" s="16">
        <v>4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120</v>
      </c>
      <c r="D36" s="16">
        <v>5</v>
      </c>
      <c r="E36" s="16" t="s">
        <v>72</v>
      </c>
      <c r="F36" s="16" t="s">
        <v>62</v>
      </c>
      <c r="G36" s="24"/>
      <c r="H36" s="17" t="s">
        <v>106</v>
      </c>
      <c r="I36" s="16">
        <v>4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21</v>
      </c>
      <c r="C37" s="16">
        <v>150</v>
      </c>
      <c r="D37" s="16">
        <v>5</v>
      </c>
      <c r="E37" s="16" t="s">
        <v>72</v>
      </c>
      <c r="F37" s="16" t="s">
        <v>62</v>
      </c>
      <c r="G37" s="24"/>
      <c r="H37" s="17" t="s">
        <v>106</v>
      </c>
      <c r="I37" s="16">
        <v>4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3</v>
      </c>
      <c r="B38" s="16" t="s">
        <v>21</v>
      </c>
      <c r="C38" s="16">
        <v>90</v>
      </c>
      <c r="D38" s="16">
        <v>5</v>
      </c>
      <c r="E38" s="16" t="s">
        <v>72</v>
      </c>
      <c r="F38" s="16" t="s">
        <v>77</v>
      </c>
      <c r="G38" s="24"/>
      <c r="H38" s="17" t="s">
        <v>106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64</v>
      </c>
      <c r="C39" s="16">
        <v>400</v>
      </c>
      <c r="D39" s="16">
        <v>8</v>
      </c>
      <c r="E39" s="16" t="s">
        <v>71</v>
      </c>
      <c r="F39" s="16" t="s">
        <v>77</v>
      </c>
      <c r="G39" s="24"/>
      <c r="H39" s="17" t="s">
        <v>106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250</v>
      </c>
      <c r="D40" s="16">
        <v>8</v>
      </c>
      <c r="E40" s="16" t="s">
        <v>71</v>
      </c>
      <c r="F40" s="16" t="s">
        <v>63</v>
      </c>
      <c r="G40" s="24"/>
      <c r="H40" s="17" t="s">
        <v>106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5</v>
      </c>
      <c r="B41" s="16" t="s">
        <v>85</v>
      </c>
      <c r="C41" s="16">
        <v>350</v>
      </c>
      <c r="D41" s="16">
        <v>7</v>
      </c>
      <c r="E41" s="16" t="s">
        <v>65</v>
      </c>
      <c r="F41" s="16" t="s">
        <v>73</v>
      </c>
      <c r="G41" s="24"/>
      <c r="H41" s="17" t="s">
        <v>97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4</v>
      </c>
      <c r="B42" s="16" t="s">
        <v>21</v>
      </c>
      <c r="C42" s="16">
        <v>250</v>
      </c>
      <c r="D42" s="16">
        <v>8</v>
      </c>
      <c r="E42" s="16" t="s">
        <v>71</v>
      </c>
      <c r="F42" s="16" t="s">
        <v>63</v>
      </c>
      <c r="G42" s="24"/>
      <c r="H42" s="17" t="s">
        <v>106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6</v>
      </c>
      <c r="B43" s="16" t="s">
        <v>21</v>
      </c>
      <c r="C43" s="16">
        <v>100</v>
      </c>
      <c r="D43" s="16">
        <v>8</v>
      </c>
      <c r="E43" s="16" t="s">
        <v>71</v>
      </c>
      <c r="F43" s="16" t="s">
        <v>63</v>
      </c>
      <c r="G43" s="24"/>
      <c r="H43" s="17" t="s">
        <v>106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9</v>
      </c>
      <c r="B44" s="16" t="s">
        <v>21</v>
      </c>
      <c r="C44" s="16">
        <v>80</v>
      </c>
      <c r="D44" s="16">
        <v>8</v>
      </c>
      <c r="E44" s="16" t="s">
        <v>71</v>
      </c>
      <c r="F44" s="16" t="s">
        <v>63</v>
      </c>
      <c r="G44" s="24"/>
      <c r="H44" s="17" t="s">
        <v>106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2</v>
      </c>
      <c r="B45" s="16" t="s">
        <v>85</v>
      </c>
      <c r="C45" s="16">
        <v>150</v>
      </c>
      <c r="D45" s="16">
        <v>8</v>
      </c>
      <c r="E45" s="16" t="s">
        <v>71</v>
      </c>
      <c r="F45" s="16" t="s">
        <v>63</v>
      </c>
      <c r="G45" s="24"/>
      <c r="H45" s="17" t="s">
        <v>106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64</v>
      </c>
      <c r="C46" s="16">
        <v>100</v>
      </c>
      <c r="D46" s="16">
        <v>8</v>
      </c>
      <c r="E46" s="16" t="s">
        <v>71</v>
      </c>
      <c r="F46" s="16" t="s">
        <v>63</v>
      </c>
      <c r="G46" s="24"/>
      <c r="H46" s="17" t="s">
        <v>106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18</v>
      </c>
      <c r="B47" s="16" t="s">
        <v>85</v>
      </c>
      <c r="C47" s="16">
        <v>300</v>
      </c>
      <c r="D47" s="16">
        <v>9</v>
      </c>
      <c r="E47" s="16" t="s">
        <v>71</v>
      </c>
      <c r="F47" s="16" t="s">
        <v>77</v>
      </c>
      <c r="G47" s="24"/>
      <c r="H47" s="17" t="s">
        <v>99</v>
      </c>
      <c r="I47" s="16">
        <v>3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21</v>
      </c>
      <c r="C48" s="16">
        <v>200</v>
      </c>
      <c r="D48" s="16">
        <v>9</v>
      </c>
      <c r="E48" s="16" t="s">
        <v>71</v>
      </c>
      <c r="F48" s="16" t="s">
        <v>77</v>
      </c>
      <c r="G48" s="24"/>
      <c r="H48" s="17" t="s">
        <v>106</v>
      </c>
      <c r="I48" s="16">
        <v>4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21</v>
      </c>
      <c r="C49" s="16">
        <v>230</v>
      </c>
      <c r="D49" s="16">
        <v>9</v>
      </c>
      <c r="E49" s="16" t="s">
        <v>71</v>
      </c>
      <c r="F49" s="16" t="s">
        <v>77</v>
      </c>
      <c r="G49" s="24"/>
      <c r="H49" s="17" t="s">
        <v>96</v>
      </c>
      <c r="I49" s="16">
        <v>2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21</v>
      </c>
      <c r="C50" s="16">
        <v>120</v>
      </c>
      <c r="D50" s="16">
        <v>9</v>
      </c>
      <c r="E50" s="16" t="s">
        <v>71</v>
      </c>
      <c r="F50" s="16" t="s">
        <v>77</v>
      </c>
      <c r="G50" s="24"/>
      <c r="H50" s="17" t="s">
        <v>96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120</v>
      </c>
      <c r="D51" s="16">
        <v>10</v>
      </c>
      <c r="E51" s="16" t="s">
        <v>72</v>
      </c>
      <c r="F51" s="16" t="s">
        <v>77</v>
      </c>
      <c r="G51" s="24"/>
      <c r="H51" s="17" t="s">
        <v>96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4</v>
      </c>
      <c r="B52" s="16" t="s">
        <v>21</v>
      </c>
      <c r="C52" s="16">
        <v>100</v>
      </c>
      <c r="D52" s="16">
        <v>10</v>
      </c>
      <c r="E52" s="16" t="s">
        <v>72</v>
      </c>
      <c r="F52" s="16" t="s">
        <v>77</v>
      </c>
      <c r="G52" s="24"/>
      <c r="H52" s="17" t="s">
        <v>96</v>
      </c>
      <c r="I52" s="16">
        <v>2</v>
      </c>
      <c r="J52" s="17"/>
      <c r="L52" s="19">
        <f>SUM(L10:L51)</f>
        <v>70</v>
      </c>
      <c r="M52" s="19"/>
      <c r="N52" s="19"/>
    </row>
    <row r="53" spans="1:14" s="18" customFormat="1" x14ac:dyDescent="0.3">
      <c r="A53" s="16">
        <v>5</v>
      </c>
      <c r="B53" s="16" t="s">
        <v>85</v>
      </c>
      <c r="C53" s="16">
        <v>150</v>
      </c>
      <c r="D53" s="16">
        <v>10</v>
      </c>
      <c r="E53" s="16" t="s">
        <v>72</v>
      </c>
      <c r="F53" s="16" t="s">
        <v>77</v>
      </c>
      <c r="G53" s="24"/>
      <c r="H53" s="17" t="s">
        <v>96</v>
      </c>
      <c r="I53" s="16">
        <v>2</v>
      </c>
      <c r="J53" s="17"/>
      <c r="L53" s="19"/>
      <c r="M53" s="19"/>
      <c r="N53" s="19"/>
    </row>
    <row r="54" spans="1:14" s="18" customFormat="1" x14ac:dyDescent="0.3">
      <c r="A54" s="16">
        <v>2</v>
      </c>
      <c r="B54" s="16" t="s">
        <v>85</v>
      </c>
      <c r="C54" s="16">
        <v>200</v>
      </c>
      <c r="D54" s="16">
        <v>10</v>
      </c>
      <c r="E54" s="16" t="s">
        <v>72</v>
      </c>
      <c r="F54" s="16" t="s">
        <v>77</v>
      </c>
      <c r="G54" s="24"/>
      <c r="H54" s="17" t="s">
        <v>96</v>
      </c>
      <c r="I54" s="16">
        <v>2</v>
      </c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>
        <v>0</v>
      </c>
      <c r="B55" s="16"/>
      <c r="C55" s="16"/>
      <c r="D55" s="16">
        <v>11</v>
      </c>
      <c r="E55" s="16" t="s">
        <v>65</v>
      </c>
      <c r="F55" s="16"/>
      <c r="G55" s="24"/>
      <c r="H55" s="17"/>
      <c r="I55" s="16"/>
      <c r="J55" s="17" t="s">
        <v>138</v>
      </c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4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17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1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20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3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5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51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841</v>
      </c>
      <c r="E3" s="4"/>
    </row>
    <row r="4" spans="1:14" x14ac:dyDescent="0.3">
      <c r="A4" s="6" t="s">
        <v>3</v>
      </c>
      <c r="B4" s="8">
        <v>43006</v>
      </c>
      <c r="E4" s="4"/>
    </row>
    <row r="5" spans="1:14" x14ac:dyDescent="0.3">
      <c r="A5" s="6" t="s">
        <v>4</v>
      </c>
      <c r="B5" s="7" t="s">
        <v>202</v>
      </c>
      <c r="E5" s="4"/>
    </row>
    <row r="6" spans="1:14" x14ac:dyDescent="0.3">
      <c r="A6" s="9" t="s">
        <v>1</v>
      </c>
      <c r="B6" s="10" t="s">
        <v>139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140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21</v>
      </c>
      <c r="C10" s="16">
        <v>80</v>
      </c>
      <c r="D10" s="16">
        <v>1</v>
      </c>
      <c r="E10" s="16" t="s">
        <v>65</v>
      </c>
      <c r="F10" s="16" t="s">
        <v>141</v>
      </c>
      <c r="G10" s="24">
        <v>1400</v>
      </c>
      <c r="H10" s="17" t="s">
        <v>97</v>
      </c>
      <c r="I10" s="16">
        <v>1</v>
      </c>
      <c r="J10" s="17"/>
      <c r="L10" s="19">
        <f>SUMIFS($A$10:$A$400,$B$10:$B$400,"CH",$D$10:$D$400,"1")</f>
        <v>7</v>
      </c>
      <c r="M10" s="19" t="s">
        <v>19</v>
      </c>
      <c r="N10" s="19" t="s">
        <v>18</v>
      </c>
    </row>
    <row r="11" spans="1:14" s="18" customFormat="1" x14ac:dyDescent="0.3">
      <c r="A11" s="16">
        <v>5</v>
      </c>
      <c r="B11" s="16" t="s">
        <v>19</v>
      </c>
      <c r="C11" s="16">
        <v>70</v>
      </c>
      <c r="D11" s="16">
        <v>1</v>
      </c>
      <c r="E11" s="16" t="s">
        <v>65</v>
      </c>
      <c r="F11" s="16" t="s">
        <v>141</v>
      </c>
      <c r="G11" s="24"/>
      <c r="H11" s="17" t="s">
        <v>96</v>
      </c>
      <c r="I11" s="16">
        <v>4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80</v>
      </c>
      <c r="D12" s="16">
        <v>1</v>
      </c>
      <c r="E12" s="16" t="s">
        <v>65</v>
      </c>
      <c r="F12" s="16" t="s">
        <v>141</v>
      </c>
      <c r="G12" s="24"/>
      <c r="H12" s="17" t="s">
        <v>96</v>
      </c>
      <c r="I12" s="16">
        <v>4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2</v>
      </c>
      <c r="B13" s="16" t="s">
        <v>85</v>
      </c>
      <c r="C13" s="16">
        <v>280</v>
      </c>
      <c r="D13" s="16">
        <v>1</v>
      </c>
      <c r="E13" s="16" t="s">
        <v>65</v>
      </c>
      <c r="F13" s="16" t="s">
        <v>141</v>
      </c>
      <c r="G13" s="24"/>
      <c r="H13" s="17" t="s">
        <v>97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21</v>
      </c>
      <c r="C14" s="16">
        <v>140</v>
      </c>
      <c r="D14" s="16">
        <v>1</v>
      </c>
      <c r="E14" s="16" t="s">
        <v>65</v>
      </c>
      <c r="F14" s="16" t="s">
        <v>77</v>
      </c>
      <c r="G14" s="24"/>
      <c r="H14" s="17" t="s">
        <v>99</v>
      </c>
      <c r="I14" s="16">
        <v>3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67</v>
      </c>
      <c r="C15" s="16">
        <v>210</v>
      </c>
      <c r="D15" s="16">
        <v>1</v>
      </c>
      <c r="E15" s="16" t="s">
        <v>65</v>
      </c>
      <c r="F15" s="16" t="s">
        <v>77</v>
      </c>
      <c r="G15" s="24"/>
      <c r="H15" s="17" t="s">
        <v>84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2</v>
      </c>
      <c r="B16" s="16" t="s">
        <v>21</v>
      </c>
      <c r="C16" s="16">
        <v>70</v>
      </c>
      <c r="D16" s="16">
        <v>1</v>
      </c>
      <c r="E16" s="16" t="s">
        <v>65</v>
      </c>
      <c r="F16" s="16" t="s">
        <v>126</v>
      </c>
      <c r="G16" s="24"/>
      <c r="H16" s="17" t="s">
        <v>96</v>
      </c>
      <c r="I16" s="16">
        <v>4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19</v>
      </c>
      <c r="C17" s="16">
        <v>70</v>
      </c>
      <c r="D17" s="16">
        <v>1</v>
      </c>
      <c r="E17" s="16" t="s">
        <v>65</v>
      </c>
      <c r="F17" s="16" t="s">
        <v>126</v>
      </c>
      <c r="G17" s="24"/>
      <c r="H17" s="17" t="s">
        <v>96</v>
      </c>
      <c r="I17" s="16">
        <v>4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110</v>
      </c>
      <c r="D18" s="16">
        <v>1</v>
      </c>
      <c r="E18" s="16" t="s">
        <v>65</v>
      </c>
      <c r="F18" s="16" t="s">
        <v>77</v>
      </c>
      <c r="G18" s="24"/>
      <c r="H18" s="17" t="s">
        <v>99</v>
      </c>
      <c r="I18" s="16">
        <v>3</v>
      </c>
      <c r="J18" s="17"/>
      <c r="L18" s="19">
        <f>SUMIFS($A$10:$A$400,$B$10:$B$400,"CH",$D$10:$D$400,"9")</f>
        <v>1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67</v>
      </c>
      <c r="C19" s="16">
        <v>300</v>
      </c>
      <c r="D19" s="16">
        <v>1</v>
      </c>
      <c r="E19" s="16" t="s">
        <v>65</v>
      </c>
      <c r="F19" s="16" t="s">
        <v>77</v>
      </c>
      <c r="G19" s="24"/>
      <c r="H19" s="17" t="s">
        <v>84</v>
      </c>
      <c r="I19" s="16">
        <v>2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21</v>
      </c>
      <c r="C20" s="16">
        <v>70</v>
      </c>
      <c r="D20" s="16">
        <v>2</v>
      </c>
      <c r="E20" s="16" t="s">
        <v>72</v>
      </c>
      <c r="F20" s="16" t="s">
        <v>73</v>
      </c>
      <c r="G20" s="24"/>
      <c r="H20" s="17" t="s">
        <v>97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180</v>
      </c>
      <c r="D21" s="16">
        <v>2</v>
      </c>
      <c r="E21" s="16" t="s">
        <v>72</v>
      </c>
      <c r="F21" s="16" t="s">
        <v>73</v>
      </c>
      <c r="G21" s="24"/>
      <c r="H21" s="17" t="s">
        <v>97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85</v>
      </c>
      <c r="C22" s="16">
        <v>280</v>
      </c>
      <c r="D22" s="16">
        <v>2</v>
      </c>
      <c r="E22" s="16" t="s">
        <v>72</v>
      </c>
      <c r="F22" s="16" t="s">
        <v>77</v>
      </c>
      <c r="G22" s="24"/>
      <c r="H22" s="17" t="s">
        <v>99</v>
      </c>
      <c r="I22" s="16">
        <v>3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21</v>
      </c>
      <c r="C23" s="16">
        <v>110</v>
      </c>
      <c r="D23" s="16">
        <v>2</v>
      </c>
      <c r="E23" s="16" t="s">
        <v>72</v>
      </c>
      <c r="F23" s="16" t="s">
        <v>73</v>
      </c>
      <c r="G23" s="24"/>
      <c r="H23" s="17" t="s">
        <v>96</v>
      </c>
      <c r="I23" s="16">
        <v>4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85</v>
      </c>
      <c r="C24" s="16">
        <v>220</v>
      </c>
      <c r="D24" s="16">
        <v>2</v>
      </c>
      <c r="E24" s="16" t="s">
        <v>72</v>
      </c>
      <c r="F24" s="16" t="s">
        <v>121</v>
      </c>
      <c r="G24" s="24"/>
      <c r="H24" s="17" t="s">
        <v>84</v>
      </c>
      <c r="I24" s="16">
        <v>2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67</v>
      </c>
      <c r="C25" s="16">
        <v>250</v>
      </c>
      <c r="D25" s="16">
        <v>2</v>
      </c>
      <c r="E25" s="16" t="s">
        <v>72</v>
      </c>
      <c r="F25" s="16" t="s">
        <v>121</v>
      </c>
      <c r="G25" s="24"/>
      <c r="H25" s="17" t="s">
        <v>84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21</v>
      </c>
      <c r="C26" s="16">
        <v>180</v>
      </c>
      <c r="D26" s="16">
        <v>2</v>
      </c>
      <c r="E26" s="16" t="s">
        <v>72</v>
      </c>
      <c r="F26" s="16" t="s">
        <v>121</v>
      </c>
      <c r="G26" s="24"/>
      <c r="H26" s="17" t="s">
        <v>99</v>
      </c>
      <c r="I26" s="16">
        <v>3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0</v>
      </c>
      <c r="B27" s="16"/>
      <c r="C27" s="16"/>
      <c r="D27" s="16">
        <v>3</v>
      </c>
      <c r="E27" s="16" t="s">
        <v>71</v>
      </c>
      <c r="F27" s="16"/>
      <c r="G27" s="24"/>
      <c r="H27" s="17"/>
      <c r="I27" s="16"/>
      <c r="J27" s="17" t="s">
        <v>89</v>
      </c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21</v>
      </c>
      <c r="C28" s="16">
        <v>200</v>
      </c>
      <c r="D28" s="16">
        <v>4</v>
      </c>
      <c r="E28" s="16" t="s">
        <v>72</v>
      </c>
      <c r="F28" s="16" t="s">
        <v>141</v>
      </c>
      <c r="G28" s="24"/>
      <c r="H28" s="17" t="s">
        <v>97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85</v>
      </c>
      <c r="C29" s="16">
        <v>300</v>
      </c>
      <c r="D29" s="16">
        <v>4</v>
      </c>
      <c r="E29" s="16" t="s">
        <v>72</v>
      </c>
      <c r="F29" s="16" t="s">
        <v>141</v>
      </c>
      <c r="G29" s="24"/>
      <c r="H29" s="17" t="s">
        <v>97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21</v>
      </c>
      <c r="C30" s="16">
        <v>140</v>
      </c>
      <c r="D30" s="16">
        <v>4</v>
      </c>
      <c r="E30" s="16" t="s">
        <v>72</v>
      </c>
      <c r="F30" s="16" t="s">
        <v>77</v>
      </c>
      <c r="G30" s="24"/>
      <c r="H30" s="17" t="s">
        <v>97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21</v>
      </c>
      <c r="C31" s="16">
        <v>110</v>
      </c>
      <c r="D31" s="16">
        <v>4</v>
      </c>
      <c r="E31" s="16" t="s">
        <v>72</v>
      </c>
      <c r="F31" s="16" t="s">
        <v>126</v>
      </c>
      <c r="G31" s="24"/>
      <c r="H31" s="17" t="s">
        <v>96</v>
      </c>
      <c r="I31" s="16">
        <v>4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21</v>
      </c>
      <c r="C32" s="16">
        <v>220</v>
      </c>
      <c r="D32" s="16">
        <v>4</v>
      </c>
      <c r="E32" s="16" t="s">
        <v>72</v>
      </c>
      <c r="F32" s="16" t="s">
        <v>126</v>
      </c>
      <c r="G32" s="24"/>
      <c r="H32" s="17" t="s">
        <v>97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2</v>
      </c>
      <c r="B33" s="16" t="s">
        <v>21</v>
      </c>
      <c r="C33" s="16">
        <v>160</v>
      </c>
      <c r="D33" s="16">
        <v>4</v>
      </c>
      <c r="E33" s="16" t="s">
        <v>72</v>
      </c>
      <c r="F33" s="16" t="s">
        <v>126</v>
      </c>
      <c r="G33" s="24"/>
      <c r="H33" s="17" t="s">
        <v>96</v>
      </c>
      <c r="I33" s="16">
        <v>4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1</v>
      </c>
      <c r="B34" s="16" t="s">
        <v>21</v>
      </c>
      <c r="C34" s="16">
        <v>110</v>
      </c>
      <c r="D34" s="16">
        <v>4</v>
      </c>
      <c r="E34" s="16" t="s">
        <v>72</v>
      </c>
      <c r="F34" s="16" t="s">
        <v>142</v>
      </c>
      <c r="G34" s="24"/>
      <c r="H34" s="17" t="s">
        <v>96</v>
      </c>
      <c r="I34" s="16">
        <v>4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21</v>
      </c>
      <c r="C35" s="16">
        <v>140</v>
      </c>
      <c r="D35" s="16">
        <v>4</v>
      </c>
      <c r="E35" s="16" t="s">
        <v>72</v>
      </c>
      <c r="F35" s="16" t="s">
        <v>77</v>
      </c>
      <c r="G35" s="24"/>
      <c r="H35" s="17" t="s">
        <v>84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0</v>
      </c>
      <c r="B36" s="16"/>
      <c r="C36" s="16"/>
      <c r="D36" s="16">
        <v>5</v>
      </c>
      <c r="E36" s="16" t="s">
        <v>65</v>
      </c>
      <c r="F36" s="16"/>
      <c r="G36" s="24"/>
      <c r="H36" s="17"/>
      <c r="I36" s="16"/>
      <c r="J36" s="17" t="s">
        <v>89</v>
      </c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2</v>
      </c>
      <c r="B37" s="16" t="s">
        <v>85</v>
      </c>
      <c r="C37" s="16">
        <v>250</v>
      </c>
      <c r="D37" s="16">
        <v>6</v>
      </c>
      <c r="E37" s="16" t="s">
        <v>72</v>
      </c>
      <c r="F37" s="16" t="s">
        <v>77</v>
      </c>
      <c r="G37" s="24"/>
      <c r="H37" s="17" t="s">
        <v>84</v>
      </c>
      <c r="I37" s="16">
        <v>2</v>
      </c>
      <c r="J37" s="17" t="s">
        <v>143</v>
      </c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21</v>
      </c>
      <c r="C38" s="16">
        <v>110</v>
      </c>
      <c r="D38" s="16">
        <v>6</v>
      </c>
      <c r="E38" s="16" t="s">
        <v>72</v>
      </c>
      <c r="F38" s="16" t="s">
        <v>66</v>
      </c>
      <c r="G38" s="24"/>
      <c r="H38" s="17" t="s">
        <v>99</v>
      </c>
      <c r="I38" s="16">
        <v>3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2</v>
      </c>
      <c r="B39" s="16" t="s">
        <v>21</v>
      </c>
      <c r="C39" s="16">
        <v>200</v>
      </c>
      <c r="D39" s="16">
        <v>6</v>
      </c>
      <c r="E39" s="16" t="s">
        <v>72</v>
      </c>
      <c r="F39" s="16" t="s">
        <v>77</v>
      </c>
      <c r="G39" s="24"/>
      <c r="H39" s="17" t="s">
        <v>84</v>
      </c>
      <c r="I39" s="16">
        <v>2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250</v>
      </c>
      <c r="D40" s="16">
        <v>6</v>
      </c>
      <c r="E40" s="16" t="s">
        <v>72</v>
      </c>
      <c r="F40" s="16" t="s">
        <v>77</v>
      </c>
      <c r="G40" s="24"/>
      <c r="H40" s="17" t="s">
        <v>84</v>
      </c>
      <c r="I40" s="16">
        <v>2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21</v>
      </c>
      <c r="C41" s="16">
        <v>100</v>
      </c>
      <c r="D41" s="16">
        <v>6</v>
      </c>
      <c r="E41" s="16" t="s">
        <v>72</v>
      </c>
      <c r="F41" s="16" t="s">
        <v>66</v>
      </c>
      <c r="G41" s="24"/>
      <c r="H41" s="17" t="s">
        <v>99</v>
      </c>
      <c r="I41" s="16">
        <v>3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</v>
      </c>
      <c r="B42" s="16" t="s">
        <v>21</v>
      </c>
      <c r="C42" s="16">
        <v>150</v>
      </c>
      <c r="D42" s="16">
        <v>6</v>
      </c>
      <c r="E42" s="16" t="s">
        <v>72</v>
      </c>
      <c r="F42" s="16" t="s">
        <v>126</v>
      </c>
      <c r="G42" s="24"/>
      <c r="H42" s="17" t="s">
        <v>96</v>
      </c>
      <c r="I42" s="16">
        <v>4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21</v>
      </c>
      <c r="C43" s="16">
        <v>90</v>
      </c>
      <c r="D43" s="16">
        <v>6</v>
      </c>
      <c r="E43" s="16" t="s">
        <v>72</v>
      </c>
      <c r="F43" s="16" t="s">
        <v>126</v>
      </c>
      <c r="G43" s="24"/>
      <c r="H43" s="17" t="s">
        <v>97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21</v>
      </c>
      <c r="C44" s="16">
        <v>110</v>
      </c>
      <c r="D44" s="16">
        <v>6</v>
      </c>
      <c r="E44" s="16" t="s">
        <v>72</v>
      </c>
      <c r="F44" s="16" t="s">
        <v>126</v>
      </c>
      <c r="G44" s="24"/>
      <c r="H44" s="17" t="s">
        <v>96</v>
      </c>
      <c r="I44" s="16">
        <v>4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21</v>
      </c>
      <c r="C45" s="16">
        <v>200</v>
      </c>
      <c r="D45" s="16">
        <v>6</v>
      </c>
      <c r="E45" s="16" t="s">
        <v>72</v>
      </c>
      <c r="F45" s="16" t="s">
        <v>66</v>
      </c>
      <c r="G45" s="24"/>
      <c r="H45" s="17" t="s">
        <v>99</v>
      </c>
      <c r="I45" s="16">
        <v>3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21</v>
      </c>
      <c r="C46" s="16">
        <v>120</v>
      </c>
      <c r="D46" s="16">
        <v>7</v>
      </c>
      <c r="E46" s="16" t="s">
        <v>65</v>
      </c>
      <c r="F46" s="16" t="s">
        <v>77</v>
      </c>
      <c r="G46" s="24"/>
      <c r="H46" s="17" t="s">
        <v>99</v>
      </c>
      <c r="I46" s="16">
        <v>3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3</v>
      </c>
      <c r="B47" s="16" t="s">
        <v>21</v>
      </c>
      <c r="C47" s="16">
        <v>120</v>
      </c>
      <c r="D47" s="16">
        <v>7</v>
      </c>
      <c r="E47" s="16" t="s">
        <v>65</v>
      </c>
      <c r="F47" s="16" t="s">
        <v>126</v>
      </c>
      <c r="G47" s="24"/>
      <c r="H47" s="17" t="s">
        <v>96</v>
      </c>
      <c r="I47" s="16">
        <v>4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85</v>
      </c>
      <c r="C48" s="16">
        <v>280</v>
      </c>
      <c r="D48" s="16">
        <v>7</v>
      </c>
      <c r="E48" s="16" t="s">
        <v>65</v>
      </c>
      <c r="F48" s="16" t="s">
        <v>77</v>
      </c>
      <c r="G48" s="24"/>
      <c r="H48" s="17" t="s">
        <v>99</v>
      </c>
      <c r="I48" s="16">
        <v>3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2</v>
      </c>
      <c r="B49" s="16" t="s">
        <v>21</v>
      </c>
      <c r="C49" s="16">
        <v>110</v>
      </c>
      <c r="D49" s="16">
        <v>7</v>
      </c>
      <c r="E49" s="16" t="s">
        <v>65</v>
      </c>
      <c r="F49" s="16" t="s">
        <v>126</v>
      </c>
      <c r="G49" s="24"/>
      <c r="H49" s="17" t="s">
        <v>96</v>
      </c>
      <c r="I49" s="16">
        <v>4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21</v>
      </c>
      <c r="C50" s="16">
        <v>130</v>
      </c>
      <c r="D50" s="16">
        <v>7</v>
      </c>
      <c r="E50" s="16" t="s">
        <v>65</v>
      </c>
      <c r="F50" s="16" t="s">
        <v>126</v>
      </c>
      <c r="G50" s="24"/>
      <c r="H50" s="17" t="s">
        <v>96</v>
      </c>
      <c r="I50" s="16">
        <v>4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250</v>
      </c>
      <c r="D51" s="16">
        <v>7</v>
      </c>
      <c r="E51" s="16" t="s">
        <v>65</v>
      </c>
      <c r="F51" s="16" t="s">
        <v>126</v>
      </c>
      <c r="G51" s="24"/>
      <c r="H51" s="17" t="s">
        <v>97</v>
      </c>
      <c r="I51" s="16">
        <v>1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3</v>
      </c>
      <c r="B52" s="16" t="s">
        <v>85</v>
      </c>
      <c r="C52" s="16">
        <v>280</v>
      </c>
      <c r="D52" s="16">
        <v>7</v>
      </c>
      <c r="E52" s="16" t="s">
        <v>65</v>
      </c>
      <c r="F52" s="16" t="s">
        <v>121</v>
      </c>
      <c r="G52" s="24"/>
      <c r="H52" s="17" t="s">
        <v>99</v>
      </c>
      <c r="I52" s="16">
        <v>3</v>
      </c>
      <c r="J52" s="17"/>
      <c r="L52" s="19">
        <f>SUM(L10:L51)</f>
        <v>8</v>
      </c>
      <c r="M52" s="19"/>
      <c r="N52" s="19"/>
    </row>
    <row r="53" spans="1:14" s="18" customFormat="1" x14ac:dyDescent="0.3">
      <c r="A53" s="16">
        <v>1</v>
      </c>
      <c r="B53" s="16" t="s">
        <v>21</v>
      </c>
      <c r="C53" s="16">
        <v>120</v>
      </c>
      <c r="D53" s="16">
        <v>8</v>
      </c>
      <c r="E53" s="16" t="s">
        <v>72</v>
      </c>
      <c r="F53" s="16" t="s">
        <v>144</v>
      </c>
      <c r="G53" s="24"/>
      <c r="H53" s="17" t="s">
        <v>96</v>
      </c>
      <c r="I53" s="16">
        <v>4</v>
      </c>
      <c r="J53" s="17" t="s">
        <v>145</v>
      </c>
      <c r="L53" s="19"/>
      <c r="M53" s="19"/>
      <c r="N53" s="19"/>
    </row>
    <row r="54" spans="1:14" s="18" customFormat="1" x14ac:dyDescent="0.3">
      <c r="A54" s="16">
        <v>2</v>
      </c>
      <c r="B54" s="16" t="s">
        <v>85</v>
      </c>
      <c r="C54" s="16">
        <v>300</v>
      </c>
      <c r="D54" s="16">
        <v>8</v>
      </c>
      <c r="E54" s="16" t="s">
        <v>72</v>
      </c>
      <c r="F54" s="16" t="s">
        <v>126</v>
      </c>
      <c r="G54" s="24"/>
      <c r="H54" s="17" t="s">
        <v>96</v>
      </c>
      <c r="I54" s="16">
        <v>4</v>
      </c>
      <c r="J54" s="17"/>
      <c r="L54" s="19">
        <f>SUMIFS($A$10:$A$400,$B$10:$B$400,"RT",$D$10:$D$400,"1")</f>
        <v>5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19</v>
      </c>
      <c r="C55" s="16">
        <v>80</v>
      </c>
      <c r="D55" s="16">
        <v>9</v>
      </c>
      <c r="E55" s="16" t="s">
        <v>65</v>
      </c>
      <c r="F55" s="16" t="s">
        <v>126</v>
      </c>
      <c r="G55" s="24"/>
      <c r="H55" s="17" t="s">
        <v>96</v>
      </c>
      <c r="I55" s="16">
        <v>4</v>
      </c>
      <c r="J55" s="17" t="s">
        <v>146</v>
      </c>
      <c r="L55" s="19">
        <f>SUMIFS($A$10:$A$400,$B$10:$B$400,"RT",$D$10:$D$400,"2")</f>
        <v>4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21</v>
      </c>
      <c r="C56" s="16">
        <v>120</v>
      </c>
      <c r="D56" s="16">
        <v>9</v>
      </c>
      <c r="E56" s="16" t="s">
        <v>65</v>
      </c>
      <c r="F56" s="16" t="s">
        <v>126</v>
      </c>
      <c r="G56" s="24"/>
      <c r="H56" s="17" t="s">
        <v>96</v>
      </c>
      <c r="I56" s="16">
        <v>4</v>
      </c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68</v>
      </c>
      <c r="C57" s="16">
        <v>40</v>
      </c>
      <c r="D57" s="16">
        <v>9</v>
      </c>
      <c r="E57" s="16" t="s">
        <v>65</v>
      </c>
      <c r="F57" s="16" t="s">
        <v>126</v>
      </c>
      <c r="G57" s="24"/>
      <c r="H57" s="17" t="s">
        <v>96</v>
      </c>
      <c r="I57" s="16">
        <v>4</v>
      </c>
      <c r="J57" s="17"/>
      <c r="L57" s="19">
        <f>SUMIFS($A$10:$A$400,$B$10:$B$400,"RT",$D$10:$D$400,"4")</f>
        <v>8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85</v>
      </c>
      <c r="C58" s="16">
        <v>300</v>
      </c>
      <c r="D58" s="16">
        <v>9</v>
      </c>
      <c r="E58" s="16" t="s">
        <v>65</v>
      </c>
      <c r="F58" s="16" t="s">
        <v>126</v>
      </c>
      <c r="G58" s="24"/>
      <c r="H58" s="17" t="s">
        <v>97</v>
      </c>
      <c r="I58" s="16">
        <v>1</v>
      </c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67</v>
      </c>
      <c r="C59" s="16">
        <v>180</v>
      </c>
      <c r="D59" s="16">
        <v>9</v>
      </c>
      <c r="E59" s="16" t="s">
        <v>65</v>
      </c>
      <c r="F59" s="16" t="s">
        <v>147</v>
      </c>
      <c r="G59" s="24"/>
      <c r="H59" s="17" t="s">
        <v>99</v>
      </c>
      <c r="I59" s="16">
        <v>3</v>
      </c>
      <c r="J59" s="17"/>
      <c r="L59" s="19">
        <f>SUMIFS($A$10:$A$400,$B$10:$B$400,"RT",$D$10:$D$400,"6")</f>
        <v>9</v>
      </c>
      <c r="M59" s="19" t="s">
        <v>21</v>
      </c>
      <c r="N59" s="19" t="s">
        <v>28</v>
      </c>
    </row>
    <row r="60" spans="1:14" s="18" customFormat="1" x14ac:dyDescent="0.3">
      <c r="A60" s="16">
        <v>1</v>
      </c>
      <c r="B60" s="16" t="s">
        <v>21</v>
      </c>
      <c r="C60" s="16">
        <v>140</v>
      </c>
      <c r="D60" s="16">
        <v>9</v>
      </c>
      <c r="E60" s="16" t="s">
        <v>65</v>
      </c>
      <c r="F60" s="16" t="s">
        <v>66</v>
      </c>
      <c r="G60" s="24"/>
      <c r="H60" s="17" t="s">
        <v>99</v>
      </c>
      <c r="I60" s="16">
        <v>3</v>
      </c>
      <c r="J60" s="17"/>
      <c r="L60" s="19">
        <f>SUMIFS($A$10:$A$400,$B$10:$B$400,"RT",$D$10:$D$400,"7")</f>
        <v>8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21</v>
      </c>
      <c r="C61" s="16">
        <v>120</v>
      </c>
      <c r="D61" s="16">
        <v>9</v>
      </c>
      <c r="E61" s="16" t="s">
        <v>65</v>
      </c>
      <c r="F61" s="16" t="s">
        <v>126</v>
      </c>
      <c r="G61" s="24"/>
      <c r="H61" s="17" t="s">
        <v>96</v>
      </c>
      <c r="I61" s="16">
        <v>4</v>
      </c>
      <c r="J61" s="17"/>
      <c r="L61" s="19">
        <f>SUMIFS($A$10:$A$400,$B$10:$B$400,"RT",$D$10:$D$400,"8")</f>
        <v>1</v>
      </c>
      <c r="M61" s="19" t="s">
        <v>21</v>
      </c>
      <c r="N61" s="19" t="s">
        <v>30</v>
      </c>
    </row>
    <row r="62" spans="1:14" s="18" customFormat="1" x14ac:dyDescent="0.3">
      <c r="A62" s="16">
        <v>1</v>
      </c>
      <c r="B62" s="16" t="s">
        <v>21</v>
      </c>
      <c r="C62" s="16">
        <v>150</v>
      </c>
      <c r="D62" s="16">
        <v>9</v>
      </c>
      <c r="E62" s="16" t="s">
        <v>65</v>
      </c>
      <c r="F62" s="16" t="s">
        <v>126</v>
      </c>
      <c r="G62" s="24"/>
      <c r="H62" s="17" t="s">
        <v>96</v>
      </c>
      <c r="I62" s="16">
        <v>4</v>
      </c>
      <c r="J62" s="17"/>
      <c r="L62" s="19">
        <f>SUMIFS($A$10:$A$400,$B$10:$B$400,"RT",$D$10:$D$400,"9")</f>
        <v>5</v>
      </c>
      <c r="M62" s="19" t="s">
        <v>21</v>
      </c>
      <c r="N62" s="19" t="s">
        <v>31</v>
      </c>
    </row>
    <row r="63" spans="1:14" s="18" customFormat="1" x14ac:dyDescent="0.3">
      <c r="A63" s="16">
        <v>1</v>
      </c>
      <c r="B63" s="16" t="s">
        <v>85</v>
      </c>
      <c r="C63" s="16">
        <v>280</v>
      </c>
      <c r="D63" s="16">
        <v>9</v>
      </c>
      <c r="E63" s="16" t="s">
        <v>65</v>
      </c>
      <c r="F63" s="16" t="s">
        <v>126</v>
      </c>
      <c r="G63" s="24"/>
      <c r="H63" s="17" t="s">
        <v>97</v>
      </c>
      <c r="I63" s="16">
        <v>1</v>
      </c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>
        <v>1</v>
      </c>
      <c r="B64" s="16" t="s">
        <v>85</v>
      </c>
      <c r="C64" s="16">
        <v>300</v>
      </c>
      <c r="D64" s="16">
        <v>9</v>
      </c>
      <c r="E64" s="16" t="s">
        <v>65</v>
      </c>
      <c r="F64" s="16" t="s">
        <v>77</v>
      </c>
      <c r="G64" s="24"/>
      <c r="H64" s="17" t="s">
        <v>99</v>
      </c>
      <c r="I64" s="16">
        <v>3</v>
      </c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>
        <v>1</v>
      </c>
      <c r="B65" s="16" t="s">
        <v>21</v>
      </c>
      <c r="C65" s="16">
        <v>150</v>
      </c>
      <c r="D65" s="16">
        <v>9</v>
      </c>
      <c r="E65" s="16" t="s">
        <v>65</v>
      </c>
      <c r="F65" s="16" t="s">
        <v>77</v>
      </c>
      <c r="G65" s="24">
        <v>1509</v>
      </c>
      <c r="H65" s="17" t="s">
        <v>97</v>
      </c>
      <c r="I65" s="16">
        <v>1</v>
      </c>
      <c r="J65" s="17" t="s">
        <v>148</v>
      </c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40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86</v>
      </c>
      <c r="E2" s="4"/>
    </row>
    <row r="3" spans="1:14" x14ac:dyDescent="0.3">
      <c r="A3" s="6" t="s">
        <v>2</v>
      </c>
      <c r="B3" s="7">
        <v>851</v>
      </c>
      <c r="E3" s="4"/>
    </row>
    <row r="4" spans="1:14" x14ac:dyDescent="0.3">
      <c r="A4" s="6" t="s">
        <v>3</v>
      </c>
      <c r="B4" s="8">
        <v>42997</v>
      </c>
      <c r="E4" s="4"/>
    </row>
    <row r="5" spans="1:14" x14ac:dyDescent="0.3">
      <c r="A5" s="6" t="s">
        <v>4</v>
      </c>
      <c r="B5" s="7" t="s">
        <v>203</v>
      </c>
      <c r="E5" s="4"/>
    </row>
    <row r="6" spans="1:14" x14ac:dyDescent="0.3">
      <c r="A6" s="9" t="s">
        <v>1</v>
      </c>
      <c r="B6" s="10">
        <v>1.5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149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68</v>
      </c>
      <c r="C10" s="16">
        <v>30</v>
      </c>
      <c r="D10" s="16">
        <v>1</v>
      </c>
      <c r="E10" s="16" t="s">
        <v>72</v>
      </c>
      <c r="F10" s="16" t="s">
        <v>73</v>
      </c>
      <c r="G10" s="24">
        <v>1200</v>
      </c>
      <c r="H10" s="17" t="s">
        <v>84</v>
      </c>
      <c r="I10" s="16">
        <v>1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19</v>
      </c>
      <c r="C11" s="16">
        <v>80</v>
      </c>
      <c r="D11" s="16">
        <v>2</v>
      </c>
      <c r="E11" s="16" t="s">
        <v>65</v>
      </c>
      <c r="F11" s="16"/>
      <c r="G11" s="24"/>
      <c r="H11" s="17" t="s">
        <v>96</v>
      </c>
      <c r="I11" s="16">
        <v>2</v>
      </c>
      <c r="J11" s="17"/>
      <c r="L11" s="19">
        <f>SUMIFS($A$10:$A$400,$B$10:$B$400,"CH",$D$10:$D$400,"2")</f>
        <v>1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100</v>
      </c>
      <c r="D12" s="16">
        <v>3</v>
      </c>
      <c r="E12" s="16" t="s">
        <v>71</v>
      </c>
      <c r="F12" s="16" t="s">
        <v>73</v>
      </c>
      <c r="G12" s="24"/>
      <c r="H12" s="17" t="s">
        <v>97</v>
      </c>
      <c r="I12" s="16">
        <v>4</v>
      </c>
      <c r="J12" s="17"/>
      <c r="L12" s="19">
        <f>SUMIFS($A$10:$A$400,$B$10:$B$400,"CH",$D$10:$D$400,"3")</f>
        <v>1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68</v>
      </c>
      <c r="C13" s="16">
        <v>50</v>
      </c>
      <c r="D13" s="16">
        <v>4</v>
      </c>
      <c r="E13" s="16" t="s">
        <v>65</v>
      </c>
      <c r="F13" s="16" t="s">
        <v>77</v>
      </c>
      <c r="G13" s="24"/>
      <c r="H13" s="17" t="s">
        <v>84</v>
      </c>
      <c r="I13" s="16">
        <v>1</v>
      </c>
      <c r="J13" s="17"/>
      <c r="L13" s="19">
        <f>SUMIFS($A$10:$A$400,$B$10:$B$400,"CH",$D$10:$D$400,"4")</f>
        <v>1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19</v>
      </c>
      <c r="C14" s="16">
        <v>90</v>
      </c>
      <c r="D14" s="16">
        <v>4</v>
      </c>
      <c r="E14" s="16" t="s">
        <v>65</v>
      </c>
      <c r="F14" s="16" t="s">
        <v>77</v>
      </c>
      <c r="G14" s="24"/>
      <c r="H14" s="17" t="s">
        <v>96</v>
      </c>
      <c r="I14" s="16">
        <v>2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85</v>
      </c>
      <c r="C15" s="16">
        <v>250</v>
      </c>
      <c r="D15" s="16">
        <v>5</v>
      </c>
      <c r="E15" s="16" t="s">
        <v>72</v>
      </c>
      <c r="F15" s="16" t="s">
        <v>77</v>
      </c>
      <c r="G15" s="24"/>
      <c r="H15" s="17" t="s">
        <v>96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0</v>
      </c>
      <c r="B16" s="16"/>
      <c r="C16" s="16"/>
      <c r="D16" s="16">
        <v>6</v>
      </c>
      <c r="E16" s="16" t="s">
        <v>65</v>
      </c>
      <c r="F16" s="16"/>
      <c r="G16" s="24"/>
      <c r="H16" s="17"/>
      <c r="I16" s="16"/>
      <c r="J16" s="17" t="s">
        <v>89</v>
      </c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0</v>
      </c>
      <c r="B17" s="16"/>
      <c r="C17" s="16"/>
      <c r="D17" s="16">
        <v>7</v>
      </c>
      <c r="E17" s="16" t="s">
        <v>72</v>
      </c>
      <c r="F17" s="16"/>
      <c r="G17" s="24"/>
      <c r="H17" s="17"/>
      <c r="I17" s="16"/>
      <c r="J17" s="17" t="s">
        <v>89</v>
      </c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/>
      <c r="B18" s="16"/>
      <c r="C18" s="16"/>
      <c r="D18" s="16"/>
      <c r="E18" s="16"/>
      <c r="F18" s="16"/>
      <c r="G18" s="24"/>
      <c r="H18" s="17"/>
      <c r="I18" s="16"/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/>
      <c r="B19" s="16"/>
      <c r="C19" s="16"/>
      <c r="D19" s="16"/>
      <c r="E19" s="16"/>
      <c r="F19" s="16"/>
      <c r="G19" s="24"/>
      <c r="H19" s="17"/>
      <c r="I19" s="16"/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/>
      <c r="B20" s="16"/>
      <c r="C20" s="16"/>
      <c r="D20" s="16"/>
      <c r="E20" s="16"/>
      <c r="F20" s="16"/>
      <c r="G20" s="24"/>
      <c r="H20" s="17"/>
      <c r="I20" s="16"/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/>
      <c r="B21" s="16"/>
      <c r="C21" s="16"/>
      <c r="D21" s="16"/>
      <c r="E21" s="16"/>
      <c r="F21" s="16"/>
      <c r="G21" s="24"/>
      <c r="H21" s="17"/>
      <c r="I21" s="16"/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/>
      <c r="B22" s="16"/>
      <c r="C22" s="16"/>
      <c r="D22" s="16"/>
      <c r="E22" s="16"/>
      <c r="F22" s="16"/>
      <c r="G22" s="24"/>
      <c r="H22" s="17"/>
      <c r="I22" s="16"/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/>
      <c r="B23" s="16"/>
      <c r="C23" s="16"/>
      <c r="D23" s="16"/>
      <c r="E23" s="16"/>
      <c r="F23" s="16"/>
      <c r="G23" s="24"/>
      <c r="H23" s="17"/>
      <c r="I23" s="16"/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/>
      <c r="B24" s="16"/>
      <c r="C24" s="16"/>
      <c r="D24" s="16"/>
      <c r="E24" s="16"/>
      <c r="F24" s="16"/>
      <c r="G24" s="24"/>
      <c r="H24" s="17"/>
      <c r="I24" s="16"/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/>
      <c r="B25" s="16"/>
      <c r="C25" s="16"/>
      <c r="D25" s="16"/>
      <c r="E25" s="16"/>
      <c r="F25" s="16"/>
      <c r="G25" s="24"/>
      <c r="H25" s="17"/>
      <c r="I25" s="16"/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/>
      <c r="B26" s="16"/>
      <c r="C26" s="16"/>
      <c r="D26" s="16"/>
      <c r="E26" s="16"/>
      <c r="F26" s="16"/>
      <c r="G26" s="24"/>
      <c r="H26" s="17"/>
      <c r="I26" s="16"/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/>
      <c r="B27" s="16"/>
      <c r="C27" s="16"/>
      <c r="D27" s="16"/>
      <c r="E27" s="16"/>
      <c r="F27" s="16"/>
      <c r="G27" s="24"/>
      <c r="H27" s="17"/>
      <c r="I27" s="16"/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/>
      <c r="E28" s="16"/>
      <c r="F28" s="16"/>
      <c r="G28" s="24"/>
      <c r="H28" s="17"/>
      <c r="I28" s="16"/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3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/>
      <c r="E2" s="4"/>
    </row>
    <row r="3" spans="1:14" x14ac:dyDescent="0.3">
      <c r="A3" s="6" t="s">
        <v>2</v>
      </c>
      <c r="B3" s="7">
        <v>1013</v>
      </c>
      <c r="E3" s="4"/>
    </row>
    <row r="4" spans="1:14" x14ac:dyDescent="0.3">
      <c r="A4" s="6" t="s">
        <v>3</v>
      </c>
      <c r="B4" s="8">
        <v>43004</v>
      </c>
      <c r="E4" s="4"/>
    </row>
    <row r="5" spans="1:14" x14ac:dyDescent="0.3">
      <c r="A5" s="6" t="s">
        <v>4</v>
      </c>
      <c r="B5" s="7" t="s">
        <v>202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123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12</v>
      </c>
      <c r="B10" s="16" t="s">
        <v>19</v>
      </c>
      <c r="C10" s="16">
        <v>70</v>
      </c>
      <c r="D10" s="16">
        <v>1</v>
      </c>
      <c r="E10" s="16" t="s">
        <v>71</v>
      </c>
      <c r="F10" s="16" t="s">
        <v>77</v>
      </c>
      <c r="G10" s="24">
        <v>1501</v>
      </c>
      <c r="H10" s="17" t="s">
        <v>96</v>
      </c>
      <c r="I10" s="16">
        <v>2</v>
      </c>
      <c r="J10" s="17"/>
      <c r="L10" s="19">
        <f>SUMIFS($A$10:$A$400,$B$10:$B$400,"CH",$D$10:$D$400,"1")</f>
        <v>18</v>
      </c>
      <c r="M10" s="19" t="s">
        <v>19</v>
      </c>
      <c r="N10" s="19" t="s">
        <v>18</v>
      </c>
    </row>
    <row r="11" spans="1:14" s="18" customFormat="1" x14ac:dyDescent="0.3">
      <c r="A11" s="16">
        <v>6</v>
      </c>
      <c r="B11" s="16" t="s">
        <v>85</v>
      </c>
      <c r="C11" s="16">
        <v>70</v>
      </c>
      <c r="D11" s="16">
        <v>1</v>
      </c>
      <c r="E11" s="16" t="s">
        <v>71</v>
      </c>
      <c r="F11" s="16" t="s">
        <v>77</v>
      </c>
      <c r="G11" s="24"/>
      <c r="H11" s="17" t="s">
        <v>96</v>
      </c>
      <c r="I11" s="16">
        <v>2</v>
      </c>
      <c r="J11" s="17"/>
      <c r="L11" s="19">
        <f>SUMIFS($A$10:$A$400,$B$10:$B$400,"CH",$D$10:$D$400,"2")</f>
        <v>40</v>
      </c>
      <c r="M11" s="19" t="s">
        <v>19</v>
      </c>
      <c r="N11" s="19" t="s">
        <v>22</v>
      </c>
    </row>
    <row r="12" spans="1:14" s="18" customFormat="1" x14ac:dyDescent="0.3">
      <c r="A12" s="16">
        <v>6</v>
      </c>
      <c r="B12" s="16" t="s">
        <v>19</v>
      </c>
      <c r="C12" s="16">
        <v>70</v>
      </c>
      <c r="D12" s="16">
        <v>1</v>
      </c>
      <c r="E12" s="16" t="s">
        <v>71</v>
      </c>
      <c r="F12" s="16" t="s">
        <v>77</v>
      </c>
      <c r="G12" s="24"/>
      <c r="H12" s="17" t="s">
        <v>96</v>
      </c>
      <c r="I12" s="16">
        <v>2</v>
      </c>
      <c r="J12" s="17"/>
      <c r="L12" s="19">
        <f>SUMIFS($A$10:$A$400,$B$10:$B$400,"CH",$D$10:$D$400,"3")</f>
        <v>18</v>
      </c>
      <c r="M12" s="19" t="s">
        <v>19</v>
      </c>
      <c r="N12" s="19" t="s">
        <v>24</v>
      </c>
    </row>
    <row r="13" spans="1:14" s="18" customFormat="1" x14ac:dyDescent="0.3">
      <c r="A13" s="16">
        <v>8</v>
      </c>
      <c r="B13" s="16" t="s">
        <v>85</v>
      </c>
      <c r="C13" s="16">
        <v>70</v>
      </c>
      <c r="D13" s="16">
        <v>1</v>
      </c>
      <c r="E13" s="16" t="s">
        <v>71</v>
      </c>
      <c r="F13" s="16" t="s">
        <v>77</v>
      </c>
      <c r="G13" s="24"/>
      <c r="H13" s="17" t="s">
        <v>96</v>
      </c>
      <c r="I13" s="16">
        <v>2</v>
      </c>
      <c r="J13" s="17"/>
      <c r="L13" s="19">
        <f>SUMIFS($A$10:$A$400,$B$10:$B$400,"CH",$D$10:$D$400,"4")</f>
        <v>245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85</v>
      </c>
      <c r="C14" s="16">
        <v>50</v>
      </c>
      <c r="D14" s="16">
        <v>2</v>
      </c>
      <c r="E14" s="16" t="s">
        <v>65</v>
      </c>
      <c r="F14" s="16" t="s">
        <v>73</v>
      </c>
      <c r="G14" s="24"/>
      <c r="H14" s="17" t="s">
        <v>99</v>
      </c>
      <c r="I14" s="16">
        <v>1</v>
      </c>
      <c r="J14" s="17"/>
      <c r="L14" s="19">
        <f>SUMIFS($A$10:$A$400,$B$10:$B$400,"CH",$D$10:$D$400,"5")</f>
        <v>23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21</v>
      </c>
      <c r="C15" s="16">
        <v>75</v>
      </c>
      <c r="D15" s="16">
        <v>2</v>
      </c>
      <c r="E15" s="16" t="s">
        <v>65</v>
      </c>
      <c r="F15" s="16" t="s">
        <v>73</v>
      </c>
      <c r="G15" s="24"/>
      <c r="H15" s="17" t="s">
        <v>99</v>
      </c>
      <c r="I15" s="16">
        <v>1</v>
      </c>
      <c r="J15" s="17"/>
      <c r="L15" s="19">
        <f>SUMIFS($A$10:$A$400,$B$10:$B$400,"CH",$D$10:$D$400,"6")</f>
        <v>1</v>
      </c>
      <c r="M15" s="19" t="s">
        <v>19</v>
      </c>
      <c r="N15" s="19" t="s">
        <v>28</v>
      </c>
    </row>
    <row r="16" spans="1:14" s="18" customFormat="1" x14ac:dyDescent="0.3">
      <c r="A16" s="16">
        <v>12</v>
      </c>
      <c r="B16" s="16" t="s">
        <v>85</v>
      </c>
      <c r="C16" s="16">
        <v>70</v>
      </c>
      <c r="D16" s="16">
        <v>2</v>
      </c>
      <c r="E16" s="16" t="s">
        <v>65</v>
      </c>
      <c r="F16" s="16" t="s">
        <v>77</v>
      </c>
      <c r="G16" s="24"/>
      <c r="H16" s="17" t="s">
        <v>96</v>
      </c>
      <c r="I16" s="16">
        <v>2</v>
      </c>
      <c r="J16" s="17"/>
      <c r="L16" s="19">
        <f>SUMIFS($A$10:$A$400,$B$10:$B$400,"CH",$D$10:$D$400,"7")</f>
        <v>1</v>
      </c>
      <c r="M16" s="19" t="s">
        <v>19</v>
      </c>
      <c r="N16" s="19" t="s">
        <v>29</v>
      </c>
    </row>
    <row r="17" spans="1:14" s="18" customFormat="1" x14ac:dyDescent="0.3">
      <c r="A17" s="16">
        <v>27</v>
      </c>
      <c r="B17" s="16" t="s">
        <v>19</v>
      </c>
      <c r="C17" s="16">
        <v>70</v>
      </c>
      <c r="D17" s="16">
        <v>2</v>
      </c>
      <c r="E17" s="16" t="s">
        <v>65</v>
      </c>
      <c r="F17" s="16" t="s">
        <v>77</v>
      </c>
      <c r="G17" s="24"/>
      <c r="H17" s="17" t="s">
        <v>96</v>
      </c>
      <c r="I17" s="16">
        <v>2</v>
      </c>
      <c r="J17" s="17"/>
      <c r="L17" s="19">
        <f>SUMIFS($A$10:$A$400,$B$10:$B$400,"CH",$D$10:$D$400,"8")</f>
        <v>100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70</v>
      </c>
      <c r="D18" s="16">
        <v>2</v>
      </c>
      <c r="E18" s="16" t="s">
        <v>65</v>
      </c>
      <c r="F18" s="16" t="s">
        <v>73</v>
      </c>
      <c r="G18" s="24"/>
      <c r="H18" s="17" t="s">
        <v>99</v>
      </c>
      <c r="I18" s="16">
        <v>1</v>
      </c>
      <c r="J18" s="17"/>
      <c r="L18" s="19">
        <f>SUMIFS($A$10:$A$400,$B$10:$B$400,"CH",$D$10:$D$400,"9")</f>
        <v>7</v>
      </c>
      <c r="M18" s="19" t="s">
        <v>19</v>
      </c>
      <c r="N18" s="19" t="s">
        <v>31</v>
      </c>
    </row>
    <row r="19" spans="1:14" s="18" customFormat="1" x14ac:dyDescent="0.3">
      <c r="A19" s="16">
        <v>11</v>
      </c>
      <c r="B19" s="16" t="s">
        <v>19</v>
      </c>
      <c r="C19" s="16">
        <v>70</v>
      </c>
      <c r="D19" s="16">
        <v>2</v>
      </c>
      <c r="E19" s="16" t="s">
        <v>65</v>
      </c>
      <c r="F19" s="16" t="s">
        <v>77</v>
      </c>
      <c r="G19" s="24"/>
      <c r="H19" s="17" t="s">
        <v>96</v>
      </c>
      <c r="I19" s="16">
        <v>2</v>
      </c>
      <c r="J19" s="17"/>
      <c r="L19" s="19">
        <f>SUMIFS($A$10:$A$400,$B$10:$B$400,"CH",$D$10:$D$400,"10")</f>
        <v>1</v>
      </c>
      <c r="M19" s="19" t="s">
        <v>19</v>
      </c>
      <c r="N19" s="19" t="s">
        <v>20</v>
      </c>
    </row>
    <row r="20" spans="1:14" s="18" customFormat="1" x14ac:dyDescent="0.3">
      <c r="A20" s="16">
        <v>6</v>
      </c>
      <c r="B20" s="16" t="s">
        <v>85</v>
      </c>
      <c r="C20" s="16">
        <v>70</v>
      </c>
      <c r="D20" s="16">
        <v>2</v>
      </c>
      <c r="E20" s="16" t="s">
        <v>65</v>
      </c>
      <c r="F20" s="16" t="s">
        <v>77</v>
      </c>
      <c r="G20" s="24"/>
      <c r="H20" s="17" t="s">
        <v>96</v>
      </c>
      <c r="I20" s="16">
        <v>2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80</v>
      </c>
      <c r="D21" s="16">
        <v>2</v>
      </c>
      <c r="E21" s="16" t="s">
        <v>65</v>
      </c>
      <c r="F21" s="16" t="s">
        <v>77</v>
      </c>
      <c r="G21" s="24"/>
      <c r="H21" s="17" t="s">
        <v>96</v>
      </c>
      <c r="I21" s="16">
        <v>2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2</v>
      </c>
      <c r="B22" s="16" t="s">
        <v>19</v>
      </c>
      <c r="C22" s="16">
        <v>60</v>
      </c>
      <c r="D22" s="16">
        <v>2</v>
      </c>
      <c r="E22" s="16" t="s">
        <v>65</v>
      </c>
      <c r="F22" s="16" t="s">
        <v>77</v>
      </c>
      <c r="G22" s="24"/>
      <c r="H22" s="17" t="s">
        <v>96</v>
      </c>
      <c r="I22" s="16">
        <v>2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14</v>
      </c>
      <c r="B23" s="16" t="s">
        <v>19</v>
      </c>
      <c r="C23" s="16">
        <v>70</v>
      </c>
      <c r="D23" s="16">
        <v>3</v>
      </c>
      <c r="E23" s="16" t="s">
        <v>93</v>
      </c>
      <c r="F23" s="16" t="s">
        <v>77</v>
      </c>
      <c r="G23" s="24"/>
      <c r="H23" s="17" t="s">
        <v>97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21</v>
      </c>
      <c r="C24" s="16">
        <v>60</v>
      </c>
      <c r="D24" s="16">
        <v>3</v>
      </c>
      <c r="E24" s="16" t="s">
        <v>93</v>
      </c>
      <c r="F24" s="16" t="s">
        <v>77</v>
      </c>
      <c r="G24" s="24"/>
      <c r="H24" s="17" t="s">
        <v>97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2</v>
      </c>
      <c r="B25" s="16" t="s">
        <v>19</v>
      </c>
      <c r="C25" s="16">
        <v>80</v>
      </c>
      <c r="D25" s="16">
        <v>3</v>
      </c>
      <c r="E25" s="16" t="s">
        <v>93</v>
      </c>
      <c r="F25" s="16" t="s">
        <v>77</v>
      </c>
      <c r="G25" s="24"/>
      <c r="H25" s="17" t="s">
        <v>97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85</v>
      </c>
      <c r="C26" s="16">
        <v>70</v>
      </c>
      <c r="D26" s="16">
        <v>3</v>
      </c>
      <c r="E26" s="16" t="s">
        <v>93</v>
      </c>
      <c r="F26" s="16" t="s">
        <v>77</v>
      </c>
      <c r="G26" s="24"/>
      <c r="H26" s="17" t="s">
        <v>97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60</v>
      </c>
      <c r="D27" s="16">
        <v>3</v>
      </c>
      <c r="E27" s="16" t="s">
        <v>93</v>
      </c>
      <c r="F27" s="16" t="s">
        <v>77</v>
      </c>
      <c r="G27" s="24"/>
      <c r="H27" s="17" t="s">
        <v>97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2</v>
      </c>
      <c r="B28" s="16" t="s">
        <v>19</v>
      </c>
      <c r="C28" s="16">
        <v>70</v>
      </c>
      <c r="D28" s="16">
        <v>3</v>
      </c>
      <c r="E28" s="16" t="s">
        <v>93</v>
      </c>
      <c r="F28" s="16" t="s">
        <v>77</v>
      </c>
      <c r="G28" s="24"/>
      <c r="H28" s="17" t="s">
        <v>97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21</v>
      </c>
      <c r="C29" s="16">
        <v>50</v>
      </c>
      <c r="D29" s="16">
        <v>3</v>
      </c>
      <c r="E29" s="16" t="s">
        <v>93</v>
      </c>
      <c r="F29" s="16" t="s">
        <v>77</v>
      </c>
      <c r="G29" s="24"/>
      <c r="H29" s="17" t="s">
        <v>97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120</v>
      </c>
      <c r="B30" s="16" t="s">
        <v>19</v>
      </c>
      <c r="C30" s="16">
        <v>70</v>
      </c>
      <c r="D30" s="16">
        <v>4</v>
      </c>
      <c r="E30" s="16" t="s">
        <v>71</v>
      </c>
      <c r="F30" s="16" t="s">
        <v>77</v>
      </c>
      <c r="G30" s="24"/>
      <c r="H30" s="17" t="s">
        <v>96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35</v>
      </c>
      <c r="B31" s="16" t="s">
        <v>85</v>
      </c>
      <c r="C31" s="16">
        <v>70</v>
      </c>
      <c r="D31" s="16">
        <v>4</v>
      </c>
      <c r="E31" s="16" t="s">
        <v>71</v>
      </c>
      <c r="F31" s="16" t="s">
        <v>77</v>
      </c>
      <c r="G31" s="24"/>
      <c r="H31" s="17" t="s">
        <v>96</v>
      </c>
      <c r="I31" s="16">
        <v>2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2</v>
      </c>
      <c r="B32" s="16" t="s">
        <v>21</v>
      </c>
      <c r="C32" s="16">
        <v>90</v>
      </c>
      <c r="D32" s="16">
        <v>4</v>
      </c>
      <c r="E32" s="16" t="s">
        <v>71</v>
      </c>
      <c r="F32" s="16" t="s">
        <v>77</v>
      </c>
      <c r="G32" s="24"/>
      <c r="H32" s="17" t="s">
        <v>96</v>
      </c>
      <c r="I32" s="16">
        <v>2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40</v>
      </c>
      <c r="B33" s="16" t="s">
        <v>19</v>
      </c>
      <c r="C33" s="16">
        <v>75</v>
      </c>
      <c r="D33" s="16">
        <v>4</v>
      </c>
      <c r="E33" s="16" t="s">
        <v>71</v>
      </c>
      <c r="F33" s="16" t="s">
        <v>73</v>
      </c>
      <c r="G33" s="24"/>
      <c r="H33" s="17" t="s">
        <v>84</v>
      </c>
      <c r="I33" s="16">
        <v>3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40</v>
      </c>
      <c r="B34" s="16" t="s">
        <v>19</v>
      </c>
      <c r="C34" s="16">
        <v>60</v>
      </c>
      <c r="D34" s="16">
        <v>4</v>
      </c>
      <c r="E34" s="16" t="s">
        <v>71</v>
      </c>
      <c r="F34" s="16" t="s">
        <v>73</v>
      </c>
      <c r="G34" s="24"/>
      <c r="H34" s="17" t="s">
        <v>84</v>
      </c>
      <c r="I34" s="16">
        <v>3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21</v>
      </c>
      <c r="C35" s="16">
        <v>200</v>
      </c>
      <c r="D35" s="16">
        <v>4</v>
      </c>
      <c r="E35" s="16" t="s">
        <v>71</v>
      </c>
      <c r="F35" s="16" t="s">
        <v>73</v>
      </c>
      <c r="G35" s="24"/>
      <c r="H35" s="17" t="s">
        <v>84</v>
      </c>
      <c r="I35" s="16">
        <v>3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6</v>
      </c>
      <c r="B36" s="16" t="s">
        <v>85</v>
      </c>
      <c r="C36" s="16">
        <v>300</v>
      </c>
      <c r="D36" s="16">
        <v>4</v>
      </c>
      <c r="E36" s="16" t="s">
        <v>71</v>
      </c>
      <c r="F36" s="16" t="s">
        <v>73</v>
      </c>
      <c r="G36" s="24"/>
      <c r="H36" s="17" t="s">
        <v>84</v>
      </c>
      <c r="I36" s="16">
        <v>3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67</v>
      </c>
      <c r="C37" s="16">
        <v>210</v>
      </c>
      <c r="D37" s="16">
        <v>4</v>
      </c>
      <c r="E37" s="16" t="s">
        <v>71</v>
      </c>
      <c r="F37" s="16" t="s">
        <v>73</v>
      </c>
      <c r="G37" s="24"/>
      <c r="H37" s="17" t="s">
        <v>84</v>
      </c>
      <c r="I37" s="16">
        <v>3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25</v>
      </c>
      <c r="B38" s="16" t="s">
        <v>19</v>
      </c>
      <c r="C38" s="16">
        <v>70</v>
      </c>
      <c r="D38" s="16">
        <v>4</v>
      </c>
      <c r="E38" s="16" t="s">
        <v>71</v>
      </c>
      <c r="F38" s="16" t="s">
        <v>62</v>
      </c>
      <c r="G38" s="24"/>
      <c r="H38" s="17" t="s">
        <v>99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20</v>
      </c>
      <c r="B39" s="16" t="s">
        <v>19</v>
      </c>
      <c r="C39" s="16">
        <v>90</v>
      </c>
      <c r="D39" s="16">
        <v>4</v>
      </c>
      <c r="E39" s="16" t="s">
        <v>71</v>
      </c>
      <c r="F39" s="16" t="s">
        <v>62</v>
      </c>
      <c r="G39" s="24"/>
      <c r="H39" s="17" t="s">
        <v>99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23</v>
      </c>
      <c r="B40" s="16" t="s">
        <v>19</v>
      </c>
      <c r="C40" s="16">
        <v>70</v>
      </c>
      <c r="D40" s="16">
        <v>5</v>
      </c>
      <c r="E40" s="16" t="s">
        <v>65</v>
      </c>
      <c r="F40" s="16" t="s">
        <v>73</v>
      </c>
      <c r="G40" s="24"/>
      <c r="H40" s="17" t="s">
        <v>84</v>
      </c>
      <c r="I40" s="16">
        <v>2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2</v>
      </c>
      <c r="B41" s="16" t="s">
        <v>85</v>
      </c>
      <c r="C41" s="16">
        <v>60</v>
      </c>
      <c r="D41" s="16">
        <v>5</v>
      </c>
      <c r="E41" s="16" t="s">
        <v>65</v>
      </c>
      <c r="F41" s="16" t="s">
        <v>73</v>
      </c>
      <c r="G41" s="24"/>
      <c r="H41" s="17" t="s">
        <v>84</v>
      </c>
      <c r="I41" s="16">
        <v>2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5</v>
      </c>
      <c r="B42" s="16" t="s">
        <v>21</v>
      </c>
      <c r="C42" s="16">
        <v>50</v>
      </c>
      <c r="D42" s="16">
        <v>5</v>
      </c>
      <c r="E42" s="16" t="s">
        <v>65</v>
      </c>
      <c r="F42" s="16" t="s">
        <v>77</v>
      </c>
      <c r="G42" s="24"/>
      <c r="H42" s="17" t="s">
        <v>97</v>
      </c>
      <c r="I42" s="16">
        <v>1</v>
      </c>
      <c r="J42" s="17" t="s">
        <v>150</v>
      </c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21</v>
      </c>
      <c r="C43" s="16">
        <v>50</v>
      </c>
      <c r="D43" s="16">
        <v>5</v>
      </c>
      <c r="E43" s="16" t="s">
        <v>65</v>
      </c>
      <c r="F43" s="16" t="s">
        <v>77</v>
      </c>
      <c r="G43" s="24"/>
      <c r="H43" s="17" t="s">
        <v>97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19</v>
      </c>
      <c r="C44" s="16">
        <v>65</v>
      </c>
      <c r="D44" s="16">
        <v>6</v>
      </c>
      <c r="E44" s="16" t="s">
        <v>72</v>
      </c>
      <c r="F44" s="16" t="s">
        <v>73</v>
      </c>
      <c r="G44" s="24"/>
      <c r="H44" s="17" t="s">
        <v>84</v>
      </c>
      <c r="I44" s="16">
        <v>2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19</v>
      </c>
      <c r="C45" s="16">
        <v>50</v>
      </c>
      <c r="D45" s="16">
        <v>7</v>
      </c>
      <c r="E45" s="16" t="s">
        <v>65</v>
      </c>
      <c r="F45" s="16" t="s">
        <v>73</v>
      </c>
      <c r="G45" s="24"/>
      <c r="H45" s="17" t="s">
        <v>99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68</v>
      </c>
      <c r="C46" s="16">
        <v>40</v>
      </c>
      <c r="D46" s="16">
        <v>7</v>
      </c>
      <c r="E46" s="16" t="s">
        <v>65</v>
      </c>
      <c r="F46" s="16" t="s">
        <v>77</v>
      </c>
      <c r="G46" s="24"/>
      <c r="H46" s="17" t="s">
        <v>84</v>
      </c>
      <c r="I46" s="16">
        <v>2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21</v>
      </c>
      <c r="C47" s="16">
        <v>100</v>
      </c>
      <c r="D47" s="16">
        <v>8</v>
      </c>
      <c r="E47" s="16" t="s">
        <v>71</v>
      </c>
      <c r="F47" s="16" t="s">
        <v>79</v>
      </c>
      <c r="G47" s="24"/>
      <c r="H47" s="17" t="s">
        <v>97</v>
      </c>
      <c r="I47" s="16">
        <v>1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40</v>
      </c>
      <c r="B48" s="16" t="s">
        <v>19</v>
      </c>
      <c r="C48" s="16">
        <v>70</v>
      </c>
      <c r="D48" s="16">
        <v>8</v>
      </c>
      <c r="E48" s="16" t="s">
        <v>71</v>
      </c>
      <c r="F48" s="16" t="s">
        <v>77</v>
      </c>
      <c r="G48" s="24"/>
      <c r="H48" s="17" t="s">
        <v>84</v>
      </c>
      <c r="I48" s="16">
        <v>2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2</v>
      </c>
      <c r="B49" s="16" t="s">
        <v>85</v>
      </c>
      <c r="C49" s="16">
        <v>60</v>
      </c>
      <c r="D49" s="16">
        <v>8</v>
      </c>
      <c r="E49" s="16" t="s">
        <v>71</v>
      </c>
      <c r="F49" s="16" t="s">
        <v>77</v>
      </c>
      <c r="G49" s="24"/>
      <c r="H49" s="17" t="s">
        <v>84</v>
      </c>
      <c r="I49" s="16">
        <v>2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21</v>
      </c>
      <c r="C50" s="16">
        <v>210</v>
      </c>
      <c r="D50" s="16">
        <v>8</v>
      </c>
      <c r="E50" s="16" t="s">
        <v>71</v>
      </c>
      <c r="F50" s="16" t="s">
        <v>77</v>
      </c>
      <c r="G50" s="24"/>
      <c r="H50" s="17" t="s">
        <v>84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75</v>
      </c>
      <c r="D51" s="16">
        <v>8</v>
      </c>
      <c r="E51" s="16" t="s">
        <v>71</v>
      </c>
      <c r="F51" s="16" t="s">
        <v>77</v>
      </c>
      <c r="G51" s="24"/>
      <c r="H51" s="17" t="s">
        <v>84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2</v>
      </c>
      <c r="B52" s="16" t="s">
        <v>85</v>
      </c>
      <c r="C52" s="16">
        <v>210</v>
      </c>
      <c r="D52" s="16">
        <v>8</v>
      </c>
      <c r="E52" s="16" t="s">
        <v>71</v>
      </c>
      <c r="F52" s="16" t="s">
        <v>77</v>
      </c>
      <c r="G52" s="24"/>
      <c r="H52" s="17" t="s">
        <v>84</v>
      </c>
      <c r="I52" s="16">
        <v>2</v>
      </c>
      <c r="J52" s="17"/>
      <c r="L52" s="19">
        <f>SUM(L10:L51)</f>
        <v>454</v>
      </c>
      <c r="M52" s="19"/>
      <c r="N52" s="19"/>
    </row>
    <row r="53" spans="1:14" s="18" customFormat="1" x14ac:dyDescent="0.3">
      <c r="A53" s="16">
        <v>60</v>
      </c>
      <c r="B53" s="16" t="s">
        <v>19</v>
      </c>
      <c r="C53" s="16">
        <v>75</v>
      </c>
      <c r="D53" s="16">
        <v>8</v>
      </c>
      <c r="E53" s="16" t="s">
        <v>71</v>
      </c>
      <c r="F53" s="16"/>
      <c r="G53" s="24"/>
      <c r="H53" s="17" t="s">
        <v>97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11</v>
      </c>
      <c r="B54" s="16" t="s">
        <v>21</v>
      </c>
      <c r="C54" s="16">
        <v>110</v>
      </c>
      <c r="D54" s="16">
        <v>8</v>
      </c>
      <c r="E54" s="16" t="s">
        <v>71</v>
      </c>
      <c r="F54" s="16"/>
      <c r="G54" s="24"/>
      <c r="H54" s="17" t="s">
        <v>97</v>
      </c>
      <c r="I54" s="16">
        <v>1</v>
      </c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>
        <v>2</v>
      </c>
      <c r="B55" s="16" t="s">
        <v>21</v>
      </c>
      <c r="C55" s="16">
        <v>30</v>
      </c>
      <c r="D55" s="16">
        <v>8</v>
      </c>
      <c r="E55" s="16" t="s">
        <v>71</v>
      </c>
      <c r="F55" s="16"/>
      <c r="G55" s="24"/>
      <c r="H55" s="17" t="s">
        <v>97</v>
      </c>
      <c r="I55" s="16">
        <v>1</v>
      </c>
      <c r="J55" s="17"/>
      <c r="L55" s="19">
        <f>SUMIFS($A$10:$A$400,$B$10:$B$400,"RT",$D$10:$D$400,"2")</f>
        <v>3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21</v>
      </c>
      <c r="C56" s="16">
        <v>65</v>
      </c>
      <c r="D56" s="16">
        <v>9</v>
      </c>
      <c r="E56" s="16" t="s">
        <v>72</v>
      </c>
      <c r="F56" s="16" t="s">
        <v>77</v>
      </c>
      <c r="G56" s="24"/>
      <c r="H56" s="17" t="s">
        <v>84</v>
      </c>
      <c r="I56" s="16">
        <v>2</v>
      </c>
      <c r="J56" s="17"/>
      <c r="L56" s="19">
        <f>SUMIFS($A$10:$A$400,$B$10:$B$400,"RT",$D$10:$D$400,"3")</f>
        <v>3</v>
      </c>
      <c r="M56" s="19" t="s">
        <v>21</v>
      </c>
      <c r="N56" s="19" t="s">
        <v>24</v>
      </c>
    </row>
    <row r="57" spans="1:14" s="18" customFormat="1" x14ac:dyDescent="0.3">
      <c r="A57" s="16">
        <v>2</v>
      </c>
      <c r="B57" s="16" t="s">
        <v>19</v>
      </c>
      <c r="C57" s="16">
        <v>65</v>
      </c>
      <c r="D57" s="16">
        <v>9</v>
      </c>
      <c r="E57" s="16" t="s">
        <v>72</v>
      </c>
      <c r="F57" s="16" t="s">
        <v>77</v>
      </c>
      <c r="G57" s="24"/>
      <c r="H57" s="17" t="s">
        <v>84</v>
      </c>
      <c r="I57" s="16">
        <v>2</v>
      </c>
      <c r="J57" s="17"/>
      <c r="L57" s="19">
        <f>SUMIFS($A$10:$A$400,$B$10:$B$400,"RT",$D$10:$D$400,"4")</f>
        <v>3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68</v>
      </c>
      <c r="C58" s="16">
        <v>50</v>
      </c>
      <c r="D58" s="16">
        <v>9</v>
      </c>
      <c r="E58" s="16" t="s">
        <v>72</v>
      </c>
      <c r="F58" s="16" t="s">
        <v>77</v>
      </c>
      <c r="G58" s="24"/>
      <c r="H58" s="17" t="s">
        <v>84</v>
      </c>
      <c r="I58" s="16">
        <v>2</v>
      </c>
      <c r="J58" s="17"/>
      <c r="L58" s="19">
        <f>SUMIFS($A$10:$A$400,$B$10:$B$400,"RT",$D$10:$D$400,"5")</f>
        <v>6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21</v>
      </c>
      <c r="C59" s="16">
        <v>55</v>
      </c>
      <c r="D59" s="16">
        <v>9</v>
      </c>
      <c r="E59" s="16" t="s">
        <v>72</v>
      </c>
      <c r="F59" s="16" t="s">
        <v>77</v>
      </c>
      <c r="G59" s="24"/>
      <c r="H59" s="17" t="s">
        <v>84</v>
      </c>
      <c r="I59" s="16">
        <v>2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>
        <v>1</v>
      </c>
      <c r="B60" s="16" t="s">
        <v>21</v>
      </c>
      <c r="C60" s="16">
        <v>90</v>
      </c>
      <c r="D60" s="16">
        <v>9</v>
      </c>
      <c r="E60" s="16" t="s">
        <v>72</v>
      </c>
      <c r="F60" s="16" t="s">
        <v>77</v>
      </c>
      <c r="G60" s="24"/>
      <c r="H60" s="17" t="s">
        <v>84</v>
      </c>
      <c r="I60" s="16">
        <v>2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21</v>
      </c>
      <c r="C61" s="16">
        <v>60</v>
      </c>
      <c r="D61" s="16">
        <v>9</v>
      </c>
      <c r="E61" s="16" t="s">
        <v>72</v>
      </c>
      <c r="F61" s="16" t="s">
        <v>73</v>
      </c>
      <c r="G61" s="24"/>
      <c r="H61" s="17" t="s">
        <v>96</v>
      </c>
      <c r="I61" s="16">
        <v>3</v>
      </c>
      <c r="J61" s="17"/>
      <c r="L61" s="19">
        <f>SUMIFS($A$10:$A$400,$B$10:$B$400,"RT",$D$10:$D$400,"8")</f>
        <v>16</v>
      </c>
      <c r="M61" s="19" t="s">
        <v>21</v>
      </c>
      <c r="N61" s="19" t="s">
        <v>30</v>
      </c>
    </row>
    <row r="62" spans="1:14" s="18" customFormat="1" x14ac:dyDescent="0.3">
      <c r="A62" s="16">
        <v>1</v>
      </c>
      <c r="B62" s="16" t="s">
        <v>19</v>
      </c>
      <c r="C62" s="16">
        <v>70</v>
      </c>
      <c r="D62" s="16">
        <v>9</v>
      </c>
      <c r="E62" s="16" t="s">
        <v>72</v>
      </c>
      <c r="F62" s="16" t="s">
        <v>73</v>
      </c>
      <c r="G62" s="24"/>
      <c r="H62" s="17" t="s">
        <v>96</v>
      </c>
      <c r="I62" s="16">
        <v>3</v>
      </c>
      <c r="J62" s="17"/>
      <c r="L62" s="19">
        <f>SUMIFS($A$10:$A$400,$B$10:$B$400,"RT",$D$10:$D$400,"9")</f>
        <v>8</v>
      </c>
      <c r="M62" s="19" t="s">
        <v>21</v>
      </c>
      <c r="N62" s="19" t="s">
        <v>31</v>
      </c>
    </row>
    <row r="63" spans="1:14" s="18" customFormat="1" x14ac:dyDescent="0.3">
      <c r="A63" s="16">
        <v>1</v>
      </c>
      <c r="B63" s="16" t="s">
        <v>21</v>
      </c>
      <c r="C63" s="16">
        <v>100</v>
      </c>
      <c r="D63" s="16">
        <v>9</v>
      </c>
      <c r="E63" s="16" t="s">
        <v>72</v>
      </c>
      <c r="F63" s="16" t="s">
        <v>73</v>
      </c>
      <c r="G63" s="24"/>
      <c r="H63" s="17" t="s">
        <v>96</v>
      </c>
      <c r="I63" s="16">
        <v>3</v>
      </c>
      <c r="J63" s="17"/>
      <c r="L63" s="19">
        <f>SUMIFS($A$10:$A$400,$B$10:$B$400,"RT",$D$10:$D$400,"10")</f>
        <v>2</v>
      </c>
      <c r="M63" s="19" t="s">
        <v>21</v>
      </c>
      <c r="N63" s="19" t="s">
        <v>20</v>
      </c>
    </row>
    <row r="64" spans="1:14" s="18" customFormat="1" x14ac:dyDescent="0.3">
      <c r="A64" s="16">
        <v>1</v>
      </c>
      <c r="B64" s="16" t="s">
        <v>19</v>
      </c>
      <c r="C64" s="16">
        <v>50</v>
      </c>
      <c r="D64" s="16">
        <v>9</v>
      </c>
      <c r="E64" s="16" t="s">
        <v>72</v>
      </c>
      <c r="F64" s="16" t="s">
        <v>77</v>
      </c>
      <c r="G64" s="24"/>
      <c r="H64" s="17" t="s">
        <v>84</v>
      </c>
      <c r="I64" s="16">
        <v>2</v>
      </c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>
        <v>1</v>
      </c>
      <c r="B65" s="16" t="s">
        <v>21</v>
      </c>
      <c r="C65" s="16">
        <v>60</v>
      </c>
      <c r="D65" s="16">
        <v>9</v>
      </c>
      <c r="E65" s="16" t="s">
        <v>72</v>
      </c>
      <c r="F65" s="16" t="s">
        <v>73</v>
      </c>
      <c r="G65" s="24"/>
      <c r="H65" s="17" t="s">
        <v>97</v>
      </c>
      <c r="I65" s="16">
        <v>1</v>
      </c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>
        <v>1</v>
      </c>
      <c r="B66" s="16" t="s">
        <v>21</v>
      </c>
      <c r="C66" s="16">
        <v>90</v>
      </c>
      <c r="D66" s="16">
        <v>9</v>
      </c>
      <c r="E66" s="16" t="s">
        <v>72</v>
      </c>
      <c r="F66" s="16" t="s">
        <v>77</v>
      </c>
      <c r="G66" s="24"/>
      <c r="H66" s="17" t="s">
        <v>84</v>
      </c>
      <c r="I66" s="16">
        <v>2</v>
      </c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>
        <v>2</v>
      </c>
      <c r="B67" s="16" t="s">
        <v>19</v>
      </c>
      <c r="C67" s="16">
        <v>65</v>
      </c>
      <c r="D67" s="16">
        <v>9</v>
      </c>
      <c r="E67" s="16" t="s">
        <v>72</v>
      </c>
      <c r="F67" s="16" t="s">
        <v>77</v>
      </c>
      <c r="G67" s="24"/>
      <c r="H67" s="17" t="s">
        <v>84</v>
      </c>
      <c r="I67" s="16">
        <v>2</v>
      </c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1</v>
      </c>
      <c r="B68" s="16" t="s">
        <v>85</v>
      </c>
      <c r="C68" s="16">
        <v>60</v>
      </c>
      <c r="D68" s="16">
        <v>9</v>
      </c>
      <c r="E68" s="16" t="s">
        <v>72</v>
      </c>
      <c r="F68" s="16" t="s">
        <v>77</v>
      </c>
      <c r="G68" s="24"/>
      <c r="H68" s="17" t="s">
        <v>84</v>
      </c>
      <c r="I68" s="16">
        <v>2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>
        <v>1</v>
      </c>
      <c r="B69" s="16" t="s">
        <v>19</v>
      </c>
      <c r="C69" s="16">
        <v>70</v>
      </c>
      <c r="D69" s="16">
        <v>9</v>
      </c>
      <c r="E69" s="16" t="s">
        <v>72</v>
      </c>
      <c r="F69" s="16" t="s">
        <v>73</v>
      </c>
      <c r="G69" s="24"/>
      <c r="H69" s="17" t="s">
        <v>96</v>
      </c>
      <c r="I69" s="16">
        <v>3</v>
      </c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>
        <v>1</v>
      </c>
      <c r="B70" s="16" t="s">
        <v>21</v>
      </c>
      <c r="C70" s="16">
        <v>80</v>
      </c>
      <c r="D70" s="16">
        <v>9</v>
      </c>
      <c r="E70" s="16" t="s">
        <v>72</v>
      </c>
      <c r="F70" s="16" t="s">
        <v>73</v>
      </c>
      <c r="G70" s="24"/>
      <c r="H70" s="17" t="s">
        <v>96</v>
      </c>
      <c r="I70" s="16">
        <v>3</v>
      </c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>
        <v>1</v>
      </c>
      <c r="B71" s="16" t="s">
        <v>21</v>
      </c>
      <c r="C71" s="16">
        <v>150</v>
      </c>
      <c r="D71" s="16">
        <v>10</v>
      </c>
      <c r="E71" s="16" t="s">
        <v>65</v>
      </c>
      <c r="F71" s="16" t="s">
        <v>77</v>
      </c>
      <c r="G71" s="24"/>
      <c r="H71" s="17" t="s">
        <v>97</v>
      </c>
      <c r="I71" s="16">
        <v>1</v>
      </c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>
        <v>1</v>
      </c>
      <c r="B72" s="16" t="s">
        <v>68</v>
      </c>
      <c r="C72" s="16">
        <v>40</v>
      </c>
      <c r="D72" s="16">
        <v>10</v>
      </c>
      <c r="E72" s="16" t="s">
        <v>65</v>
      </c>
      <c r="F72" s="16" t="s">
        <v>73</v>
      </c>
      <c r="G72" s="24"/>
      <c r="H72" s="17" t="s">
        <v>99</v>
      </c>
      <c r="I72" s="16">
        <v>4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1</v>
      </c>
      <c r="B73" s="16" t="s">
        <v>21</v>
      </c>
      <c r="C73" s="16">
        <v>50</v>
      </c>
      <c r="D73" s="16">
        <v>10</v>
      </c>
      <c r="E73" s="16" t="s">
        <v>65</v>
      </c>
      <c r="F73" s="16" t="s">
        <v>73</v>
      </c>
      <c r="G73" s="24"/>
      <c r="H73" s="17" t="s">
        <v>97</v>
      </c>
      <c r="I73" s="16">
        <v>1</v>
      </c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>
        <v>1</v>
      </c>
      <c r="B74" s="16" t="s">
        <v>19</v>
      </c>
      <c r="C74" s="16">
        <v>60</v>
      </c>
      <c r="D74" s="16">
        <v>10</v>
      </c>
      <c r="E74" s="16" t="s">
        <v>65</v>
      </c>
      <c r="F74" s="16" t="s">
        <v>77</v>
      </c>
      <c r="G74" s="24">
        <v>1554</v>
      </c>
      <c r="H74" s="17" t="s">
        <v>96</v>
      </c>
      <c r="I74" s="16">
        <v>2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41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207</v>
      </c>
      <c r="E2" s="4"/>
    </row>
    <row r="3" spans="1:14" x14ac:dyDescent="0.3">
      <c r="A3" s="6" t="s">
        <v>2</v>
      </c>
      <c r="B3" s="21" t="s">
        <v>220</v>
      </c>
      <c r="E3" s="4"/>
    </row>
    <row r="4" spans="1:14" x14ac:dyDescent="0.3">
      <c r="A4" s="6" t="s">
        <v>3</v>
      </c>
      <c r="B4" s="8">
        <v>42948</v>
      </c>
      <c r="E4" s="4"/>
    </row>
    <row r="5" spans="1:14" x14ac:dyDescent="0.3">
      <c r="A5" s="6" t="s">
        <v>4</v>
      </c>
      <c r="B5" s="7">
        <v>11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208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/>
      <c r="B10" s="16"/>
      <c r="C10" s="16"/>
      <c r="D10" s="16">
        <v>1</v>
      </c>
      <c r="E10" s="16" t="s">
        <v>65</v>
      </c>
      <c r="F10" s="16"/>
      <c r="G10" s="24"/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19</v>
      </c>
      <c r="C11" s="16">
        <v>70</v>
      </c>
      <c r="D11" s="16">
        <v>2</v>
      </c>
      <c r="E11" s="16" t="s">
        <v>71</v>
      </c>
      <c r="F11" s="16" t="s">
        <v>63</v>
      </c>
      <c r="G11" s="24"/>
      <c r="H11" s="17" t="s">
        <v>99</v>
      </c>
      <c r="I11" s="16">
        <v>1</v>
      </c>
      <c r="J11" s="17"/>
      <c r="L11" s="19">
        <f>SUMIFS($A$10:$A$400,$B$10:$B$400,"CH",$D$10:$D$400,"2")</f>
        <v>3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50</v>
      </c>
      <c r="D12" s="16">
        <v>2</v>
      </c>
      <c r="E12" s="16" t="s">
        <v>71</v>
      </c>
      <c r="F12" s="16"/>
      <c r="G12" s="24"/>
      <c r="H12" s="17" t="s">
        <v>84</v>
      </c>
      <c r="I12" s="16">
        <v>2</v>
      </c>
      <c r="J12" s="17"/>
      <c r="L12" s="19">
        <f>SUMIFS($A$10:$A$400,$B$10:$B$400,"CH",$D$10:$D$400,"3")</f>
        <v>19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19</v>
      </c>
      <c r="C13" s="16">
        <v>75</v>
      </c>
      <c r="D13" s="16">
        <v>2</v>
      </c>
      <c r="E13" s="16" t="s">
        <v>71</v>
      </c>
      <c r="F13" s="16"/>
      <c r="G13" s="24"/>
      <c r="H13" s="17" t="s">
        <v>84</v>
      </c>
      <c r="I13" s="16">
        <v>2</v>
      </c>
      <c r="J13" s="17"/>
      <c r="L13" s="19">
        <f>SUMIFS($A$10:$A$400,$B$10:$B$400,"CH",$D$10:$D$400,"4")</f>
        <v>8</v>
      </c>
      <c r="M13" s="19" t="s">
        <v>19</v>
      </c>
      <c r="N13" s="19" t="s">
        <v>26</v>
      </c>
    </row>
    <row r="14" spans="1:14" s="18" customFormat="1" x14ac:dyDescent="0.3">
      <c r="A14" s="16">
        <v>15</v>
      </c>
      <c r="B14" s="16" t="s">
        <v>19</v>
      </c>
      <c r="C14" s="16">
        <v>50</v>
      </c>
      <c r="D14" s="16">
        <v>3</v>
      </c>
      <c r="E14" s="16" t="s">
        <v>71</v>
      </c>
      <c r="F14" s="16" t="s">
        <v>63</v>
      </c>
      <c r="G14" s="24"/>
      <c r="H14" s="17" t="s">
        <v>99</v>
      </c>
      <c r="I14" s="16">
        <v>1</v>
      </c>
      <c r="J14" s="17"/>
      <c r="L14" s="19">
        <f>SUMIFS($A$10:$A$400,$B$10:$B$400,"CH",$D$10:$D$400,"5")</f>
        <v>11</v>
      </c>
      <c r="M14" s="19" t="s">
        <v>19</v>
      </c>
      <c r="N14" s="19" t="s">
        <v>27</v>
      </c>
    </row>
    <row r="15" spans="1:14" s="18" customFormat="1" x14ac:dyDescent="0.3">
      <c r="A15" s="16">
        <v>4</v>
      </c>
      <c r="B15" s="16" t="s">
        <v>19</v>
      </c>
      <c r="C15" s="16">
        <v>60</v>
      </c>
      <c r="D15" s="16">
        <v>3</v>
      </c>
      <c r="E15" s="16" t="s">
        <v>71</v>
      </c>
      <c r="F15" s="16" t="s">
        <v>63</v>
      </c>
      <c r="G15" s="24"/>
      <c r="H15" s="17" t="s">
        <v>99</v>
      </c>
      <c r="I15" s="16">
        <v>1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85</v>
      </c>
      <c r="C16" s="16">
        <v>40</v>
      </c>
      <c r="D16" s="16">
        <v>3</v>
      </c>
      <c r="E16" s="16" t="s">
        <v>71</v>
      </c>
      <c r="F16" s="16" t="s">
        <v>209</v>
      </c>
      <c r="G16" s="24"/>
      <c r="H16" s="17" t="s">
        <v>99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85</v>
      </c>
      <c r="C17" s="16">
        <v>40</v>
      </c>
      <c r="D17" s="16">
        <v>3</v>
      </c>
      <c r="E17" s="16" t="s">
        <v>71</v>
      </c>
      <c r="F17" s="16" t="s">
        <v>209</v>
      </c>
      <c r="G17" s="24"/>
      <c r="H17" s="17" t="s">
        <v>99</v>
      </c>
      <c r="I17" s="16">
        <v>1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12</v>
      </c>
      <c r="B18" s="16" t="s">
        <v>85</v>
      </c>
      <c r="C18" s="16">
        <v>50</v>
      </c>
      <c r="D18" s="16">
        <v>3</v>
      </c>
      <c r="E18" s="16" t="s">
        <v>71</v>
      </c>
      <c r="F18" s="16" t="s">
        <v>209</v>
      </c>
      <c r="G18" s="24"/>
      <c r="H18" s="17" t="s">
        <v>84</v>
      </c>
      <c r="I18" s="16">
        <v>2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3</v>
      </c>
      <c r="B19" s="16" t="s">
        <v>19</v>
      </c>
      <c r="C19" s="16">
        <v>70</v>
      </c>
      <c r="D19" s="16">
        <v>4</v>
      </c>
      <c r="E19" s="16" t="s">
        <v>65</v>
      </c>
      <c r="F19" s="16" t="s">
        <v>63</v>
      </c>
      <c r="G19" s="24"/>
      <c r="H19" s="17" t="s">
        <v>99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4</v>
      </c>
      <c r="B20" s="16" t="s">
        <v>19</v>
      </c>
      <c r="C20" s="16">
        <v>90</v>
      </c>
      <c r="D20" s="16">
        <v>4</v>
      </c>
      <c r="E20" s="16" t="s">
        <v>65</v>
      </c>
      <c r="F20" s="16" t="s">
        <v>63</v>
      </c>
      <c r="G20" s="24"/>
      <c r="H20" s="17" t="s">
        <v>99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4</v>
      </c>
      <c r="B21" s="16" t="s">
        <v>85</v>
      </c>
      <c r="C21" s="16">
        <v>50</v>
      </c>
      <c r="D21" s="16">
        <v>4</v>
      </c>
      <c r="E21" s="16" t="s">
        <v>65</v>
      </c>
      <c r="F21" s="16" t="s">
        <v>63</v>
      </c>
      <c r="G21" s="24"/>
      <c r="H21" s="17" t="s">
        <v>99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19</v>
      </c>
      <c r="C22" s="16">
        <v>50</v>
      </c>
      <c r="D22" s="16">
        <v>4</v>
      </c>
      <c r="E22" s="16" t="s">
        <v>65</v>
      </c>
      <c r="F22" s="16" t="s">
        <v>63</v>
      </c>
      <c r="G22" s="24"/>
      <c r="H22" s="17" t="s">
        <v>84</v>
      </c>
      <c r="I22" s="16">
        <v>2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10</v>
      </c>
      <c r="B23" s="16" t="s">
        <v>85</v>
      </c>
      <c r="C23" s="16">
        <v>50</v>
      </c>
      <c r="D23" s="16">
        <v>4</v>
      </c>
      <c r="E23" s="16" t="s">
        <v>65</v>
      </c>
      <c r="F23" s="16" t="s">
        <v>209</v>
      </c>
      <c r="G23" s="24"/>
      <c r="H23" s="17" t="s">
        <v>99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4</v>
      </c>
      <c r="B24" s="16" t="s">
        <v>85</v>
      </c>
      <c r="C24" s="16">
        <v>60</v>
      </c>
      <c r="D24" s="16">
        <v>4</v>
      </c>
      <c r="E24" s="16" t="s">
        <v>65</v>
      </c>
      <c r="F24" s="16" t="s">
        <v>209</v>
      </c>
      <c r="G24" s="24"/>
      <c r="H24" s="17" t="s">
        <v>99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85</v>
      </c>
      <c r="C25" s="16">
        <v>75</v>
      </c>
      <c r="D25" s="16">
        <v>4</v>
      </c>
      <c r="E25" s="16" t="s">
        <v>65</v>
      </c>
      <c r="F25" s="16" t="s">
        <v>209</v>
      </c>
      <c r="G25" s="24"/>
      <c r="H25" s="17" t="s">
        <v>99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40</v>
      </c>
      <c r="B26" s="16" t="s">
        <v>85</v>
      </c>
      <c r="C26" s="16">
        <v>40</v>
      </c>
      <c r="D26" s="16">
        <v>5</v>
      </c>
      <c r="E26" s="16" t="s">
        <v>71</v>
      </c>
      <c r="F26" s="16" t="s">
        <v>209</v>
      </c>
      <c r="G26" s="24"/>
      <c r="H26" s="17" t="s">
        <v>99</v>
      </c>
      <c r="I26" s="16">
        <v>1</v>
      </c>
      <c r="J26" s="17" t="s">
        <v>210</v>
      </c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10</v>
      </c>
      <c r="B27" s="16" t="s">
        <v>19</v>
      </c>
      <c r="C27" s="16">
        <v>50</v>
      </c>
      <c r="D27" s="16">
        <v>5</v>
      </c>
      <c r="E27" s="16" t="s">
        <v>71</v>
      </c>
      <c r="F27" s="16" t="s">
        <v>63</v>
      </c>
      <c r="G27" s="24"/>
      <c r="H27" s="17" t="s">
        <v>99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15</v>
      </c>
      <c r="B28" s="16" t="s">
        <v>85</v>
      </c>
      <c r="C28" s="16">
        <v>30</v>
      </c>
      <c r="D28" s="16">
        <v>5</v>
      </c>
      <c r="E28" s="16" t="s">
        <v>71</v>
      </c>
      <c r="F28" s="16" t="s">
        <v>209</v>
      </c>
      <c r="G28" s="24"/>
      <c r="H28" s="17" t="s">
        <v>99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20</v>
      </c>
      <c r="B29" s="16" t="s">
        <v>85</v>
      </c>
      <c r="C29" s="16">
        <v>40</v>
      </c>
      <c r="D29" s="16">
        <v>5</v>
      </c>
      <c r="E29" s="16" t="s">
        <v>71</v>
      </c>
      <c r="F29" s="16" t="s">
        <v>63</v>
      </c>
      <c r="G29" s="24"/>
      <c r="H29" s="17" t="s">
        <v>99</v>
      </c>
      <c r="I29" s="16">
        <v>1</v>
      </c>
      <c r="J29" s="17" t="s">
        <v>211</v>
      </c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85</v>
      </c>
      <c r="C30" s="16">
        <v>40</v>
      </c>
      <c r="D30" s="16">
        <v>5</v>
      </c>
      <c r="E30" s="16" t="s">
        <v>71</v>
      </c>
      <c r="F30" s="16" t="s">
        <v>209</v>
      </c>
      <c r="G30" s="24"/>
      <c r="H30" s="17" t="s">
        <v>99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19</v>
      </c>
      <c r="C31" s="16">
        <v>70</v>
      </c>
      <c r="D31" s="16">
        <v>5</v>
      </c>
      <c r="E31" s="16" t="s">
        <v>71</v>
      </c>
      <c r="F31" s="16" t="s">
        <v>63</v>
      </c>
      <c r="G31" s="24"/>
      <c r="H31" s="17" t="s">
        <v>99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>
        <v>6</v>
      </c>
      <c r="E32" s="16" t="s">
        <v>93</v>
      </c>
      <c r="F32" s="16"/>
      <c r="G32" s="24"/>
      <c r="H32" s="17"/>
      <c r="I32" s="16"/>
      <c r="J32" s="17" t="s">
        <v>89</v>
      </c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41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1196</v>
      </c>
      <c r="E3" s="4"/>
    </row>
    <row r="4" spans="1:14" x14ac:dyDescent="0.3">
      <c r="A4" s="6" t="s">
        <v>3</v>
      </c>
      <c r="B4" s="8">
        <v>43005</v>
      </c>
      <c r="E4" s="4"/>
    </row>
    <row r="5" spans="1:14" x14ac:dyDescent="0.3">
      <c r="A5" s="6" t="s">
        <v>4</v>
      </c>
      <c r="B5" s="7" t="s">
        <v>204</v>
      </c>
      <c r="E5" s="4"/>
    </row>
    <row r="6" spans="1:14" x14ac:dyDescent="0.3">
      <c r="A6" s="9" t="s">
        <v>1</v>
      </c>
      <c r="B6" s="10" t="s">
        <v>139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2</v>
      </c>
      <c r="B10" s="16" t="s">
        <v>19</v>
      </c>
      <c r="C10" s="16">
        <v>90</v>
      </c>
      <c r="D10" s="16">
        <v>1</v>
      </c>
      <c r="E10" s="16" t="s">
        <v>71</v>
      </c>
      <c r="F10" s="16" t="s">
        <v>73</v>
      </c>
      <c r="G10" s="24">
        <v>1330</v>
      </c>
      <c r="H10" s="17" t="s">
        <v>97</v>
      </c>
      <c r="I10" s="16">
        <v>4</v>
      </c>
      <c r="J10" s="17"/>
      <c r="L10" s="19">
        <f>SUMIFS($A$10:$A$400,$B$10:$B$400,"CH",$D$10:$D$400,"1")</f>
        <v>33</v>
      </c>
      <c r="M10" s="19" t="s">
        <v>19</v>
      </c>
      <c r="N10" s="19" t="s">
        <v>18</v>
      </c>
    </row>
    <row r="11" spans="1:14" s="18" customFormat="1" x14ac:dyDescent="0.3">
      <c r="A11" s="16">
        <v>3</v>
      </c>
      <c r="B11" s="16" t="s">
        <v>19</v>
      </c>
      <c r="C11" s="16">
        <v>70</v>
      </c>
      <c r="D11" s="16">
        <v>1</v>
      </c>
      <c r="E11" s="16" t="s">
        <v>71</v>
      </c>
      <c r="F11" s="16" t="s">
        <v>77</v>
      </c>
      <c r="G11" s="24"/>
      <c r="H11" s="17" t="s">
        <v>96</v>
      </c>
      <c r="I11" s="16">
        <v>1</v>
      </c>
      <c r="J11" s="17"/>
      <c r="L11" s="19">
        <f>SUMIFS($A$10:$A$400,$B$10:$B$400,"CH",$D$10:$D$400,"2")</f>
        <v>2</v>
      </c>
      <c r="M11" s="19" t="s">
        <v>19</v>
      </c>
      <c r="N11" s="19" t="s">
        <v>22</v>
      </c>
    </row>
    <row r="12" spans="1:14" s="18" customFormat="1" x14ac:dyDescent="0.3">
      <c r="A12" s="16">
        <v>28</v>
      </c>
      <c r="B12" s="16" t="s">
        <v>19</v>
      </c>
      <c r="C12" s="16">
        <v>80</v>
      </c>
      <c r="D12" s="16">
        <v>1</v>
      </c>
      <c r="E12" s="16" t="s">
        <v>71</v>
      </c>
      <c r="F12" s="16" t="s">
        <v>66</v>
      </c>
      <c r="G12" s="24"/>
      <c r="H12" s="17" t="s">
        <v>97</v>
      </c>
      <c r="I12" s="16">
        <v>4</v>
      </c>
      <c r="J12" s="17"/>
      <c r="L12" s="19">
        <f>SUMIFS($A$10:$A$400,$B$10:$B$400,"CH",$D$10:$D$400,"3")</f>
        <v>3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19</v>
      </c>
      <c r="C13" s="16">
        <v>70</v>
      </c>
      <c r="D13" s="16">
        <v>2</v>
      </c>
      <c r="E13" s="16" t="s">
        <v>72</v>
      </c>
      <c r="F13" s="16" t="s">
        <v>126</v>
      </c>
      <c r="G13" s="24"/>
      <c r="H13" s="17" t="s">
        <v>97</v>
      </c>
      <c r="I13" s="16">
        <v>4</v>
      </c>
      <c r="J13" s="17"/>
      <c r="L13" s="19">
        <f>SUMIFS($A$10:$A$400,$B$10:$B$400,"CH",$D$10:$D$400,"4")</f>
        <v>1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85</v>
      </c>
      <c r="C14" s="16">
        <v>200</v>
      </c>
      <c r="D14" s="16">
        <v>2</v>
      </c>
      <c r="E14" s="16" t="s">
        <v>72</v>
      </c>
      <c r="F14" s="16" t="s">
        <v>77</v>
      </c>
      <c r="G14" s="24"/>
      <c r="H14" s="17" t="s">
        <v>84</v>
      </c>
      <c r="I14" s="16">
        <v>3</v>
      </c>
      <c r="J14" s="17"/>
      <c r="L14" s="19">
        <f>SUMIFS($A$10:$A$400,$B$10:$B$400,"CH",$D$10:$D$400,"5")</f>
        <v>3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115</v>
      </c>
      <c r="C15" s="16">
        <v>120</v>
      </c>
      <c r="D15" s="16">
        <v>2</v>
      </c>
      <c r="E15" s="16" t="s">
        <v>72</v>
      </c>
      <c r="F15" s="16" t="s">
        <v>73</v>
      </c>
      <c r="G15" s="24"/>
      <c r="H15" s="17" t="s">
        <v>97</v>
      </c>
      <c r="I15" s="16">
        <v>4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19</v>
      </c>
      <c r="C16" s="16">
        <v>80</v>
      </c>
      <c r="D16" s="16">
        <v>2</v>
      </c>
      <c r="E16" s="16" t="s">
        <v>72</v>
      </c>
      <c r="F16" s="16" t="s">
        <v>126</v>
      </c>
      <c r="G16" s="24"/>
      <c r="H16" s="17" t="s">
        <v>96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60</v>
      </c>
      <c r="D17" s="16">
        <v>3</v>
      </c>
      <c r="E17" s="16" t="s">
        <v>65</v>
      </c>
      <c r="F17" s="16" t="s">
        <v>77</v>
      </c>
      <c r="G17" s="24"/>
      <c r="H17" s="17" t="s">
        <v>99</v>
      </c>
      <c r="I17" s="16">
        <v>2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19</v>
      </c>
      <c r="C18" s="16">
        <v>70</v>
      </c>
      <c r="D18" s="16">
        <v>3</v>
      </c>
      <c r="E18" s="16" t="s">
        <v>65</v>
      </c>
      <c r="F18" s="16" t="s">
        <v>77</v>
      </c>
      <c r="G18" s="24"/>
      <c r="H18" s="17" t="s">
        <v>96</v>
      </c>
      <c r="I18" s="16">
        <v>1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19</v>
      </c>
      <c r="C19" s="16">
        <v>70</v>
      </c>
      <c r="D19" s="16">
        <v>3</v>
      </c>
      <c r="E19" s="16" t="s">
        <v>65</v>
      </c>
      <c r="F19" s="16" t="s">
        <v>73</v>
      </c>
      <c r="G19" s="24"/>
      <c r="H19" s="17" t="s">
        <v>97</v>
      </c>
      <c r="I19" s="16">
        <v>4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19</v>
      </c>
      <c r="C20" s="16">
        <v>65</v>
      </c>
      <c r="D20" s="16">
        <v>3</v>
      </c>
      <c r="E20" s="16" t="s">
        <v>65</v>
      </c>
      <c r="F20" s="16" t="s">
        <v>77</v>
      </c>
      <c r="G20" s="24"/>
      <c r="H20" s="17" t="s">
        <v>84</v>
      </c>
      <c r="I20" s="16">
        <v>3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50</v>
      </c>
      <c r="D21" s="16">
        <v>3</v>
      </c>
      <c r="E21" s="16" t="s">
        <v>65</v>
      </c>
      <c r="F21" s="16" t="s">
        <v>73</v>
      </c>
      <c r="G21" s="24"/>
      <c r="H21" s="17" t="s">
        <v>97</v>
      </c>
      <c r="I21" s="16">
        <v>4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19</v>
      </c>
      <c r="C22" s="16">
        <v>80</v>
      </c>
      <c r="D22" s="16">
        <v>4</v>
      </c>
      <c r="E22" s="16" t="s">
        <v>72</v>
      </c>
      <c r="F22" s="16" t="s">
        <v>141</v>
      </c>
      <c r="G22" s="24"/>
      <c r="H22" s="17" t="s">
        <v>97</v>
      </c>
      <c r="I22" s="16">
        <v>4</v>
      </c>
      <c r="J22" s="17" t="s">
        <v>151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19</v>
      </c>
      <c r="C23" s="16">
        <v>70</v>
      </c>
      <c r="D23" s="16">
        <v>5</v>
      </c>
      <c r="E23" s="16" t="s">
        <v>65</v>
      </c>
      <c r="F23" s="16" t="s">
        <v>73</v>
      </c>
      <c r="G23" s="24"/>
      <c r="H23" s="17" t="s">
        <v>96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19</v>
      </c>
      <c r="C24" s="16">
        <v>60</v>
      </c>
      <c r="D24" s="16">
        <v>5</v>
      </c>
      <c r="E24" s="16" t="s">
        <v>65</v>
      </c>
      <c r="F24" s="16" t="s">
        <v>77</v>
      </c>
      <c r="G24" s="24"/>
      <c r="H24" s="17" t="s">
        <v>84</v>
      </c>
      <c r="I24" s="16">
        <v>3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19</v>
      </c>
      <c r="C25" s="16">
        <v>90</v>
      </c>
      <c r="D25" s="16">
        <v>5</v>
      </c>
      <c r="E25" s="16" t="s">
        <v>65</v>
      </c>
      <c r="F25" s="16" t="s">
        <v>73</v>
      </c>
      <c r="G25" s="24"/>
      <c r="H25" s="17" t="s">
        <v>97</v>
      </c>
      <c r="I25" s="16">
        <v>4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68</v>
      </c>
      <c r="C26" s="16">
        <v>75</v>
      </c>
      <c r="D26" s="16">
        <v>5</v>
      </c>
      <c r="E26" s="16" t="s">
        <v>65</v>
      </c>
      <c r="F26" s="16" t="s">
        <v>77</v>
      </c>
      <c r="G26" s="24"/>
      <c r="H26" s="17" t="s">
        <v>84</v>
      </c>
      <c r="I26" s="16">
        <v>3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85</v>
      </c>
      <c r="C27" s="16">
        <v>120</v>
      </c>
      <c r="D27" s="16">
        <v>6</v>
      </c>
      <c r="E27" s="16" t="s">
        <v>72</v>
      </c>
      <c r="F27" s="16" t="s">
        <v>77</v>
      </c>
      <c r="G27" s="24"/>
      <c r="H27" s="17" t="s">
        <v>84</v>
      </c>
      <c r="I27" s="16">
        <v>3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21</v>
      </c>
      <c r="C28" s="16">
        <v>60</v>
      </c>
      <c r="D28" s="16">
        <v>6</v>
      </c>
      <c r="E28" s="16" t="s">
        <v>72</v>
      </c>
      <c r="F28" s="16" t="s">
        <v>77</v>
      </c>
      <c r="G28" s="24"/>
      <c r="H28" s="17" t="s">
        <v>84</v>
      </c>
      <c r="I28" s="16">
        <v>3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21</v>
      </c>
      <c r="C29" s="16">
        <v>100</v>
      </c>
      <c r="D29" s="16">
        <v>6</v>
      </c>
      <c r="E29" s="16" t="s">
        <v>72</v>
      </c>
      <c r="F29" s="16" t="s">
        <v>73</v>
      </c>
      <c r="G29" s="24"/>
      <c r="H29" s="17" t="s">
        <v>96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21</v>
      </c>
      <c r="C30" s="16">
        <v>75</v>
      </c>
      <c r="D30" s="16">
        <v>6</v>
      </c>
      <c r="E30" s="16" t="s">
        <v>72</v>
      </c>
      <c r="F30" s="16" t="s">
        <v>77</v>
      </c>
      <c r="G30" s="24">
        <v>1422</v>
      </c>
      <c r="H30" s="17" t="s">
        <v>84</v>
      </c>
      <c r="I30" s="16">
        <v>3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42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2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3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5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7" t="s">
        <v>61</v>
      </c>
      <c r="E2" s="4"/>
    </row>
    <row r="3" spans="1:14" x14ac:dyDescent="0.3">
      <c r="A3" s="6" t="s">
        <v>2</v>
      </c>
      <c r="B3" s="21" t="s">
        <v>221</v>
      </c>
      <c r="E3" s="4"/>
    </row>
    <row r="4" spans="1:14" x14ac:dyDescent="0.3">
      <c r="A4" s="6" t="s">
        <v>3</v>
      </c>
      <c r="B4" s="8">
        <v>42934</v>
      </c>
      <c r="E4" s="4"/>
    </row>
    <row r="5" spans="1:14" x14ac:dyDescent="0.3">
      <c r="A5" s="6" t="s">
        <v>4</v>
      </c>
      <c r="B5" s="7" t="s">
        <v>187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70</v>
      </c>
      <c r="E8" s="3" t="s">
        <v>74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21</v>
      </c>
      <c r="C10" s="16">
        <v>50</v>
      </c>
      <c r="D10" s="16">
        <v>1</v>
      </c>
      <c r="E10" s="16" t="s">
        <v>65</v>
      </c>
      <c r="F10" s="16" t="s">
        <v>77</v>
      </c>
      <c r="G10" s="24">
        <v>1605</v>
      </c>
      <c r="H10" s="17" t="s">
        <v>76</v>
      </c>
      <c r="I10" s="16">
        <v>1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3</v>
      </c>
      <c r="B11" s="16" t="s">
        <v>19</v>
      </c>
      <c r="C11" s="16">
        <v>50</v>
      </c>
      <c r="D11" s="16">
        <v>2</v>
      </c>
      <c r="E11" s="16" t="s">
        <v>71</v>
      </c>
      <c r="F11" s="16" t="s">
        <v>77</v>
      </c>
      <c r="G11" s="24">
        <v>1608</v>
      </c>
      <c r="H11" s="17" t="s">
        <v>76</v>
      </c>
      <c r="I11" s="16">
        <v>1</v>
      </c>
      <c r="J11" s="17"/>
      <c r="L11" s="19">
        <f>SUMIFS($A$10:$A$400,$B$10:$B$400,"CH",$D$10:$D$400,"2")</f>
        <v>8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40</v>
      </c>
      <c r="D12" s="16">
        <v>2</v>
      </c>
      <c r="E12" s="16" t="s">
        <v>71</v>
      </c>
      <c r="F12" s="16" t="s">
        <v>77</v>
      </c>
      <c r="G12" s="24"/>
      <c r="H12" s="17" t="s">
        <v>76</v>
      </c>
      <c r="I12" s="16">
        <v>1</v>
      </c>
      <c r="J12" s="17"/>
      <c r="L12" s="19">
        <f>SUMIFS($A$10:$A$400,$B$10:$B$400,"CH",$D$10:$D$400,"3")</f>
        <v>8</v>
      </c>
      <c r="M12" s="19" t="s">
        <v>19</v>
      </c>
      <c r="N12" s="19" t="s">
        <v>24</v>
      </c>
    </row>
    <row r="13" spans="1:14" s="18" customFormat="1" x14ac:dyDescent="0.3">
      <c r="A13" s="16">
        <v>3</v>
      </c>
      <c r="B13" s="16" t="s">
        <v>78</v>
      </c>
      <c r="C13" s="16">
        <v>70</v>
      </c>
      <c r="D13" s="16">
        <v>2</v>
      </c>
      <c r="E13" s="16" t="s">
        <v>71</v>
      </c>
      <c r="F13" s="16" t="s">
        <v>77</v>
      </c>
      <c r="G13" s="24"/>
      <c r="H13" s="17" t="s">
        <v>76</v>
      </c>
      <c r="I13" s="16">
        <v>1</v>
      </c>
      <c r="J13" s="17"/>
      <c r="L13" s="19">
        <f>SUMIFS($A$10:$A$400,$B$10:$B$400,"CH",$D$10:$D$400,"4")</f>
        <v>6</v>
      </c>
      <c r="M13" s="19" t="s">
        <v>19</v>
      </c>
      <c r="N13" s="19" t="s">
        <v>26</v>
      </c>
    </row>
    <row r="14" spans="1:14" s="18" customFormat="1" x14ac:dyDescent="0.3">
      <c r="A14" s="16">
        <v>4</v>
      </c>
      <c r="B14" s="16" t="s">
        <v>19</v>
      </c>
      <c r="C14" s="16">
        <v>50</v>
      </c>
      <c r="D14" s="16">
        <v>2</v>
      </c>
      <c r="E14" s="16" t="s">
        <v>71</v>
      </c>
      <c r="F14" s="16" t="s">
        <v>77</v>
      </c>
      <c r="G14" s="24"/>
      <c r="H14" s="17" t="s">
        <v>76</v>
      </c>
      <c r="I14" s="16">
        <v>1</v>
      </c>
      <c r="J14" s="17"/>
      <c r="L14" s="19">
        <f>SUMIFS($A$10:$A$400,$B$10:$B$400,"CH",$D$10:$D$400,"5")</f>
        <v>15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21</v>
      </c>
      <c r="C15" s="16">
        <v>50</v>
      </c>
      <c r="D15" s="16">
        <v>3</v>
      </c>
      <c r="E15" s="16" t="s">
        <v>65</v>
      </c>
      <c r="F15" s="16" t="s">
        <v>77</v>
      </c>
      <c r="G15" s="24">
        <v>1612</v>
      </c>
      <c r="H15" s="17" t="s">
        <v>76</v>
      </c>
      <c r="I15" s="16">
        <v>1</v>
      </c>
      <c r="J15" s="17"/>
      <c r="L15" s="19">
        <f>SUMIFS($A$10:$A$400,$B$10:$B$400,"CH",$D$10:$D$400,"6")</f>
        <v>59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21</v>
      </c>
      <c r="C16" s="16">
        <v>40</v>
      </c>
      <c r="D16" s="16">
        <v>3</v>
      </c>
      <c r="E16" s="16" t="s">
        <v>65</v>
      </c>
      <c r="F16" s="16" t="s">
        <v>66</v>
      </c>
      <c r="G16" s="24"/>
      <c r="H16" s="17" t="s">
        <v>76</v>
      </c>
      <c r="I16" s="16">
        <v>1</v>
      </c>
      <c r="J16" s="17"/>
      <c r="L16" s="19">
        <f>SUMIFS($A$10:$A$400,$B$10:$B$400,"CH",$D$10:$D$400,"7")</f>
        <v>2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30</v>
      </c>
      <c r="D17" s="16">
        <v>3</v>
      </c>
      <c r="E17" s="16" t="s">
        <v>65</v>
      </c>
      <c r="F17" s="16" t="s">
        <v>62</v>
      </c>
      <c r="G17" s="24"/>
      <c r="H17" s="17" t="s">
        <v>76</v>
      </c>
      <c r="I17" s="16">
        <v>1</v>
      </c>
      <c r="J17" s="17"/>
      <c r="L17" s="19">
        <f>SUMIFS($A$10:$A$400,$B$10:$B$400,"CH",$D$10:$D$400,"8")</f>
        <v>3</v>
      </c>
      <c r="M17" s="19" t="s">
        <v>19</v>
      </c>
      <c r="N17" s="19" t="s">
        <v>30</v>
      </c>
    </row>
    <row r="18" spans="1:14" s="18" customFormat="1" x14ac:dyDescent="0.3">
      <c r="A18" s="16">
        <v>4</v>
      </c>
      <c r="B18" s="16" t="s">
        <v>21</v>
      </c>
      <c r="C18" s="16">
        <v>40</v>
      </c>
      <c r="D18" s="16">
        <v>3</v>
      </c>
      <c r="E18" s="16" t="s">
        <v>65</v>
      </c>
      <c r="F18" s="16" t="s">
        <v>77</v>
      </c>
      <c r="G18" s="24"/>
      <c r="H18" s="17" t="s">
        <v>76</v>
      </c>
      <c r="I18" s="16">
        <v>1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5</v>
      </c>
      <c r="B19" s="16" t="s">
        <v>19</v>
      </c>
      <c r="C19" s="16">
        <v>40</v>
      </c>
      <c r="D19" s="16">
        <v>3</v>
      </c>
      <c r="E19" s="16" t="s">
        <v>65</v>
      </c>
      <c r="F19" s="16" t="s">
        <v>77</v>
      </c>
      <c r="G19" s="24"/>
      <c r="H19" s="17" t="s">
        <v>76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3</v>
      </c>
      <c r="B20" s="16" t="s">
        <v>19</v>
      </c>
      <c r="C20" s="16">
        <v>50</v>
      </c>
      <c r="D20" s="16">
        <v>3</v>
      </c>
      <c r="E20" s="16" t="s">
        <v>65</v>
      </c>
      <c r="F20" s="16" t="s">
        <v>63</v>
      </c>
      <c r="G20" s="24"/>
      <c r="H20" s="17" t="s">
        <v>76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100</v>
      </c>
      <c r="D21" s="16">
        <v>4</v>
      </c>
      <c r="E21" s="16" t="s">
        <v>71</v>
      </c>
      <c r="F21" s="16" t="s">
        <v>79</v>
      </c>
      <c r="G21" s="24">
        <v>1616</v>
      </c>
      <c r="H21" s="17" t="s">
        <v>63</v>
      </c>
      <c r="I21" s="16">
        <v>1</v>
      </c>
      <c r="J21" s="17" t="s">
        <v>80</v>
      </c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21</v>
      </c>
      <c r="C22" s="16">
        <v>90</v>
      </c>
      <c r="D22" s="16">
        <v>4</v>
      </c>
      <c r="E22" s="16" t="s">
        <v>71</v>
      </c>
      <c r="F22" s="16" t="s">
        <v>79</v>
      </c>
      <c r="G22" s="24"/>
      <c r="H22" s="17" t="s">
        <v>63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6</v>
      </c>
      <c r="B23" s="16" t="s">
        <v>19</v>
      </c>
      <c r="C23" s="16">
        <v>70</v>
      </c>
      <c r="D23" s="16">
        <v>4</v>
      </c>
      <c r="E23" s="16" t="s">
        <v>71</v>
      </c>
      <c r="F23" s="16" t="s">
        <v>77</v>
      </c>
      <c r="G23" s="24"/>
      <c r="H23" s="17" t="s">
        <v>63</v>
      </c>
      <c r="I23" s="16">
        <v>1</v>
      </c>
      <c r="J23" s="17"/>
      <c r="L23" s="19">
        <f>SUMIFS($A$10:$A$400,$B$10:$B$400,"CH",$D$10:$D$400,"14")</f>
        <v>4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19</v>
      </c>
      <c r="C24" s="16">
        <v>100</v>
      </c>
      <c r="D24" s="16">
        <v>5</v>
      </c>
      <c r="E24" s="16" t="s">
        <v>65</v>
      </c>
      <c r="F24" s="16" t="s">
        <v>77</v>
      </c>
      <c r="G24" s="24">
        <v>1618</v>
      </c>
      <c r="H24" s="17" t="s">
        <v>63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7</v>
      </c>
      <c r="B25" s="16" t="s">
        <v>19</v>
      </c>
      <c r="C25" s="16">
        <v>70</v>
      </c>
      <c r="D25" s="16">
        <v>5</v>
      </c>
      <c r="E25" s="16" t="s">
        <v>65</v>
      </c>
      <c r="F25" s="16" t="s">
        <v>77</v>
      </c>
      <c r="G25" s="24"/>
      <c r="H25" s="17" t="s">
        <v>63</v>
      </c>
      <c r="I25" s="16">
        <v>1</v>
      </c>
      <c r="J25" s="17" t="s">
        <v>81</v>
      </c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19</v>
      </c>
      <c r="C26" s="16">
        <v>60</v>
      </c>
      <c r="D26" s="16">
        <v>5</v>
      </c>
      <c r="E26" s="16" t="s">
        <v>65</v>
      </c>
      <c r="F26" s="16" t="s">
        <v>77</v>
      </c>
      <c r="G26" s="24"/>
      <c r="H26" s="17" t="s">
        <v>63</v>
      </c>
      <c r="I26" s="16">
        <v>1</v>
      </c>
      <c r="J26" s="17"/>
      <c r="L26" s="19">
        <f>SUMIFS($A$10:$A$400,$B$10:$B$400,"CH",$D$10:$D$400,"17")</f>
        <v>8</v>
      </c>
      <c r="M26" s="19" t="s">
        <v>19</v>
      </c>
      <c r="N26" s="19" t="s">
        <v>37</v>
      </c>
    </row>
    <row r="27" spans="1:14" s="18" customFormat="1" x14ac:dyDescent="0.3">
      <c r="A27" s="16">
        <v>2</v>
      </c>
      <c r="B27" s="16" t="s">
        <v>19</v>
      </c>
      <c r="C27" s="16">
        <v>70</v>
      </c>
      <c r="D27" s="16">
        <v>5</v>
      </c>
      <c r="E27" s="16" t="s">
        <v>65</v>
      </c>
      <c r="F27" s="16" t="s">
        <v>77</v>
      </c>
      <c r="G27" s="24"/>
      <c r="H27" s="17" t="s">
        <v>63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19</v>
      </c>
      <c r="C28" s="16">
        <v>80</v>
      </c>
      <c r="D28" s="16">
        <v>5</v>
      </c>
      <c r="E28" s="16" t="s">
        <v>65</v>
      </c>
      <c r="F28" s="16" t="s">
        <v>66</v>
      </c>
      <c r="G28" s="24"/>
      <c r="H28" s="17" t="s">
        <v>63</v>
      </c>
      <c r="I28" s="16">
        <v>1</v>
      </c>
      <c r="J28" s="17"/>
      <c r="L28" s="19">
        <f>SUMIFS($A$10:$A$400,$B$10:$B$400,"CH",$D$10:$D$400,"19")</f>
        <v>1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21</v>
      </c>
      <c r="C29" s="16">
        <v>90</v>
      </c>
      <c r="D29" s="16">
        <v>5</v>
      </c>
      <c r="E29" s="16" t="s">
        <v>65</v>
      </c>
      <c r="F29" s="16" t="s">
        <v>66</v>
      </c>
      <c r="G29" s="24"/>
      <c r="H29" s="17" t="s">
        <v>63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3</v>
      </c>
      <c r="B30" s="16" t="s">
        <v>19</v>
      </c>
      <c r="C30" s="16">
        <v>70</v>
      </c>
      <c r="D30" s="16">
        <v>5</v>
      </c>
      <c r="E30" s="16" t="s">
        <v>65</v>
      </c>
      <c r="F30" s="16" t="s">
        <v>77</v>
      </c>
      <c r="G30" s="24"/>
      <c r="H30" s="17" t="s">
        <v>63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21</v>
      </c>
      <c r="C31" s="16">
        <v>120</v>
      </c>
      <c r="D31" s="16">
        <v>5</v>
      </c>
      <c r="E31" s="16" t="s">
        <v>65</v>
      </c>
      <c r="F31" s="16" t="s">
        <v>66</v>
      </c>
      <c r="G31" s="24"/>
      <c r="H31" s="17" t="s">
        <v>63</v>
      </c>
      <c r="I31" s="16">
        <v>1</v>
      </c>
      <c r="J31" s="17"/>
      <c r="L31" s="19">
        <f>SUMIFS($A$10:$A$400,$B$10:$B$400,"CH",$D$10:$D$400,"22")</f>
        <v>6</v>
      </c>
      <c r="M31" s="19" t="s">
        <v>19</v>
      </c>
      <c r="N31" s="19" t="s">
        <v>42</v>
      </c>
    </row>
    <row r="32" spans="1:14" s="18" customFormat="1" x14ac:dyDescent="0.3">
      <c r="A32" s="16">
        <v>4</v>
      </c>
      <c r="B32" s="16" t="s">
        <v>19</v>
      </c>
      <c r="C32" s="16">
        <v>60</v>
      </c>
      <c r="D32" s="16">
        <v>6</v>
      </c>
      <c r="E32" s="16" t="s">
        <v>71</v>
      </c>
      <c r="F32" s="16" t="s">
        <v>63</v>
      </c>
      <c r="G32" s="24">
        <v>1628</v>
      </c>
      <c r="H32" s="17" t="s">
        <v>82</v>
      </c>
      <c r="I32" s="16">
        <v>4</v>
      </c>
      <c r="J32" s="17" t="s">
        <v>83</v>
      </c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21</v>
      </c>
      <c r="C33" s="16">
        <v>100</v>
      </c>
      <c r="D33" s="16">
        <v>6</v>
      </c>
      <c r="E33" s="16" t="s">
        <v>71</v>
      </c>
      <c r="F33" s="16" t="s">
        <v>77</v>
      </c>
      <c r="G33" s="24"/>
      <c r="H33" s="17" t="s">
        <v>63</v>
      </c>
      <c r="I33" s="16">
        <v>1</v>
      </c>
      <c r="J33" s="17"/>
      <c r="L33" s="19">
        <f>SUMIFS($A$10:$A$400,$B$10:$B$400,"CH",$D$10:$D$400,"24")</f>
        <v>1</v>
      </c>
      <c r="M33" s="19" t="s">
        <v>19</v>
      </c>
      <c r="N33" s="19" t="s">
        <v>44</v>
      </c>
    </row>
    <row r="34" spans="1:14" s="18" customFormat="1" x14ac:dyDescent="0.3">
      <c r="A34" s="16">
        <v>3</v>
      </c>
      <c r="B34" s="16" t="s">
        <v>19</v>
      </c>
      <c r="C34" s="16">
        <v>50</v>
      </c>
      <c r="D34" s="16">
        <v>6</v>
      </c>
      <c r="E34" s="16" t="s">
        <v>71</v>
      </c>
      <c r="F34" s="16" t="s">
        <v>77</v>
      </c>
      <c r="G34" s="24"/>
      <c r="H34" s="17" t="s">
        <v>84</v>
      </c>
      <c r="I34" s="16">
        <v>1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30</v>
      </c>
      <c r="B35" s="16" t="s">
        <v>85</v>
      </c>
      <c r="C35" s="16">
        <v>30</v>
      </c>
      <c r="D35" s="16">
        <v>6</v>
      </c>
      <c r="E35" s="16" t="s">
        <v>71</v>
      </c>
      <c r="F35" s="16" t="s">
        <v>77</v>
      </c>
      <c r="G35" s="24"/>
      <c r="H35" s="17" t="s">
        <v>76</v>
      </c>
      <c r="I35" s="16">
        <v>1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180</v>
      </c>
      <c r="D36" s="16">
        <v>6</v>
      </c>
      <c r="E36" s="16" t="s">
        <v>71</v>
      </c>
      <c r="F36" s="16" t="s">
        <v>73</v>
      </c>
      <c r="G36" s="24"/>
      <c r="H36" s="17" t="s">
        <v>86</v>
      </c>
      <c r="I36" s="16">
        <v>1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9</v>
      </c>
      <c r="B37" s="16" t="s">
        <v>19</v>
      </c>
      <c r="C37" s="16">
        <v>65</v>
      </c>
      <c r="D37" s="16">
        <v>6</v>
      </c>
      <c r="E37" s="16" t="s">
        <v>71</v>
      </c>
      <c r="F37" s="16" t="s">
        <v>77</v>
      </c>
      <c r="G37" s="24"/>
      <c r="H37" s="17" t="s">
        <v>63</v>
      </c>
      <c r="I37" s="16">
        <v>1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21</v>
      </c>
      <c r="C38" s="16">
        <v>250</v>
      </c>
      <c r="D38" s="16">
        <v>6</v>
      </c>
      <c r="E38" s="16" t="s">
        <v>71</v>
      </c>
      <c r="F38" s="16" t="s">
        <v>77</v>
      </c>
      <c r="G38" s="24">
        <v>1640</v>
      </c>
      <c r="H38" s="17" t="s">
        <v>63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3</v>
      </c>
      <c r="B39" s="16" t="s">
        <v>21</v>
      </c>
      <c r="C39" s="16">
        <v>50</v>
      </c>
      <c r="D39" s="16">
        <v>6</v>
      </c>
      <c r="E39" s="16" t="s">
        <v>71</v>
      </c>
      <c r="F39" s="16" t="s">
        <v>63</v>
      </c>
      <c r="G39" s="24"/>
      <c r="H39" s="17" t="s">
        <v>76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2</v>
      </c>
      <c r="B40" s="16" t="s">
        <v>21</v>
      </c>
      <c r="C40" s="16">
        <v>70</v>
      </c>
      <c r="D40" s="16">
        <v>6</v>
      </c>
      <c r="E40" s="16" t="s">
        <v>71</v>
      </c>
      <c r="F40" s="16" t="s">
        <v>63</v>
      </c>
      <c r="G40" s="24"/>
      <c r="H40" s="17" t="s">
        <v>76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21</v>
      </c>
      <c r="C41" s="16">
        <v>120</v>
      </c>
      <c r="D41" s="16">
        <v>6</v>
      </c>
      <c r="E41" s="16" t="s">
        <v>71</v>
      </c>
      <c r="F41" s="16" t="s">
        <v>63</v>
      </c>
      <c r="G41" s="24"/>
      <c r="H41" s="17" t="s">
        <v>63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15</v>
      </c>
      <c r="B42" s="16" t="s">
        <v>19</v>
      </c>
      <c r="C42" s="16">
        <v>60</v>
      </c>
      <c r="D42" s="16">
        <v>6</v>
      </c>
      <c r="E42" s="16" t="s">
        <v>71</v>
      </c>
      <c r="F42" s="16" t="s">
        <v>87</v>
      </c>
      <c r="G42" s="24"/>
      <c r="H42" s="17" t="s">
        <v>63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20</v>
      </c>
      <c r="B43" s="16" t="s">
        <v>19</v>
      </c>
      <c r="C43" s="16">
        <v>70</v>
      </c>
      <c r="D43" s="16">
        <v>6</v>
      </c>
      <c r="E43" s="16" t="s">
        <v>71</v>
      </c>
      <c r="F43" s="16" t="s">
        <v>87</v>
      </c>
      <c r="G43" s="24"/>
      <c r="H43" s="17" t="s">
        <v>63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2</v>
      </c>
      <c r="B44" s="16" t="s">
        <v>21</v>
      </c>
      <c r="C44" s="16">
        <v>100</v>
      </c>
      <c r="D44" s="16">
        <v>6</v>
      </c>
      <c r="E44" s="16" t="s">
        <v>71</v>
      </c>
      <c r="F44" s="16" t="s">
        <v>87</v>
      </c>
      <c r="G44" s="24"/>
      <c r="H44" s="17" t="s">
        <v>63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21</v>
      </c>
      <c r="C45" s="16">
        <v>50</v>
      </c>
      <c r="D45" s="16">
        <v>6</v>
      </c>
      <c r="E45" s="16" t="s">
        <v>71</v>
      </c>
      <c r="F45" s="16" t="s">
        <v>87</v>
      </c>
      <c r="G45" s="24"/>
      <c r="H45" s="17" t="s">
        <v>76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3</v>
      </c>
      <c r="B46" s="16" t="s">
        <v>21</v>
      </c>
      <c r="C46" s="16">
        <v>50</v>
      </c>
      <c r="D46" s="16">
        <v>6</v>
      </c>
      <c r="E46" s="16" t="s">
        <v>71</v>
      </c>
      <c r="F46" s="16" t="s">
        <v>87</v>
      </c>
      <c r="G46" s="24"/>
      <c r="H46" s="17" t="s">
        <v>76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3</v>
      </c>
      <c r="B47" s="16" t="s">
        <v>19</v>
      </c>
      <c r="C47" s="16">
        <v>50</v>
      </c>
      <c r="D47" s="16">
        <v>6</v>
      </c>
      <c r="E47" s="16" t="s">
        <v>71</v>
      </c>
      <c r="F47" s="16" t="s">
        <v>87</v>
      </c>
      <c r="G47" s="24"/>
      <c r="H47" s="17" t="s">
        <v>84</v>
      </c>
      <c r="I47" s="16">
        <v>1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3</v>
      </c>
      <c r="B48" s="16" t="s">
        <v>19</v>
      </c>
      <c r="C48" s="16">
        <v>210</v>
      </c>
      <c r="D48" s="16">
        <v>6</v>
      </c>
      <c r="E48" s="16" t="s">
        <v>71</v>
      </c>
      <c r="F48" s="16" t="s">
        <v>87</v>
      </c>
      <c r="G48" s="24"/>
      <c r="H48" s="17" t="s">
        <v>84</v>
      </c>
      <c r="I48" s="16">
        <v>1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12</v>
      </c>
      <c r="B49" s="16" t="s">
        <v>85</v>
      </c>
      <c r="C49" s="16">
        <v>35</v>
      </c>
      <c r="D49" s="16">
        <v>6</v>
      </c>
      <c r="E49" s="16" t="s">
        <v>71</v>
      </c>
      <c r="F49" s="16" t="s">
        <v>77</v>
      </c>
      <c r="G49" s="24"/>
      <c r="H49" s="17" t="s">
        <v>76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19</v>
      </c>
      <c r="C50" s="16">
        <v>40</v>
      </c>
      <c r="D50" s="16">
        <v>6</v>
      </c>
      <c r="E50" s="16" t="s">
        <v>71</v>
      </c>
      <c r="F50" s="16" t="s">
        <v>63</v>
      </c>
      <c r="G50" s="24"/>
      <c r="H50" s="17" t="s">
        <v>76</v>
      </c>
      <c r="I50" s="16">
        <v>1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2</v>
      </c>
      <c r="B51" s="16" t="s">
        <v>21</v>
      </c>
      <c r="C51" s="16">
        <v>50</v>
      </c>
      <c r="D51" s="16">
        <v>6</v>
      </c>
      <c r="E51" s="16" t="s">
        <v>71</v>
      </c>
      <c r="F51" s="16" t="s">
        <v>77</v>
      </c>
      <c r="G51" s="24"/>
      <c r="H51" s="17" t="s">
        <v>63</v>
      </c>
      <c r="I51" s="16">
        <v>1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19</v>
      </c>
      <c r="C52" s="16">
        <v>50</v>
      </c>
      <c r="D52" s="16">
        <v>6</v>
      </c>
      <c r="E52" s="16" t="s">
        <v>71</v>
      </c>
      <c r="F52" s="16" t="s">
        <v>63</v>
      </c>
      <c r="G52" s="24"/>
      <c r="H52" s="17" t="s">
        <v>84</v>
      </c>
      <c r="I52" s="16">
        <v>1</v>
      </c>
      <c r="J52" s="17"/>
      <c r="L52" s="19">
        <f>SUM(L10:L51)</f>
        <v>121</v>
      </c>
      <c r="M52" s="19"/>
      <c r="N52" s="19"/>
    </row>
    <row r="53" spans="1:14" s="18" customFormat="1" x14ac:dyDescent="0.3">
      <c r="A53" s="16">
        <v>20</v>
      </c>
      <c r="B53" s="16" t="s">
        <v>85</v>
      </c>
      <c r="C53" s="16">
        <v>30</v>
      </c>
      <c r="D53" s="16">
        <v>6</v>
      </c>
      <c r="E53" s="16" t="s">
        <v>71</v>
      </c>
      <c r="F53" s="16" t="s">
        <v>77</v>
      </c>
      <c r="G53" s="24"/>
      <c r="H53" s="17" t="s">
        <v>84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15</v>
      </c>
      <c r="B54" s="16" t="s">
        <v>85</v>
      </c>
      <c r="C54" s="16">
        <v>35</v>
      </c>
      <c r="D54" s="16">
        <v>6</v>
      </c>
      <c r="E54" s="16" t="s">
        <v>71</v>
      </c>
      <c r="F54" s="16" t="s">
        <v>63</v>
      </c>
      <c r="G54" s="24"/>
      <c r="H54" s="17" t="s">
        <v>76</v>
      </c>
      <c r="I54" s="16">
        <v>1</v>
      </c>
      <c r="J54" s="17"/>
      <c r="L54" s="19">
        <f>SUMIFS($A$10:$A$400,$B$10:$B$400,"RT",$D$10:$D$400,"1")</f>
        <v>1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19</v>
      </c>
      <c r="C55" s="16">
        <v>75</v>
      </c>
      <c r="D55" s="16">
        <v>7</v>
      </c>
      <c r="E55" s="16" t="s">
        <v>65</v>
      </c>
      <c r="F55" s="16" t="s">
        <v>77</v>
      </c>
      <c r="G55" s="24">
        <v>1655</v>
      </c>
      <c r="H55" s="17" t="s">
        <v>84</v>
      </c>
      <c r="I55" s="16">
        <v>1</v>
      </c>
      <c r="J55" s="17" t="s">
        <v>188</v>
      </c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19</v>
      </c>
      <c r="C56" s="16">
        <v>40</v>
      </c>
      <c r="D56" s="16">
        <v>7</v>
      </c>
      <c r="E56" s="16" t="s">
        <v>65</v>
      </c>
      <c r="F56" s="16" t="s">
        <v>77</v>
      </c>
      <c r="G56" s="24"/>
      <c r="H56" s="17" t="s">
        <v>84</v>
      </c>
      <c r="I56" s="16">
        <v>1</v>
      </c>
      <c r="J56" s="17"/>
      <c r="L56" s="19">
        <f>SUMIFS($A$10:$A$400,$B$10:$B$400,"RT",$D$10:$D$400,"3")</f>
        <v>7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19</v>
      </c>
      <c r="C57" s="16">
        <v>110</v>
      </c>
      <c r="D57" s="16">
        <v>8</v>
      </c>
      <c r="E57" s="16" t="s">
        <v>71</v>
      </c>
      <c r="F57" s="16" t="s">
        <v>63</v>
      </c>
      <c r="G57" s="24">
        <v>1659</v>
      </c>
      <c r="H57" s="17" t="s">
        <v>84</v>
      </c>
      <c r="I57" s="16">
        <v>1</v>
      </c>
      <c r="J57" s="17"/>
      <c r="L57" s="19">
        <f>SUMIFS($A$10:$A$400,$B$10:$B$400,"RT",$D$10:$D$400,"4")</f>
        <v>2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19</v>
      </c>
      <c r="C58" s="16">
        <v>75</v>
      </c>
      <c r="D58" s="16">
        <v>8</v>
      </c>
      <c r="E58" s="16" t="s">
        <v>71</v>
      </c>
      <c r="F58" s="16" t="s">
        <v>63</v>
      </c>
      <c r="G58" s="24"/>
      <c r="H58" s="17" t="s">
        <v>84</v>
      </c>
      <c r="I58" s="16">
        <v>1</v>
      </c>
      <c r="J58" s="17"/>
      <c r="L58" s="19">
        <f>SUMIFS($A$10:$A$400,$B$10:$B$400,"RT",$D$10:$D$400,"5")</f>
        <v>2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19</v>
      </c>
      <c r="C59" s="16">
        <v>50</v>
      </c>
      <c r="D59" s="16">
        <v>8</v>
      </c>
      <c r="E59" s="16" t="s">
        <v>71</v>
      </c>
      <c r="F59" s="16" t="s">
        <v>77</v>
      </c>
      <c r="G59" s="24"/>
      <c r="H59" s="17" t="s">
        <v>84</v>
      </c>
      <c r="I59" s="16">
        <v>1</v>
      </c>
      <c r="J59" s="17"/>
      <c r="L59" s="19">
        <f>SUMIFS($A$10:$A$400,$B$10:$B$400,"RT",$D$10:$D$400,"6")</f>
        <v>17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>
        <v>9</v>
      </c>
      <c r="E60" s="16" t="s">
        <v>88</v>
      </c>
      <c r="F60" s="16"/>
      <c r="G60" s="24">
        <v>1701</v>
      </c>
      <c r="H60" s="17"/>
      <c r="I60" s="16"/>
      <c r="J60" s="17" t="s">
        <v>89</v>
      </c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85</v>
      </c>
      <c r="C61" s="16">
        <v>80</v>
      </c>
      <c r="D61" s="16">
        <v>10</v>
      </c>
      <c r="E61" s="16" t="s">
        <v>71</v>
      </c>
      <c r="F61" s="16"/>
      <c r="G61" s="24">
        <v>1704</v>
      </c>
      <c r="H61" s="17" t="s">
        <v>86</v>
      </c>
      <c r="I61" s="16">
        <v>1</v>
      </c>
      <c r="J61" s="17" t="s">
        <v>90</v>
      </c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>
        <v>11</v>
      </c>
      <c r="E62" s="16" t="s">
        <v>65</v>
      </c>
      <c r="F62" s="16"/>
      <c r="G62" s="24"/>
      <c r="H62" s="17" t="s">
        <v>86</v>
      </c>
      <c r="I62" s="16">
        <v>1</v>
      </c>
      <c r="J62" s="17" t="s">
        <v>89</v>
      </c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>
        <v>10</v>
      </c>
      <c r="B63" s="16" t="s">
        <v>85</v>
      </c>
      <c r="C63" s="16">
        <v>80</v>
      </c>
      <c r="D63" s="16">
        <v>12</v>
      </c>
      <c r="E63" s="16" t="s">
        <v>71</v>
      </c>
      <c r="F63" s="16" t="s">
        <v>63</v>
      </c>
      <c r="G63" s="24">
        <v>1712</v>
      </c>
      <c r="H63" s="17" t="s">
        <v>86</v>
      </c>
      <c r="I63" s="16">
        <v>1</v>
      </c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>
        <v>13</v>
      </c>
      <c r="E64" s="16" t="s">
        <v>71</v>
      </c>
      <c r="F64" s="16"/>
      <c r="G64" s="24"/>
      <c r="H64" s="17"/>
      <c r="I64" s="16"/>
      <c r="J64" s="17" t="s">
        <v>89</v>
      </c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>
        <v>1</v>
      </c>
      <c r="B65" s="16" t="s">
        <v>85</v>
      </c>
      <c r="C65" s="16">
        <v>30</v>
      </c>
      <c r="D65" s="16">
        <v>14</v>
      </c>
      <c r="E65" s="16" t="s">
        <v>71</v>
      </c>
      <c r="F65" s="16"/>
      <c r="G65" s="24">
        <v>1715</v>
      </c>
      <c r="H65" s="17" t="s">
        <v>84</v>
      </c>
      <c r="I65" s="16">
        <v>1</v>
      </c>
      <c r="J65" s="17" t="s">
        <v>91</v>
      </c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>
        <v>2</v>
      </c>
      <c r="B66" s="16" t="s">
        <v>19</v>
      </c>
      <c r="C66" s="16">
        <v>75</v>
      </c>
      <c r="D66" s="16">
        <v>14</v>
      </c>
      <c r="E66" s="16" t="s">
        <v>71</v>
      </c>
      <c r="F66" s="16" t="s">
        <v>79</v>
      </c>
      <c r="G66" s="24"/>
      <c r="H66" s="17" t="s">
        <v>84</v>
      </c>
      <c r="I66" s="16">
        <v>1</v>
      </c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>
        <v>2</v>
      </c>
      <c r="B67" s="16" t="s">
        <v>19</v>
      </c>
      <c r="C67" s="16">
        <v>75</v>
      </c>
      <c r="D67" s="16">
        <v>14</v>
      </c>
      <c r="E67" s="16" t="s">
        <v>71</v>
      </c>
      <c r="F67" s="16" t="s">
        <v>79</v>
      </c>
      <c r="G67" s="24"/>
      <c r="H67" s="17" t="s">
        <v>84</v>
      </c>
      <c r="I67" s="16">
        <v>1</v>
      </c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1</v>
      </c>
      <c r="B68" s="16" t="s">
        <v>85</v>
      </c>
      <c r="C68" s="16">
        <v>30</v>
      </c>
      <c r="D68" s="16">
        <v>14</v>
      </c>
      <c r="E68" s="16" t="s">
        <v>71</v>
      </c>
      <c r="F68" s="16" t="s">
        <v>79</v>
      </c>
      <c r="G68" s="24"/>
      <c r="H68" s="17" t="s">
        <v>84</v>
      </c>
      <c r="I68" s="16">
        <v>1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>
        <v>15</v>
      </c>
      <c r="E69" s="16" t="s">
        <v>65</v>
      </c>
      <c r="F69" s="16"/>
      <c r="G69" s="24">
        <v>1725</v>
      </c>
      <c r="H69" s="17"/>
      <c r="I69" s="16"/>
      <c r="J69" s="17" t="s">
        <v>92</v>
      </c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>
        <v>16</v>
      </c>
      <c r="E70" s="16" t="s">
        <v>93</v>
      </c>
      <c r="F70" s="16"/>
      <c r="G70" s="24"/>
      <c r="H70" s="17"/>
      <c r="I70" s="16"/>
      <c r="J70" s="17" t="s">
        <v>94</v>
      </c>
      <c r="L70" s="19">
        <f>SUMIFS($A$10:$A$400,$B$10:$B$400,"RT",$D$10:$D$400,"17")</f>
        <v>1</v>
      </c>
      <c r="M70" s="19" t="s">
        <v>21</v>
      </c>
      <c r="N70" s="19" t="s">
        <v>37</v>
      </c>
    </row>
    <row r="71" spans="1:14" s="18" customFormat="1" x14ac:dyDescent="0.3">
      <c r="A71" s="16">
        <v>3</v>
      </c>
      <c r="B71" s="16" t="s">
        <v>19</v>
      </c>
      <c r="C71" s="16">
        <v>75</v>
      </c>
      <c r="D71" s="16">
        <v>17</v>
      </c>
      <c r="E71" s="16" t="s">
        <v>71</v>
      </c>
      <c r="F71" s="16" t="s">
        <v>77</v>
      </c>
      <c r="G71" s="24">
        <v>1728</v>
      </c>
      <c r="H71" s="17" t="s">
        <v>84</v>
      </c>
      <c r="I71" s="16">
        <v>1</v>
      </c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>
        <v>12</v>
      </c>
      <c r="B72" s="16" t="s">
        <v>85</v>
      </c>
      <c r="C72" s="16">
        <v>35</v>
      </c>
      <c r="D72" s="16">
        <v>17</v>
      </c>
      <c r="E72" s="16" t="s">
        <v>71</v>
      </c>
      <c r="F72" s="16" t="s">
        <v>77</v>
      </c>
      <c r="G72" s="24"/>
      <c r="H72" s="17" t="s">
        <v>84</v>
      </c>
      <c r="I72" s="16">
        <v>1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1</v>
      </c>
      <c r="B73" s="16" t="s">
        <v>21</v>
      </c>
      <c r="C73" s="16">
        <v>45</v>
      </c>
      <c r="D73" s="16">
        <v>17</v>
      </c>
      <c r="E73" s="16" t="s">
        <v>71</v>
      </c>
      <c r="F73" s="16" t="s">
        <v>77</v>
      </c>
      <c r="G73" s="24"/>
      <c r="H73" s="17" t="s">
        <v>84</v>
      </c>
      <c r="I73" s="16">
        <v>1</v>
      </c>
      <c r="J73" s="17"/>
      <c r="L73" s="19">
        <f>SUMIFS($A$10:$A$400,$B$10:$B$400,"RT",$D$10:$D$400,"20")</f>
        <v>1</v>
      </c>
      <c r="M73" s="19" t="s">
        <v>21</v>
      </c>
      <c r="N73" s="19" t="s">
        <v>40</v>
      </c>
    </row>
    <row r="74" spans="1:14" s="18" customFormat="1" x14ac:dyDescent="0.3">
      <c r="A74" s="16">
        <v>5</v>
      </c>
      <c r="B74" s="16" t="s">
        <v>19</v>
      </c>
      <c r="C74" s="16">
        <v>75</v>
      </c>
      <c r="D74" s="16">
        <v>17</v>
      </c>
      <c r="E74" s="16" t="s">
        <v>71</v>
      </c>
      <c r="F74" s="16" t="s">
        <v>63</v>
      </c>
      <c r="G74" s="24"/>
      <c r="H74" s="17" t="s">
        <v>84</v>
      </c>
      <c r="I74" s="16">
        <v>1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>
        <v>1</v>
      </c>
      <c r="B75" s="16" t="s">
        <v>85</v>
      </c>
      <c r="C75" s="16">
        <v>210</v>
      </c>
      <c r="D75" s="16">
        <v>17</v>
      </c>
      <c r="E75" s="16" t="s">
        <v>71</v>
      </c>
      <c r="F75" s="16" t="s">
        <v>63</v>
      </c>
      <c r="G75" s="24">
        <v>1730</v>
      </c>
      <c r="H75" s="17" t="s">
        <v>84</v>
      </c>
      <c r="I75" s="16">
        <v>1</v>
      </c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>
        <v>18</v>
      </c>
      <c r="E76" s="16" t="s">
        <v>65</v>
      </c>
      <c r="F76" s="16"/>
      <c r="G76" s="24">
        <v>1732</v>
      </c>
      <c r="H76" s="17"/>
      <c r="I76" s="16"/>
      <c r="J76" s="17" t="s">
        <v>189</v>
      </c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1</v>
      </c>
      <c r="B77" s="16" t="s">
        <v>19</v>
      </c>
      <c r="C77" s="16">
        <v>75</v>
      </c>
      <c r="D77" s="16">
        <v>19</v>
      </c>
      <c r="E77" s="16" t="s">
        <v>93</v>
      </c>
      <c r="F77" s="16" t="s">
        <v>63</v>
      </c>
      <c r="G77" s="24">
        <v>1736</v>
      </c>
      <c r="H77" s="17" t="s">
        <v>84</v>
      </c>
      <c r="I77" s="16">
        <v>1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2</v>
      </c>
      <c r="B78" s="16" t="s">
        <v>85</v>
      </c>
      <c r="C78" s="16">
        <v>210</v>
      </c>
      <c r="D78" s="16">
        <v>20</v>
      </c>
      <c r="E78" s="16" t="s">
        <v>71</v>
      </c>
      <c r="F78" s="16" t="s">
        <v>77</v>
      </c>
      <c r="G78" s="24">
        <v>1745</v>
      </c>
      <c r="H78" s="17" t="s">
        <v>84</v>
      </c>
      <c r="I78" s="16">
        <v>1</v>
      </c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2</v>
      </c>
      <c r="B79" s="16" t="s">
        <v>85</v>
      </c>
      <c r="C79" s="16">
        <v>110</v>
      </c>
      <c r="D79" s="16">
        <v>20</v>
      </c>
      <c r="E79" s="16" t="s">
        <v>71</v>
      </c>
      <c r="F79" s="16" t="s">
        <v>66</v>
      </c>
      <c r="G79" s="24"/>
      <c r="H79" s="17" t="s">
        <v>84</v>
      </c>
      <c r="I79" s="16">
        <v>1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>
        <v>6</v>
      </c>
      <c r="B80" s="16" t="s">
        <v>85</v>
      </c>
      <c r="C80" s="16">
        <v>75</v>
      </c>
      <c r="D80" s="16">
        <v>20</v>
      </c>
      <c r="E80" s="16" t="s">
        <v>71</v>
      </c>
      <c r="F80" s="16" t="s">
        <v>66</v>
      </c>
      <c r="G80" s="24"/>
      <c r="H80" s="17" t="s">
        <v>84</v>
      </c>
      <c r="I80" s="16">
        <v>1</v>
      </c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>
        <v>1</v>
      </c>
      <c r="B81" s="16" t="s">
        <v>21</v>
      </c>
      <c r="C81" s="16">
        <v>210</v>
      </c>
      <c r="D81" s="16">
        <v>20</v>
      </c>
      <c r="E81" s="16" t="s">
        <v>71</v>
      </c>
      <c r="F81" s="16" t="s">
        <v>66</v>
      </c>
      <c r="G81" s="24"/>
      <c r="H81" s="17" t="s">
        <v>84</v>
      </c>
      <c r="I81" s="16">
        <v>1</v>
      </c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>
        <v>1</v>
      </c>
      <c r="B82" s="16" t="s">
        <v>85</v>
      </c>
      <c r="C82" s="16">
        <v>25</v>
      </c>
      <c r="D82" s="16">
        <v>20</v>
      </c>
      <c r="E82" s="16" t="s">
        <v>71</v>
      </c>
      <c r="F82" s="16" t="s">
        <v>66</v>
      </c>
      <c r="G82" s="24"/>
      <c r="H82" s="17" t="s">
        <v>84</v>
      </c>
      <c r="I82" s="16">
        <v>1</v>
      </c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>
        <v>21</v>
      </c>
      <c r="E83" s="16" t="s">
        <v>72</v>
      </c>
      <c r="F83" s="16"/>
      <c r="G83" s="24">
        <v>1751</v>
      </c>
      <c r="H83" s="17"/>
      <c r="I83" s="16"/>
      <c r="J83" s="17" t="s">
        <v>89</v>
      </c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>
        <v>1</v>
      </c>
      <c r="B84" s="16" t="s">
        <v>19</v>
      </c>
      <c r="C84" s="16">
        <v>75</v>
      </c>
      <c r="D84" s="16">
        <v>22</v>
      </c>
      <c r="E84" s="16" t="s">
        <v>71</v>
      </c>
      <c r="F84" s="16" t="s">
        <v>77</v>
      </c>
      <c r="G84" s="24">
        <v>1752</v>
      </c>
      <c r="H84" s="17" t="s">
        <v>84</v>
      </c>
      <c r="I84" s="16">
        <v>1</v>
      </c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>
        <v>5</v>
      </c>
      <c r="B85" s="16" t="s">
        <v>19</v>
      </c>
      <c r="C85" s="16">
        <v>25</v>
      </c>
      <c r="D85" s="16">
        <v>22</v>
      </c>
      <c r="E85" s="16" t="s">
        <v>71</v>
      </c>
      <c r="F85" s="16" t="s">
        <v>77</v>
      </c>
      <c r="G85" s="24"/>
      <c r="H85" s="17" t="s">
        <v>84</v>
      </c>
      <c r="I85" s="16">
        <v>1</v>
      </c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>
        <v>23</v>
      </c>
      <c r="E86" s="16" t="s">
        <v>65</v>
      </c>
      <c r="F86" s="16"/>
      <c r="G86" s="24">
        <v>1753</v>
      </c>
      <c r="H86" s="17"/>
      <c r="I86" s="16">
        <v>1</v>
      </c>
      <c r="J86" s="17" t="s">
        <v>89</v>
      </c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>
        <v>1</v>
      </c>
      <c r="B87" s="16" t="s">
        <v>67</v>
      </c>
      <c r="C87" s="16">
        <v>210</v>
      </c>
      <c r="D87" s="16">
        <v>24</v>
      </c>
      <c r="E87" s="16" t="s">
        <v>71</v>
      </c>
      <c r="F87" s="16" t="s">
        <v>63</v>
      </c>
      <c r="G87" s="24">
        <v>1755</v>
      </c>
      <c r="H87" s="17" t="s">
        <v>84</v>
      </c>
      <c r="I87" s="16">
        <v>1</v>
      </c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>
        <v>1</v>
      </c>
      <c r="B88" s="16" t="s">
        <v>19</v>
      </c>
      <c r="C88" s="16">
        <v>75</v>
      </c>
      <c r="D88" s="16">
        <v>24</v>
      </c>
      <c r="E88" s="16" t="s">
        <v>71</v>
      </c>
      <c r="F88" s="16" t="s">
        <v>63</v>
      </c>
      <c r="G88" s="24"/>
      <c r="H88" s="17" t="s">
        <v>84</v>
      </c>
      <c r="I88" s="16">
        <v>1</v>
      </c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>
        <v>25</v>
      </c>
      <c r="E89" s="16" t="s">
        <v>72</v>
      </c>
      <c r="F89" s="16"/>
      <c r="G89" s="24">
        <v>1800</v>
      </c>
      <c r="H89" s="17"/>
      <c r="I89" s="16">
        <v>1</v>
      </c>
      <c r="J89" s="17" t="s">
        <v>89</v>
      </c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>
        <v>26</v>
      </c>
      <c r="E90" s="16" t="s">
        <v>65</v>
      </c>
      <c r="F90" s="16"/>
      <c r="G90" s="24">
        <v>1801</v>
      </c>
      <c r="H90" s="17"/>
      <c r="I90" s="16">
        <v>1</v>
      </c>
      <c r="J90" s="17" t="s">
        <v>89</v>
      </c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 t="s">
        <v>190</v>
      </c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>
        <v>1805</v>
      </c>
      <c r="H92" s="17"/>
      <c r="I92" s="16"/>
      <c r="J92" s="17" t="s">
        <v>95</v>
      </c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31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152</v>
      </c>
      <c r="E2" s="4"/>
    </row>
    <row r="3" spans="1:14" x14ac:dyDescent="0.3">
      <c r="A3" s="6" t="s">
        <v>2</v>
      </c>
      <c r="B3" s="7">
        <v>1288</v>
      </c>
      <c r="E3" s="4"/>
    </row>
    <row r="4" spans="1:14" x14ac:dyDescent="0.3">
      <c r="A4" s="6" t="s">
        <v>3</v>
      </c>
      <c r="B4" s="8">
        <v>42962</v>
      </c>
      <c r="E4" s="4"/>
    </row>
    <row r="5" spans="1:14" x14ac:dyDescent="0.3">
      <c r="A5" s="6" t="s">
        <v>4</v>
      </c>
      <c r="B5" s="7" t="s">
        <v>201</v>
      </c>
      <c r="E5" s="4"/>
    </row>
    <row r="6" spans="1:14" x14ac:dyDescent="0.3">
      <c r="A6" s="9" t="s">
        <v>1</v>
      </c>
      <c r="B6" s="10" t="s">
        <v>139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21</v>
      </c>
      <c r="C10" s="16">
        <v>120</v>
      </c>
      <c r="D10" s="16">
        <v>1</v>
      </c>
      <c r="E10" s="16" t="s">
        <v>72</v>
      </c>
      <c r="F10" s="16" t="s">
        <v>77</v>
      </c>
      <c r="G10" s="24">
        <v>1337</v>
      </c>
      <c r="H10" s="17" t="s">
        <v>96</v>
      </c>
      <c r="I10" s="16">
        <v>1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67</v>
      </c>
      <c r="C11" s="16">
        <v>100</v>
      </c>
      <c r="D11" s="16">
        <v>1</v>
      </c>
      <c r="E11" s="16" t="s">
        <v>72</v>
      </c>
      <c r="F11" s="16" t="s">
        <v>77</v>
      </c>
      <c r="G11" s="24"/>
      <c r="H11" s="17" t="s">
        <v>96</v>
      </c>
      <c r="I11" s="16">
        <v>1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70</v>
      </c>
      <c r="D12" s="16">
        <v>1</v>
      </c>
      <c r="E12" s="16" t="s">
        <v>72</v>
      </c>
      <c r="F12" s="16" t="s">
        <v>77</v>
      </c>
      <c r="G12" s="24"/>
      <c r="H12" s="17" t="s">
        <v>96</v>
      </c>
      <c r="I12" s="16">
        <v>1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68</v>
      </c>
      <c r="C13" s="16">
        <v>60</v>
      </c>
      <c r="D13" s="16">
        <v>2</v>
      </c>
      <c r="E13" s="16" t="s">
        <v>71</v>
      </c>
      <c r="F13" s="16" t="s">
        <v>77</v>
      </c>
      <c r="G13" s="24"/>
      <c r="H13" s="17" t="s">
        <v>96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21</v>
      </c>
      <c r="C14" s="16">
        <v>100</v>
      </c>
      <c r="D14" s="16">
        <v>2</v>
      </c>
      <c r="E14" s="16" t="s">
        <v>71</v>
      </c>
      <c r="F14" s="16" t="s">
        <v>77</v>
      </c>
      <c r="G14" s="24"/>
      <c r="H14" s="17" t="s">
        <v>96</v>
      </c>
      <c r="I14" s="16">
        <v>1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64</v>
      </c>
      <c r="C15" s="16">
        <v>120</v>
      </c>
      <c r="D15" s="16">
        <v>2</v>
      </c>
      <c r="E15" s="16" t="s">
        <v>71</v>
      </c>
      <c r="F15" s="16" t="s">
        <v>62</v>
      </c>
      <c r="G15" s="24"/>
      <c r="H15" s="17" t="s">
        <v>96</v>
      </c>
      <c r="I15" s="16">
        <v>1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21</v>
      </c>
      <c r="C16" s="16">
        <v>110</v>
      </c>
      <c r="D16" s="16">
        <v>2</v>
      </c>
      <c r="E16" s="16" t="s">
        <v>71</v>
      </c>
      <c r="F16" s="16" t="s">
        <v>66</v>
      </c>
      <c r="G16" s="24"/>
      <c r="H16" s="17" t="s">
        <v>96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/>
      <c r="B17" s="16"/>
      <c r="C17" s="16"/>
      <c r="D17" s="16">
        <v>3</v>
      </c>
      <c r="E17" s="16" t="s">
        <v>65</v>
      </c>
      <c r="F17" s="16"/>
      <c r="G17" s="24"/>
      <c r="H17" s="17"/>
      <c r="I17" s="16"/>
      <c r="J17" s="17" t="s">
        <v>89</v>
      </c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67</v>
      </c>
      <c r="C18" s="16">
        <v>100</v>
      </c>
      <c r="D18" s="16">
        <v>4</v>
      </c>
      <c r="E18" s="16" t="s">
        <v>71</v>
      </c>
      <c r="F18" s="16" t="s">
        <v>77</v>
      </c>
      <c r="G18" s="24"/>
      <c r="H18" s="17" t="s">
        <v>96</v>
      </c>
      <c r="I18" s="16">
        <v>1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21</v>
      </c>
      <c r="C19" s="16">
        <v>130</v>
      </c>
      <c r="D19" s="16">
        <v>4</v>
      </c>
      <c r="E19" s="16" t="s">
        <v>71</v>
      </c>
      <c r="F19" s="16" t="s">
        <v>66</v>
      </c>
      <c r="G19" s="24"/>
      <c r="H19" s="17" t="s">
        <v>96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67</v>
      </c>
      <c r="C20" s="16">
        <v>60</v>
      </c>
      <c r="D20" s="16">
        <v>5</v>
      </c>
      <c r="E20" s="16" t="s">
        <v>69</v>
      </c>
      <c r="F20" s="16" t="s">
        <v>77</v>
      </c>
      <c r="G20" s="24"/>
      <c r="H20" s="17" t="s">
        <v>96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21</v>
      </c>
      <c r="C21" s="16">
        <v>100</v>
      </c>
      <c r="D21" s="16">
        <v>5</v>
      </c>
      <c r="E21" s="16" t="s">
        <v>69</v>
      </c>
      <c r="F21" s="16" t="s">
        <v>153</v>
      </c>
      <c r="G21" s="24"/>
      <c r="H21" s="17" t="s">
        <v>96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67</v>
      </c>
      <c r="C22" s="16">
        <v>50</v>
      </c>
      <c r="D22" s="16">
        <v>5</v>
      </c>
      <c r="E22" s="16" t="s">
        <v>69</v>
      </c>
      <c r="F22" s="16" t="s">
        <v>66</v>
      </c>
      <c r="G22" s="24"/>
      <c r="H22" s="17" t="s">
        <v>154</v>
      </c>
      <c r="I22" s="16" t="s">
        <v>155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67</v>
      </c>
      <c r="C23" s="16">
        <v>50</v>
      </c>
      <c r="D23" s="16">
        <v>5</v>
      </c>
      <c r="E23" s="16" t="s">
        <v>69</v>
      </c>
      <c r="F23" s="16" t="s">
        <v>66</v>
      </c>
      <c r="G23" s="24"/>
      <c r="H23" s="17" t="s">
        <v>84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68</v>
      </c>
      <c r="C24" s="16">
        <v>50</v>
      </c>
      <c r="D24" s="16">
        <v>5</v>
      </c>
      <c r="E24" s="16" t="s">
        <v>69</v>
      </c>
      <c r="F24" s="16" t="s">
        <v>66</v>
      </c>
      <c r="G24" s="24"/>
      <c r="H24" s="17" t="s">
        <v>84</v>
      </c>
      <c r="I24" s="16">
        <v>2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67</v>
      </c>
      <c r="C25" s="16">
        <v>75</v>
      </c>
      <c r="D25" s="16">
        <v>5</v>
      </c>
      <c r="E25" s="16" t="s">
        <v>69</v>
      </c>
      <c r="F25" s="16" t="s">
        <v>77</v>
      </c>
      <c r="G25" s="24"/>
      <c r="H25" s="17" t="s">
        <v>84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21</v>
      </c>
      <c r="C26" s="16">
        <v>120</v>
      </c>
      <c r="D26" s="16">
        <v>5</v>
      </c>
      <c r="E26" s="16" t="s">
        <v>69</v>
      </c>
      <c r="F26" s="16" t="s">
        <v>66</v>
      </c>
      <c r="G26" s="24"/>
      <c r="H26" s="17" t="s">
        <v>96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110</v>
      </c>
      <c r="D27" s="16">
        <v>5</v>
      </c>
      <c r="E27" s="16" t="s">
        <v>69</v>
      </c>
      <c r="F27" s="16" t="s">
        <v>66</v>
      </c>
      <c r="G27" s="24"/>
      <c r="H27" s="17" t="s">
        <v>84</v>
      </c>
      <c r="I27" s="16">
        <v>2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67</v>
      </c>
      <c r="C28" s="16">
        <v>35</v>
      </c>
      <c r="D28" s="16">
        <v>5</v>
      </c>
      <c r="E28" s="16" t="s">
        <v>69</v>
      </c>
      <c r="F28" s="16" t="s">
        <v>66</v>
      </c>
      <c r="G28" s="24"/>
      <c r="H28" s="17" t="s">
        <v>84</v>
      </c>
      <c r="I28" s="16">
        <v>2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67</v>
      </c>
      <c r="C29" s="16">
        <v>100</v>
      </c>
      <c r="D29" s="16">
        <v>5</v>
      </c>
      <c r="E29" s="16" t="s">
        <v>69</v>
      </c>
      <c r="F29" s="16" t="s">
        <v>77</v>
      </c>
      <c r="G29" s="24"/>
      <c r="H29" s="17" t="s">
        <v>96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67</v>
      </c>
      <c r="C30" s="16">
        <v>110</v>
      </c>
      <c r="D30" s="16">
        <v>5</v>
      </c>
      <c r="E30" s="16" t="s">
        <v>69</v>
      </c>
      <c r="F30" s="16" t="s">
        <v>66</v>
      </c>
      <c r="G30" s="24"/>
      <c r="H30" s="17" t="s">
        <v>84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67</v>
      </c>
      <c r="C31" s="16">
        <v>210</v>
      </c>
      <c r="D31" s="16">
        <v>6</v>
      </c>
      <c r="E31" s="16" t="s">
        <v>71</v>
      </c>
      <c r="F31" s="16" t="s">
        <v>77</v>
      </c>
      <c r="G31" s="24"/>
      <c r="H31" s="17" t="s">
        <v>84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67</v>
      </c>
      <c r="C32" s="16">
        <v>300</v>
      </c>
      <c r="D32" s="16">
        <v>6</v>
      </c>
      <c r="E32" s="16" t="s">
        <v>71</v>
      </c>
      <c r="F32" s="16" t="s">
        <v>77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2</v>
      </c>
      <c r="B33" s="16" t="s">
        <v>67</v>
      </c>
      <c r="C33" s="16">
        <v>75</v>
      </c>
      <c r="D33" s="16">
        <v>7</v>
      </c>
      <c r="E33" s="16" t="s">
        <v>71</v>
      </c>
      <c r="F33" s="16" t="s">
        <v>77</v>
      </c>
      <c r="G33" s="24"/>
      <c r="H33" s="17" t="s">
        <v>84</v>
      </c>
      <c r="I33" s="16">
        <v>1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1</v>
      </c>
      <c r="B34" s="16" t="s">
        <v>21</v>
      </c>
      <c r="C34" s="16">
        <v>75</v>
      </c>
      <c r="D34" s="16">
        <v>7</v>
      </c>
      <c r="E34" s="16" t="s">
        <v>71</v>
      </c>
      <c r="F34" s="16" t="s">
        <v>66</v>
      </c>
      <c r="G34" s="24"/>
      <c r="H34" s="17" t="s">
        <v>84</v>
      </c>
      <c r="I34" s="16">
        <v>1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67</v>
      </c>
      <c r="C35" s="16">
        <v>75</v>
      </c>
      <c r="D35" s="16">
        <v>8</v>
      </c>
      <c r="E35" s="16" t="s">
        <v>69</v>
      </c>
      <c r="F35" s="16" t="s">
        <v>66</v>
      </c>
      <c r="G35" s="24"/>
      <c r="H35" s="17" t="s">
        <v>84</v>
      </c>
      <c r="I35" s="16">
        <v>1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67</v>
      </c>
      <c r="C36" s="16">
        <v>75</v>
      </c>
      <c r="D36" s="16">
        <v>8</v>
      </c>
      <c r="E36" s="16" t="s">
        <v>69</v>
      </c>
      <c r="F36" s="16" t="s">
        <v>156</v>
      </c>
      <c r="G36" s="24"/>
      <c r="H36" s="17" t="s">
        <v>84</v>
      </c>
      <c r="I36" s="16">
        <v>1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67</v>
      </c>
      <c r="C37" s="16">
        <v>300</v>
      </c>
      <c r="D37" s="16">
        <v>8</v>
      </c>
      <c r="E37" s="16" t="s">
        <v>69</v>
      </c>
      <c r="F37" s="16" t="s">
        <v>156</v>
      </c>
      <c r="G37" s="24"/>
      <c r="H37" s="17" t="s">
        <v>84</v>
      </c>
      <c r="I37" s="16">
        <v>1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21</v>
      </c>
      <c r="C38" s="16">
        <v>110</v>
      </c>
      <c r="D38" s="16">
        <v>8</v>
      </c>
      <c r="E38" s="16" t="s">
        <v>69</v>
      </c>
      <c r="F38" s="16" t="s">
        <v>66</v>
      </c>
      <c r="G38" s="24"/>
      <c r="H38" s="17" t="s">
        <v>84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64</v>
      </c>
      <c r="C39" s="16">
        <v>100</v>
      </c>
      <c r="D39" s="16">
        <v>8</v>
      </c>
      <c r="E39" s="16" t="s">
        <v>69</v>
      </c>
      <c r="F39" s="16" t="s">
        <v>66</v>
      </c>
      <c r="G39" s="24"/>
      <c r="H39" s="17" t="s">
        <v>84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110</v>
      </c>
      <c r="D40" s="16">
        <v>8</v>
      </c>
      <c r="E40" s="16" t="s">
        <v>69</v>
      </c>
      <c r="F40" s="16" t="s">
        <v>66</v>
      </c>
      <c r="G40" s="24"/>
      <c r="H40" s="17" t="s">
        <v>84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67</v>
      </c>
      <c r="C41" s="16">
        <v>75</v>
      </c>
      <c r="D41" s="16">
        <v>8</v>
      </c>
      <c r="E41" s="16" t="s">
        <v>69</v>
      </c>
      <c r="F41" s="16" t="s">
        <v>77</v>
      </c>
      <c r="G41" s="24"/>
      <c r="H41" s="17" t="s">
        <v>84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</v>
      </c>
      <c r="B42" s="16" t="s">
        <v>68</v>
      </c>
      <c r="C42" s="16">
        <v>25</v>
      </c>
      <c r="D42" s="16">
        <v>8</v>
      </c>
      <c r="E42" s="16" t="s">
        <v>69</v>
      </c>
      <c r="F42" s="16" t="s">
        <v>66</v>
      </c>
      <c r="G42" s="24"/>
      <c r="H42" s="17" t="s">
        <v>84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21</v>
      </c>
      <c r="C43" s="16">
        <v>50</v>
      </c>
      <c r="D43" s="16">
        <v>8</v>
      </c>
      <c r="E43" s="16" t="s">
        <v>69</v>
      </c>
      <c r="F43" s="16" t="s">
        <v>77</v>
      </c>
      <c r="G43" s="24"/>
      <c r="H43" s="17" t="s">
        <v>84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64</v>
      </c>
      <c r="C44" s="16">
        <v>75</v>
      </c>
      <c r="D44" s="16">
        <v>8</v>
      </c>
      <c r="E44" s="16" t="s">
        <v>69</v>
      </c>
      <c r="F44" s="16" t="s">
        <v>66</v>
      </c>
      <c r="G44" s="24"/>
      <c r="H44" s="17" t="s">
        <v>84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64</v>
      </c>
      <c r="C45" s="16">
        <v>300</v>
      </c>
      <c r="D45" s="16">
        <v>8</v>
      </c>
      <c r="E45" s="16" t="s">
        <v>69</v>
      </c>
      <c r="F45" s="16" t="s">
        <v>66</v>
      </c>
      <c r="G45" s="24"/>
      <c r="H45" s="17" t="s">
        <v>84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67</v>
      </c>
      <c r="C46" s="16">
        <v>300</v>
      </c>
      <c r="D46" s="16">
        <v>8</v>
      </c>
      <c r="E46" s="16" t="s">
        <v>69</v>
      </c>
      <c r="F46" s="16" t="s">
        <v>77</v>
      </c>
      <c r="G46" s="24"/>
      <c r="H46" s="17" t="s">
        <v>84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0</v>
      </c>
      <c r="B47" s="16"/>
      <c r="C47" s="16"/>
      <c r="D47" s="16">
        <v>9</v>
      </c>
      <c r="E47" s="16" t="s">
        <v>72</v>
      </c>
      <c r="F47" s="16"/>
      <c r="G47" s="24"/>
      <c r="H47" s="17" t="s">
        <v>96</v>
      </c>
      <c r="I47" s="16"/>
      <c r="J47" s="17" t="s">
        <v>89</v>
      </c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64</v>
      </c>
      <c r="C48" s="16">
        <v>110</v>
      </c>
      <c r="D48" s="16">
        <v>10</v>
      </c>
      <c r="E48" s="16" t="s">
        <v>71</v>
      </c>
      <c r="F48" s="16" t="s">
        <v>66</v>
      </c>
      <c r="G48" s="24"/>
      <c r="H48" s="17" t="s">
        <v>84</v>
      </c>
      <c r="I48" s="16">
        <v>1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68</v>
      </c>
      <c r="C49" s="16">
        <v>50</v>
      </c>
      <c r="D49" s="16">
        <v>10</v>
      </c>
      <c r="E49" s="16" t="s">
        <v>71</v>
      </c>
      <c r="F49" s="16" t="s">
        <v>66</v>
      </c>
      <c r="G49" s="24"/>
      <c r="H49" s="17" t="s">
        <v>84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64</v>
      </c>
      <c r="C50" s="16">
        <v>100</v>
      </c>
      <c r="D50" s="16">
        <v>10</v>
      </c>
      <c r="E50" s="16" t="s">
        <v>71</v>
      </c>
      <c r="F50" s="16" t="s">
        <v>66</v>
      </c>
      <c r="G50" s="24"/>
      <c r="H50" s="17" t="s">
        <v>84</v>
      </c>
      <c r="I50" s="16">
        <v>1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210</v>
      </c>
      <c r="D51" s="16">
        <v>10</v>
      </c>
      <c r="E51" s="16" t="s">
        <v>71</v>
      </c>
      <c r="F51" s="16" t="s">
        <v>66</v>
      </c>
      <c r="G51" s="24"/>
      <c r="H51" s="17" t="s">
        <v>84</v>
      </c>
      <c r="I51" s="16">
        <v>1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21</v>
      </c>
      <c r="C52" s="16">
        <v>50</v>
      </c>
      <c r="D52" s="16">
        <v>10</v>
      </c>
      <c r="E52" s="16" t="s">
        <v>71</v>
      </c>
      <c r="F52" s="16" t="s">
        <v>77</v>
      </c>
      <c r="G52" s="24"/>
      <c r="H52" s="17" t="s">
        <v>84</v>
      </c>
      <c r="I52" s="16">
        <v>1</v>
      </c>
      <c r="J52" s="17"/>
      <c r="L52" s="19">
        <f>SUM(L10:L51)</f>
        <v>0</v>
      </c>
      <c r="M52" s="19"/>
      <c r="N52" s="19"/>
    </row>
    <row r="53" spans="1:14" s="18" customFormat="1" x14ac:dyDescent="0.3">
      <c r="A53" s="16">
        <v>2</v>
      </c>
      <c r="B53" s="16" t="s">
        <v>67</v>
      </c>
      <c r="C53" s="16">
        <v>300</v>
      </c>
      <c r="D53" s="16">
        <v>10</v>
      </c>
      <c r="E53" s="16" t="s">
        <v>71</v>
      </c>
      <c r="F53" s="16" t="s">
        <v>77</v>
      </c>
      <c r="G53" s="24"/>
      <c r="H53" s="17" t="s">
        <v>84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1</v>
      </c>
      <c r="B54" s="16" t="s">
        <v>21</v>
      </c>
      <c r="C54" s="16">
        <v>210</v>
      </c>
      <c r="D54" s="16">
        <v>10</v>
      </c>
      <c r="E54" s="16" t="s">
        <v>71</v>
      </c>
      <c r="F54" s="16" t="s">
        <v>77</v>
      </c>
      <c r="G54" s="24"/>
      <c r="H54" s="17" t="s">
        <v>84</v>
      </c>
      <c r="I54" s="16">
        <v>1</v>
      </c>
      <c r="J54" s="17"/>
      <c r="L54" s="19">
        <f>SUMIFS($A$10:$A$400,$B$10:$B$400,"RT",$D$10:$D$400,"1")</f>
        <v>1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21</v>
      </c>
      <c r="C55" s="16">
        <v>110</v>
      </c>
      <c r="D55" s="16">
        <v>10</v>
      </c>
      <c r="E55" s="16" t="s">
        <v>71</v>
      </c>
      <c r="F55" s="16" t="s">
        <v>77</v>
      </c>
      <c r="G55" s="24"/>
      <c r="H55" s="17" t="s">
        <v>84</v>
      </c>
      <c r="I55" s="16">
        <v>1</v>
      </c>
      <c r="J55" s="17"/>
      <c r="L55" s="19">
        <f>SUMIFS($A$10:$A$400,$B$10:$B$400,"RT",$D$10:$D$400,"2")</f>
        <v>2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67</v>
      </c>
      <c r="C56" s="16">
        <v>75</v>
      </c>
      <c r="D56" s="16">
        <v>11</v>
      </c>
      <c r="E56" s="16" t="s">
        <v>72</v>
      </c>
      <c r="F56" s="16" t="s">
        <v>141</v>
      </c>
      <c r="G56" s="24"/>
      <c r="H56" s="17" t="s">
        <v>84</v>
      </c>
      <c r="I56" s="16">
        <v>1</v>
      </c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64</v>
      </c>
      <c r="C57" s="16">
        <v>110</v>
      </c>
      <c r="D57" s="16">
        <v>11</v>
      </c>
      <c r="E57" s="16" t="s">
        <v>72</v>
      </c>
      <c r="F57" s="16" t="s">
        <v>73</v>
      </c>
      <c r="G57" s="24"/>
      <c r="H57" s="17" t="s">
        <v>84</v>
      </c>
      <c r="I57" s="16">
        <v>1</v>
      </c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68</v>
      </c>
      <c r="C58" s="16">
        <v>45</v>
      </c>
      <c r="D58" s="16">
        <v>11</v>
      </c>
      <c r="E58" s="16" t="s">
        <v>72</v>
      </c>
      <c r="F58" s="16" t="s">
        <v>141</v>
      </c>
      <c r="G58" s="24"/>
      <c r="H58" s="17" t="s">
        <v>84</v>
      </c>
      <c r="I58" s="16">
        <v>1</v>
      </c>
      <c r="J58" s="17"/>
      <c r="L58" s="19">
        <f>SUMIFS($A$10:$A$400,$B$10:$B$400,"RT",$D$10:$D$400,"5")</f>
        <v>3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21</v>
      </c>
      <c r="C59" s="16">
        <v>210</v>
      </c>
      <c r="D59" s="16">
        <v>11</v>
      </c>
      <c r="E59" s="16" t="s">
        <v>72</v>
      </c>
      <c r="F59" s="16" t="s">
        <v>77</v>
      </c>
      <c r="G59" s="24"/>
      <c r="H59" s="17" t="s">
        <v>84</v>
      </c>
      <c r="I59" s="16">
        <v>1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1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3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4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1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16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1411</v>
      </c>
      <c r="E3" s="4"/>
    </row>
    <row r="4" spans="1:14" x14ac:dyDescent="0.3">
      <c r="A4" s="6" t="s">
        <v>3</v>
      </c>
      <c r="B4" s="8">
        <v>42963</v>
      </c>
      <c r="E4" s="4"/>
    </row>
    <row r="5" spans="1:14" x14ac:dyDescent="0.3">
      <c r="A5" s="6" t="s">
        <v>4</v>
      </c>
      <c r="B5" s="7" t="s">
        <v>199</v>
      </c>
      <c r="E5" s="4"/>
    </row>
    <row r="6" spans="1:14" x14ac:dyDescent="0.3">
      <c r="A6" s="9" t="s">
        <v>1</v>
      </c>
      <c r="B6" s="10" t="s">
        <v>139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157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5</v>
      </c>
      <c r="B10" s="16" t="s">
        <v>21</v>
      </c>
      <c r="C10" s="16">
        <v>75</v>
      </c>
      <c r="D10" s="16">
        <v>1</v>
      </c>
      <c r="E10" s="16" t="s">
        <v>71</v>
      </c>
      <c r="F10" s="16" t="s">
        <v>77</v>
      </c>
      <c r="G10" s="24">
        <v>1130</v>
      </c>
      <c r="H10" s="17" t="s">
        <v>99</v>
      </c>
      <c r="I10" s="16">
        <v>1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21</v>
      </c>
      <c r="C11" s="16">
        <v>100</v>
      </c>
      <c r="D11" s="16">
        <v>1</v>
      </c>
      <c r="E11" s="16" t="s">
        <v>71</v>
      </c>
      <c r="F11" s="16" t="s">
        <v>77</v>
      </c>
      <c r="G11" s="24"/>
      <c r="H11" s="17" t="s">
        <v>99</v>
      </c>
      <c r="I11" s="16">
        <v>1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3</v>
      </c>
      <c r="B12" s="16" t="s">
        <v>21</v>
      </c>
      <c r="C12" s="16">
        <v>50</v>
      </c>
      <c r="D12" s="16">
        <v>1</v>
      </c>
      <c r="E12" s="16" t="s">
        <v>71</v>
      </c>
      <c r="F12" s="16" t="s">
        <v>77</v>
      </c>
      <c r="G12" s="24"/>
      <c r="H12" s="17" t="s">
        <v>99</v>
      </c>
      <c r="I12" s="16">
        <v>1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21</v>
      </c>
      <c r="C13" s="16">
        <v>80</v>
      </c>
      <c r="D13" s="16">
        <v>2</v>
      </c>
      <c r="E13" s="16" t="s">
        <v>72</v>
      </c>
      <c r="F13" s="16" t="s">
        <v>73</v>
      </c>
      <c r="G13" s="24"/>
      <c r="H13" s="17" t="s">
        <v>86</v>
      </c>
      <c r="I13" s="16">
        <v>3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15</v>
      </c>
      <c r="B14" s="16" t="s">
        <v>85</v>
      </c>
      <c r="C14" s="16">
        <v>40</v>
      </c>
      <c r="D14" s="16">
        <v>3</v>
      </c>
      <c r="E14" s="16" t="s">
        <v>68</v>
      </c>
      <c r="F14" s="16" t="s">
        <v>77</v>
      </c>
      <c r="G14" s="24"/>
      <c r="H14" s="17" t="s">
        <v>99</v>
      </c>
      <c r="I14" s="16">
        <v>1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67</v>
      </c>
      <c r="C15" s="16">
        <v>75</v>
      </c>
      <c r="D15" s="16">
        <v>4</v>
      </c>
      <c r="E15" s="16" t="s">
        <v>71</v>
      </c>
      <c r="F15" s="16" t="s">
        <v>77</v>
      </c>
      <c r="G15" s="24"/>
      <c r="H15" s="17" t="s">
        <v>84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5</v>
      </c>
      <c r="B16" s="16" t="s">
        <v>67</v>
      </c>
      <c r="C16" s="16">
        <v>110</v>
      </c>
      <c r="D16" s="16">
        <v>4</v>
      </c>
      <c r="E16" s="16" t="s">
        <v>71</v>
      </c>
      <c r="F16" s="16" t="s">
        <v>77</v>
      </c>
      <c r="G16" s="24"/>
      <c r="H16" s="17" t="s">
        <v>84</v>
      </c>
      <c r="I16" s="16">
        <v>2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180</v>
      </c>
      <c r="D17" s="16">
        <v>5</v>
      </c>
      <c r="E17" s="16" t="s">
        <v>71</v>
      </c>
      <c r="F17" s="16" t="s">
        <v>62</v>
      </c>
      <c r="G17" s="24"/>
      <c r="H17" s="17" t="s">
        <v>86</v>
      </c>
      <c r="I17" s="16">
        <v>1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80</v>
      </c>
      <c r="D18" s="16">
        <v>5</v>
      </c>
      <c r="E18" s="16" t="s">
        <v>71</v>
      </c>
      <c r="F18" s="16" t="s">
        <v>62</v>
      </c>
      <c r="G18" s="24"/>
      <c r="H18" s="17" t="s">
        <v>86</v>
      </c>
      <c r="I18" s="16">
        <v>1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21</v>
      </c>
      <c r="C19" s="16">
        <v>350</v>
      </c>
      <c r="D19" s="16">
        <v>5</v>
      </c>
      <c r="E19" s="16" t="s">
        <v>71</v>
      </c>
      <c r="F19" s="16" t="s">
        <v>62</v>
      </c>
      <c r="G19" s="24"/>
      <c r="H19" s="17" t="s">
        <v>86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2</v>
      </c>
      <c r="B20" s="16" t="s">
        <v>21</v>
      </c>
      <c r="C20" s="16">
        <v>75</v>
      </c>
      <c r="D20" s="16">
        <v>5</v>
      </c>
      <c r="E20" s="16" t="s">
        <v>71</v>
      </c>
      <c r="F20" s="16" t="s">
        <v>62</v>
      </c>
      <c r="G20" s="24"/>
      <c r="H20" s="17" t="s">
        <v>86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2</v>
      </c>
      <c r="B21" s="16" t="s">
        <v>67</v>
      </c>
      <c r="C21" s="16">
        <v>110</v>
      </c>
      <c r="D21" s="16">
        <v>6</v>
      </c>
      <c r="E21" s="16" t="s">
        <v>71</v>
      </c>
      <c r="F21" s="16" t="s">
        <v>62</v>
      </c>
      <c r="G21" s="24"/>
      <c r="H21" s="17" t="s">
        <v>84</v>
      </c>
      <c r="I21" s="16">
        <v>1</v>
      </c>
      <c r="J21" s="17"/>
      <c r="L21" s="19">
        <f>SUMIFS($A$10:$A$400,$B$10:$B$400,"CH",$D$10:$D$400,"12")</f>
        <v>2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67</v>
      </c>
      <c r="C22" s="16">
        <v>210</v>
      </c>
      <c r="D22" s="16">
        <v>7</v>
      </c>
      <c r="E22" s="16" t="s">
        <v>65</v>
      </c>
      <c r="F22" s="16" t="s">
        <v>73</v>
      </c>
      <c r="G22" s="24"/>
      <c r="H22" s="17" t="s">
        <v>84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67</v>
      </c>
      <c r="C23" s="16">
        <v>120</v>
      </c>
      <c r="D23" s="16">
        <v>7</v>
      </c>
      <c r="E23" s="16" t="s">
        <v>65</v>
      </c>
      <c r="F23" s="16" t="s">
        <v>73</v>
      </c>
      <c r="G23" s="24"/>
      <c r="H23" s="17" t="s">
        <v>84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5</v>
      </c>
      <c r="B24" s="16" t="s">
        <v>21</v>
      </c>
      <c r="C24" s="16">
        <v>75</v>
      </c>
      <c r="D24" s="16">
        <v>8</v>
      </c>
      <c r="E24" s="16" t="s">
        <v>71</v>
      </c>
      <c r="F24" s="16" t="s">
        <v>77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21</v>
      </c>
      <c r="C25" s="16">
        <v>110</v>
      </c>
      <c r="D25" s="16">
        <v>8</v>
      </c>
      <c r="E25" s="16" t="s">
        <v>71</v>
      </c>
      <c r="F25" s="16" t="s">
        <v>77</v>
      </c>
      <c r="G25" s="24"/>
      <c r="H25" s="17" t="s">
        <v>84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21</v>
      </c>
      <c r="C26" s="16">
        <v>75</v>
      </c>
      <c r="D26" s="16">
        <v>8</v>
      </c>
      <c r="E26" s="16" t="s">
        <v>71</v>
      </c>
      <c r="F26" s="16" t="s">
        <v>73</v>
      </c>
      <c r="G26" s="24"/>
      <c r="H26" s="17" t="s">
        <v>84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150</v>
      </c>
      <c r="D27" s="16">
        <v>8</v>
      </c>
      <c r="E27" s="16" t="s">
        <v>71</v>
      </c>
      <c r="F27" s="16" t="s">
        <v>62</v>
      </c>
      <c r="G27" s="24"/>
      <c r="H27" s="17" t="s">
        <v>99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9</v>
      </c>
      <c r="B28" s="16" t="s">
        <v>21</v>
      </c>
      <c r="C28" s="16">
        <v>90</v>
      </c>
      <c r="D28" s="16">
        <v>11</v>
      </c>
      <c r="E28" s="16" t="s">
        <v>68</v>
      </c>
      <c r="F28" s="16" t="s">
        <v>77</v>
      </c>
      <c r="G28" s="24"/>
      <c r="H28" s="17" t="s">
        <v>96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68</v>
      </c>
      <c r="C29" s="16">
        <v>30</v>
      </c>
      <c r="D29" s="16">
        <v>9</v>
      </c>
      <c r="E29" s="16" t="s">
        <v>72</v>
      </c>
      <c r="F29" s="16" t="s">
        <v>77</v>
      </c>
      <c r="G29" s="24"/>
      <c r="H29" s="17" t="s">
        <v>86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21</v>
      </c>
      <c r="C30" s="16">
        <v>180</v>
      </c>
      <c r="D30" s="16">
        <v>9</v>
      </c>
      <c r="E30" s="16" t="s">
        <v>72</v>
      </c>
      <c r="F30" s="16" t="s">
        <v>73</v>
      </c>
      <c r="G30" s="24"/>
      <c r="H30" s="17" t="s">
        <v>86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68</v>
      </c>
      <c r="C31" s="16">
        <v>50</v>
      </c>
      <c r="D31" s="16">
        <v>9</v>
      </c>
      <c r="E31" s="16" t="s">
        <v>72</v>
      </c>
      <c r="F31" s="16" t="s">
        <v>77</v>
      </c>
      <c r="G31" s="24"/>
      <c r="H31" s="17" t="s">
        <v>86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3</v>
      </c>
      <c r="B32" s="16" t="s">
        <v>21</v>
      </c>
      <c r="C32" s="16">
        <v>75</v>
      </c>
      <c r="D32" s="16">
        <v>10</v>
      </c>
      <c r="E32" s="16" t="s">
        <v>71</v>
      </c>
      <c r="F32" s="16" t="s">
        <v>77</v>
      </c>
      <c r="G32" s="24"/>
      <c r="H32" s="17" t="s">
        <v>99</v>
      </c>
      <c r="I32" s="16">
        <v>2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4</v>
      </c>
      <c r="B33" s="16" t="s">
        <v>21</v>
      </c>
      <c r="C33" s="16">
        <v>95</v>
      </c>
      <c r="D33" s="16">
        <v>10</v>
      </c>
      <c r="E33" s="16" t="s">
        <v>71</v>
      </c>
      <c r="F33" s="16" t="s">
        <v>77</v>
      </c>
      <c r="G33" s="24"/>
      <c r="H33" s="17" t="s">
        <v>99</v>
      </c>
      <c r="I33" s="16">
        <v>2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2</v>
      </c>
      <c r="B34" s="16" t="s">
        <v>21</v>
      </c>
      <c r="C34" s="16">
        <v>110</v>
      </c>
      <c r="D34" s="16">
        <v>10</v>
      </c>
      <c r="E34" s="16" t="s">
        <v>71</v>
      </c>
      <c r="F34" s="16" t="s">
        <v>77</v>
      </c>
      <c r="G34" s="24"/>
      <c r="H34" s="17" t="s">
        <v>99</v>
      </c>
      <c r="I34" s="16">
        <v>2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68</v>
      </c>
      <c r="C35" s="16">
        <v>90</v>
      </c>
      <c r="D35" s="16">
        <v>10</v>
      </c>
      <c r="E35" s="16" t="s">
        <v>71</v>
      </c>
      <c r="F35" s="16" t="s">
        <v>77</v>
      </c>
      <c r="G35" s="24"/>
      <c r="H35" s="17" t="s">
        <v>99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50</v>
      </c>
      <c r="D36" s="16">
        <v>12</v>
      </c>
      <c r="E36" s="16" t="s">
        <v>71</v>
      </c>
      <c r="F36" s="16" t="s">
        <v>73</v>
      </c>
      <c r="G36" s="24"/>
      <c r="H36" s="17" t="s">
        <v>99</v>
      </c>
      <c r="I36" s="16">
        <v>3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21</v>
      </c>
      <c r="C37" s="16">
        <v>80</v>
      </c>
      <c r="D37" s="16">
        <v>12</v>
      </c>
      <c r="E37" s="16" t="s">
        <v>71</v>
      </c>
      <c r="F37" s="16" t="s">
        <v>77</v>
      </c>
      <c r="G37" s="24"/>
      <c r="H37" s="17" t="s">
        <v>99</v>
      </c>
      <c r="I37" s="16">
        <v>3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2</v>
      </c>
      <c r="B38" s="16" t="s">
        <v>19</v>
      </c>
      <c r="C38" s="16">
        <v>100</v>
      </c>
      <c r="D38" s="16">
        <v>12</v>
      </c>
      <c r="E38" s="16" t="s">
        <v>71</v>
      </c>
      <c r="F38" s="16" t="s">
        <v>62</v>
      </c>
      <c r="G38" s="24"/>
      <c r="H38" s="17" t="s">
        <v>99</v>
      </c>
      <c r="I38" s="16">
        <v>3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3</v>
      </c>
      <c r="B39" s="16" t="s">
        <v>21</v>
      </c>
      <c r="C39" s="16">
        <v>50</v>
      </c>
      <c r="D39" s="16">
        <v>12</v>
      </c>
      <c r="E39" s="16" t="s">
        <v>71</v>
      </c>
      <c r="F39" s="16" t="s">
        <v>62</v>
      </c>
      <c r="G39" s="24"/>
      <c r="H39" s="17" t="s">
        <v>99</v>
      </c>
      <c r="I39" s="16">
        <v>3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130</v>
      </c>
      <c r="D40" s="16">
        <v>12</v>
      </c>
      <c r="E40" s="16" t="s">
        <v>71</v>
      </c>
      <c r="F40" s="16" t="s">
        <v>62</v>
      </c>
      <c r="G40" s="24"/>
      <c r="H40" s="17" t="s">
        <v>99</v>
      </c>
      <c r="I40" s="16">
        <v>3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4</v>
      </c>
      <c r="B41" s="16" t="s">
        <v>21</v>
      </c>
      <c r="C41" s="16">
        <v>75</v>
      </c>
      <c r="D41" s="16">
        <v>13</v>
      </c>
      <c r="E41" s="16" t="s">
        <v>71</v>
      </c>
      <c r="F41" s="16" t="s">
        <v>62</v>
      </c>
      <c r="G41" s="24"/>
      <c r="H41" s="17" t="s">
        <v>84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</v>
      </c>
      <c r="B42" s="16" t="s">
        <v>21</v>
      </c>
      <c r="C42" s="16">
        <v>50</v>
      </c>
      <c r="D42" s="16">
        <v>13</v>
      </c>
      <c r="E42" s="16" t="s">
        <v>71</v>
      </c>
      <c r="F42" s="16" t="s">
        <v>62</v>
      </c>
      <c r="G42" s="24"/>
      <c r="H42" s="17" t="s">
        <v>84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4</v>
      </c>
      <c r="B43" s="16" t="s">
        <v>21</v>
      </c>
      <c r="C43" s="16">
        <v>75</v>
      </c>
      <c r="D43" s="16">
        <v>13</v>
      </c>
      <c r="E43" s="16" t="s">
        <v>71</v>
      </c>
      <c r="F43" s="16" t="s">
        <v>62</v>
      </c>
      <c r="G43" s="24"/>
      <c r="H43" s="17" t="s">
        <v>84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21</v>
      </c>
      <c r="C44" s="16">
        <v>110</v>
      </c>
      <c r="D44" s="16">
        <v>13</v>
      </c>
      <c r="E44" s="16" t="s">
        <v>71</v>
      </c>
      <c r="F44" s="16" t="s">
        <v>77</v>
      </c>
      <c r="G44" s="24"/>
      <c r="H44" s="17" t="s">
        <v>84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68</v>
      </c>
      <c r="C45" s="16">
        <v>25</v>
      </c>
      <c r="D45" s="16">
        <v>13</v>
      </c>
      <c r="E45" s="16" t="s">
        <v>71</v>
      </c>
      <c r="F45" s="16" t="s">
        <v>77</v>
      </c>
      <c r="G45" s="24"/>
      <c r="H45" s="17" t="s">
        <v>158</v>
      </c>
      <c r="I45" s="16" t="s">
        <v>159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3</v>
      </c>
      <c r="B46" s="16" t="s">
        <v>21</v>
      </c>
      <c r="C46" s="16">
        <v>300</v>
      </c>
      <c r="D46" s="16">
        <v>13</v>
      </c>
      <c r="E46" s="16" t="s">
        <v>71</v>
      </c>
      <c r="F46" s="16" t="s">
        <v>77</v>
      </c>
      <c r="G46" s="24"/>
      <c r="H46" s="17" t="s">
        <v>158</v>
      </c>
      <c r="I46" s="16" t="s">
        <v>159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5</v>
      </c>
      <c r="B47" s="16" t="s">
        <v>21</v>
      </c>
      <c r="C47" s="16">
        <v>110</v>
      </c>
      <c r="D47" s="16">
        <v>13</v>
      </c>
      <c r="E47" s="16" t="s">
        <v>71</v>
      </c>
      <c r="F47" s="16" t="s">
        <v>77</v>
      </c>
      <c r="G47" s="24"/>
      <c r="H47" s="17" t="s">
        <v>158</v>
      </c>
      <c r="I47" s="16" t="s">
        <v>159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3</v>
      </c>
      <c r="B48" s="16" t="s">
        <v>21</v>
      </c>
      <c r="C48" s="16">
        <v>75</v>
      </c>
      <c r="D48" s="16">
        <v>13</v>
      </c>
      <c r="E48" s="16" t="s">
        <v>71</v>
      </c>
      <c r="F48" s="16" t="s">
        <v>77</v>
      </c>
      <c r="G48" s="24"/>
      <c r="H48" s="17" t="s">
        <v>158</v>
      </c>
      <c r="I48" s="16" t="s">
        <v>159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9</v>
      </c>
      <c r="B49" s="16" t="s">
        <v>21</v>
      </c>
      <c r="C49" s="16">
        <v>75</v>
      </c>
      <c r="D49" s="16">
        <v>14</v>
      </c>
      <c r="E49" s="16" t="s">
        <v>71</v>
      </c>
      <c r="F49" s="16" t="s">
        <v>77</v>
      </c>
      <c r="G49" s="24"/>
      <c r="H49" s="17" t="s">
        <v>84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21</v>
      </c>
      <c r="C50" s="16">
        <v>50</v>
      </c>
      <c r="D50" s="16">
        <v>14</v>
      </c>
      <c r="E50" s="16" t="s">
        <v>71</v>
      </c>
      <c r="F50" s="16" t="s">
        <v>77</v>
      </c>
      <c r="G50" s="24"/>
      <c r="H50" s="17" t="s">
        <v>84</v>
      </c>
      <c r="I50" s="16">
        <v>1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100</v>
      </c>
      <c r="D51" s="16">
        <v>14</v>
      </c>
      <c r="E51" s="16" t="s">
        <v>71</v>
      </c>
      <c r="F51" s="16" t="s">
        <v>73</v>
      </c>
      <c r="G51" s="24"/>
      <c r="H51" s="17" t="s">
        <v>96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21</v>
      </c>
      <c r="C52" s="16">
        <v>110</v>
      </c>
      <c r="D52" s="16">
        <v>14</v>
      </c>
      <c r="E52" s="16" t="s">
        <v>71</v>
      </c>
      <c r="F52" s="16" t="s">
        <v>77</v>
      </c>
      <c r="G52" s="24"/>
      <c r="H52" s="17" t="s">
        <v>84</v>
      </c>
      <c r="I52" s="16">
        <v>1</v>
      </c>
      <c r="J52" s="17"/>
      <c r="L52" s="19">
        <f>SUM(L10:L51)</f>
        <v>2</v>
      </c>
      <c r="M52" s="19"/>
      <c r="N52" s="19"/>
    </row>
    <row r="53" spans="1:14" s="18" customFormat="1" x14ac:dyDescent="0.3">
      <c r="A53" s="16">
        <v>1</v>
      </c>
      <c r="B53" s="16" t="s">
        <v>21</v>
      </c>
      <c r="C53" s="16">
        <v>110</v>
      </c>
      <c r="D53" s="16">
        <v>16</v>
      </c>
      <c r="E53" s="16" t="s">
        <v>71</v>
      </c>
      <c r="F53" s="16" t="s">
        <v>62</v>
      </c>
      <c r="G53" s="24"/>
      <c r="H53" s="17" t="s">
        <v>96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3</v>
      </c>
      <c r="B54" s="16" t="s">
        <v>21</v>
      </c>
      <c r="C54" s="16">
        <v>100</v>
      </c>
      <c r="D54" s="16">
        <v>16</v>
      </c>
      <c r="E54" s="16" t="s">
        <v>71</v>
      </c>
      <c r="F54" s="16" t="s">
        <v>77</v>
      </c>
      <c r="G54" s="24"/>
      <c r="H54" s="17" t="s">
        <v>96</v>
      </c>
      <c r="I54" s="16">
        <v>1</v>
      </c>
      <c r="J54" s="17"/>
      <c r="L54" s="19">
        <f>SUMIFS($A$10:$A$400,$B$10:$B$400,"RT",$D$10:$D$400,"1")</f>
        <v>9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21</v>
      </c>
      <c r="C55" s="16">
        <v>130</v>
      </c>
      <c r="D55" s="16">
        <v>16</v>
      </c>
      <c r="E55" s="16" t="s">
        <v>71</v>
      </c>
      <c r="F55" s="16" t="s">
        <v>77</v>
      </c>
      <c r="G55" s="24"/>
      <c r="H55" s="17" t="s">
        <v>96</v>
      </c>
      <c r="I55" s="16">
        <v>1</v>
      </c>
      <c r="J55" s="17"/>
      <c r="L55" s="19">
        <f>SUMIFS($A$10:$A$400,$B$10:$B$400,"RT",$D$10:$D$400,"2")</f>
        <v>1</v>
      </c>
      <c r="M55" s="19" t="s">
        <v>21</v>
      </c>
      <c r="N55" s="19" t="s">
        <v>22</v>
      </c>
    </row>
    <row r="56" spans="1:14" s="18" customFormat="1" x14ac:dyDescent="0.3">
      <c r="A56" s="16">
        <v>0</v>
      </c>
      <c r="B56" s="16"/>
      <c r="C56" s="16"/>
      <c r="D56" s="16">
        <v>15</v>
      </c>
      <c r="E56" s="16" t="s">
        <v>72</v>
      </c>
      <c r="F56" s="16"/>
      <c r="G56" s="24"/>
      <c r="H56" s="17"/>
      <c r="I56" s="16"/>
      <c r="J56" s="17" t="s">
        <v>89</v>
      </c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3</v>
      </c>
      <c r="B57" s="16" t="s">
        <v>21</v>
      </c>
      <c r="C57" s="16">
        <v>50</v>
      </c>
      <c r="D57" s="16">
        <v>17</v>
      </c>
      <c r="E57" s="16" t="s">
        <v>65</v>
      </c>
      <c r="F57" s="16" t="s">
        <v>77</v>
      </c>
      <c r="G57" s="24"/>
      <c r="H57" s="17" t="s">
        <v>84</v>
      </c>
      <c r="I57" s="16">
        <v>2</v>
      </c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21</v>
      </c>
      <c r="C58" s="16">
        <v>80</v>
      </c>
      <c r="D58" s="16">
        <v>17</v>
      </c>
      <c r="E58" s="16" t="s">
        <v>65</v>
      </c>
      <c r="F58" s="16" t="s">
        <v>73</v>
      </c>
      <c r="G58" s="24"/>
      <c r="H58" s="17" t="s">
        <v>96</v>
      </c>
      <c r="I58" s="16">
        <v>1</v>
      </c>
      <c r="J58" s="17"/>
      <c r="L58" s="19">
        <f>SUMIFS($A$10:$A$400,$B$10:$B$400,"RT",$D$10:$D$400,"5")</f>
        <v>5</v>
      </c>
      <c r="M58" s="19" t="s">
        <v>21</v>
      </c>
      <c r="N58" s="19" t="s">
        <v>27</v>
      </c>
    </row>
    <row r="59" spans="1:14" s="18" customFormat="1" x14ac:dyDescent="0.3">
      <c r="A59" s="16">
        <v>3</v>
      </c>
      <c r="B59" s="16" t="s">
        <v>21</v>
      </c>
      <c r="C59" s="16">
        <v>110</v>
      </c>
      <c r="D59" s="16">
        <v>17</v>
      </c>
      <c r="E59" s="16" t="s">
        <v>65</v>
      </c>
      <c r="F59" s="16" t="s">
        <v>77</v>
      </c>
      <c r="G59" s="24"/>
      <c r="H59" s="17" t="s">
        <v>96</v>
      </c>
      <c r="I59" s="16">
        <v>1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>
        <v>3</v>
      </c>
      <c r="B60" s="16" t="s">
        <v>21</v>
      </c>
      <c r="C60" s="16">
        <v>100</v>
      </c>
      <c r="D60" s="16">
        <v>17</v>
      </c>
      <c r="E60" s="16" t="s">
        <v>65</v>
      </c>
      <c r="F60" s="16" t="s">
        <v>73</v>
      </c>
      <c r="G60" s="24">
        <v>1313</v>
      </c>
      <c r="H60" s="17" t="s">
        <v>96</v>
      </c>
      <c r="I60" s="16">
        <v>1</v>
      </c>
      <c r="J60" s="17" t="s">
        <v>160</v>
      </c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8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1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9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9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6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21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12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5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10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96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86</v>
      </c>
      <c r="E2" s="4"/>
    </row>
    <row r="3" spans="1:14" x14ac:dyDescent="0.3">
      <c r="A3" s="6" t="s">
        <v>2</v>
      </c>
      <c r="B3" s="7">
        <v>1503</v>
      </c>
      <c r="E3" s="4"/>
    </row>
    <row r="4" spans="1:14" x14ac:dyDescent="0.3">
      <c r="A4" s="6" t="s">
        <v>3</v>
      </c>
      <c r="B4" s="8">
        <v>42998</v>
      </c>
      <c r="E4" s="4"/>
    </row>
    <row r="5" spans="1:14" x14ac:dyDescent="0.3">
      <c r="A5" s="6" t="s">
        <v>4</v>
      </c>
      <c r="B5" s="7" t="s">
        <v>203</v>
      </c>
      <c r="E5" s="4"/>
    </row>
    <row r="6" spans="1:14" x14ac:dyDescent="0.3">
      <c r="A6" s="9" t="s">
        <v>1</v>
      </c>
      <c r="B6" s="10">
        <v>1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161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85</v>
      </c>
      <c r="C10" s="16">
        <v>200</v>
      </c>
      <c r="D10" s="16">
        <v>1</v>
      </c>
      <c r="E10" s="16" t="s">
        <v>65</v>
      </c>
      <c r="F10" s="16" t="s">
        <v>77</v>
      </c>
      <c r="G10" s="24">
        <v>1030</v>
      </c>
      <c r="H10" s="17" t="s">
        <v>84</v>
      </c>
      <c r="I10" s="16">
        <v>4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72</v>
      </c>
      <c r="F11" s="16"/>
      <c r="G11" s="24"/>
      <c r="H11" s="17"/>
      <c r="I11" s="16"/>
      <c r="J11" s="17" t="s">
        <v>89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30</v>
      </c>
      <c r="D12" s="16">
        <v>3</v>
      </c>
      <c r="E12" s="16" t="s">
        <v>65</v>
      </c>
      <c r="F12" s="16" t="s">
        <v>77</v>
      </c>
      <c r="G12" s="24"/>
      <c r="H12" s="17" t="s">
        <v>84</v>
      </c>
      <c r="I12" s="16">
        <v>4</v>
      </c>
      <c r="J12" s="17"/>
      <c r="L12" s="19">
        <f>SUMIFS($A$10:$A$400,$B$10:$B$400,"CH",$D$10:$D$400,"3")</f>
        <v>3</v>
      </c>
      <c r="M12" s="19" t="s">
        <v>19</v>
      </c>
      <c r="N12" s="19" t="s">
        <v>24</v>
      </c>
    </row>
    <row r="13" spans="1:14" s="18" customFormat="1" x14ac:dyDescent="0.3">
      <c r="A13" s="16">
        <v>3</v>
      </c>
      <c r="B13" s="16" t="s">
        <v>19</v>
      </c>
      <c r="C13" s="16">
        <v>75</v>
      </c>
      <c r="D13" s="16">
        <v>3</v>
      </c>
      <c r="E13" s="16" t="s">
        <v>65</v>
      </c>
      <c r="F13" s="16" t="s">
        <v>77</v>
      </c>
      <c r="G13" s="24"/>
      <c r="H13" s="17" t="s">
        <v>84</v>
      </c>
      <c r="I13" s="16">
        <v>4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85</v>
      </c>
      <c r="C14" s="16">
        <v>300</v>
      </c>
      <c r="D14" s="16">
        <v>3</v>
      </c>
      <c r="E14" s="16" t="s">
        <v>65</v>
      </c>
      <c r="F14" s="16" t="s">
        <v>77</v>
      </c>
      <c r="G14" s="24"/>
      <c r="H14" s="17" t="s">
        <v>106</v>
      </c>
      <c r="I14" s="16">
        <v>2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21</v>
      </c>
      <c r="C15" s="16">
        <v>115</v>
      </c>
      <c r="D15" s="16">
        <v>3</v>
      </c>
      <c r="E15" s="16" t="s">
        <v>65</v>
      </c>
      <c r="F15" s="16" t="s">
        <v>77</v>
      </c>
      <c r="G15" s="24"/>
      <c r="H15" s="17" t="s">
        <v>84</v>
      </c>
      <c r="I15" s="16">
        <v>3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30</v>
      </c>
      <c r="B16" s="16" t="s">
        <v>85</v>
      </c>
      <c r="C16" s="16">
        <v>210</v>
      </c>
      <c r="D16" s="16">
        <v>4</v>
      </c>
      <c r="E16" s="16" t="s">
        <v>71</v>
      </c>
      <c r="F16" s="16" t="s">
        <v>77</v>
      </c>
      <c r="G16" s="24"/>
      <c r="H16" s="17" t="s">
        <v>84</v>
      </c>
      <c r="I16" s="16">
        <v>3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150</v>
      </c>
      <c r="D17" s="16">
        <v>4</v>
      </c>
      <c r="E17" s="16" t="s">
        <v>71</v>
      </c>
      <c r="F17" s="16" t="s">
        <v>77</v>
      </c>
      <c r="G17" s="24"/>
      <c r="H17" s="17" t="s">
        <v>106</v>
      </c>
      <c r="I17" s="16">
        <v>3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15</v>
      </c>
      <c r="D18" s="16">
        <v>4</v>
      </c>
      <c r="E18" s="16" t="s">
        <v>71</v>
      </c>
      <c r="F18" s="16" t="s">
        <v>77</v>
      </c>
      <c r="G18" s="24"/>
      <c r="H18" s="17" t="s">
        <v>84</v>
      </c>
      <c r="I18" s="16">
        <v>4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3</v>
      </c>
      <c r="B19" s="16" t="s">
        <v>85</v>
      </c>
      <c r="C19" s="16">
        <v>250</v>
      </c>
      <c r="D19" s="16">
        <v>5</v>
      </c>
      <c r="E19" s="16" t="s">
        <v>72</v>
      </c>
      <c r="F19" s="16" t="s">
        <v>77</v>
      </c>
      <c r="G19" s="24"/>
      <c r="H19" s="17" t="s">
        <v>84</v>
      </c>
      <c r="I19" s="16">
        <v>4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0</v>
      </c>
      <c r="B20" s="16"/>
      <c r="C20" s="16"/>
      <c r="D20" s="16">
        <v>6</v>
      </c>
      <c r="E20" s="16" t="s">
        <v>65</v>
      </c>
      <c r="F20" s="16"/>
      <c r="G20" s="24"/>
      <c r="H20" s="17"/>
      <c r="I20" s="16"/>
      <c r="J20" s="17" t="s">
        <v>89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68</v>
      </c>
      <c r="C21" s="16">
        <v>30</v>
      </c>
      <c r="D21" s="16">
        <v>7</v>
      </c>
      <c r="E21" s="16" t="s">
        <v>72</v>
      </c>
      <c r="F21" s="16" t="s">
        <v>77</v>
      </c>
      <c r="G21" s="24"/>
      <c r="H21" s="17" t="s">
        <v>84</v>
      </c>
      <c r="I21" s="16">
        <v>4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0</v>
      </c>
      <c r="B22" s="16"/>
      <c r="C22" s="16"/>
      <c r="D22" s="16">
        <v>8</v>
      </c>
      <c r="E22" s="16" t="s">
        <v>65</v>
      </c>
      <c r="F22" s="16"/>
      <c r="G22" s="24"/>
      <c r="H22" s="17"/>
      <c r="I22" s="16"/>
      <c r="J22" s="17" t="s">
        <v>89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/>
      <c r="B23" s="16"/>
      <c r="C23" s="16"/>
      <c r="D23" s="16"/>
      <c r="E23" s="16"/>
      <c r="F23" s="16"/>
      <c r="G23" s="24"/>
      <c r="H23" s="17"/>
      <c r="I23" s="16"/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/>
      <c r="B24" s="16"/>
      <c r="C24" s="16"/>
      <c r="D24" s="16"/>
      <c r="E24" s="16"/>
      <c r="F24" s="16"/>
      <c r="G24" s="24"/>
      <c r="H24" s="17"/>
      <c r="I24" s="16"/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/>
      <c r="B25" s="16"/>
      <c r="C25" s="16"/>
      <c r="D25" s="16"/>
      <c r="E25" s="16"/>
      <c r="F25" s="16"/>
      <c r="G25" s="24"/>
      <c r="H25" s="17"/>
      <c r="I25" s="16"/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/>
      <c r="B26" s="16"/>
      <c r="C26" s="16"/>
      <c r="D26" s="16"/>
      <c r="E26" s="16"/>
      <c r="F26" s="16"/>
      <c r="G26" s="24"/>
      <c r="H26" s="17"/>
      <c r="I26" s="16"/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/>
      <c r="B27" s="16"/>
      <c r="C27" s="16"/>
      <c r="D27" s="16"/>
      <c r="E27" s="16"/>
      <c r="F27" s="16"/>
      <c r="G27" s="24"/>
      <c r="H27" s="17"/>
      <c r="I27" s="16"/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/>
      <c r="E28" s="16"/>
      <c r="F28" s="16"/>
      <c r="G28" s="24"/>
      <c r="H28" s="17"/>
      <c r="I28" s="16"/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3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1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2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137</v>
      </c>
      <c r="E2" s="4"/>
    </row>
    <row r="3" spans="1:14" x14ac:dyDescent="0.3">
      <c r="A3" s="6" t="s">
        <v>2</v>
      </c>
      <c r="B3" s="7">
        <v>1582</v>
      </c>
      <c r="E3" s="4"/>
    </row>
    <row r="4" spans="1:14" x14ac:dyDescent="0.3">
      <c r="A4" s="6" t="s">
        <v>3</v>
      </c>
      <c r="B4" s="8">
        <v>42935</v>
      </c>
      <c r="E4" s="4"/>
    </row>
    <row r="5" spans="1:14" x14ac:dyDescent="0.3">
      <c r="A5" s="6" t="s">
        <v>4</v>
      </c>
      <c r="B5" s="7" t="s">
        <v>202</v>
      </c>
      <c r="E5" s="4"/>
    </row>
    <row r="6" spans="1:14" x14ac:dyDescent="0.3">
      <c r="A6" s="9" t="s">
        <v>1</v>
      </c>
      <c r="B6" s="10">
        <v>2.5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162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71</v>
      </c>
      <c r="F10" s="16"/>
      <c r="G10" s="24">
        <v>1100</v>
      </c>
      <c r="H10" s="17" t="s">
        <v>84</v>
      </c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72</v>
      </c>
      <c r="F11" s="16"/>
      <c r="G11" s="24"/>
      <c r="H11" s="17" t="s">
        <v>84</v>
      </c>
      <c r="I11" s="16"/>
      <c r="J11" s="17" t="s">
        <v>89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0</v>
      </c>
      <c r="B12" s="16"/>
      <c r="C12" s="16"/>
      <c r="D12" s="16">
        <v>3</v>
      </c>
      <c r="E12" s="16" t="s">
        <v>65</v>
      </c>
      <c r="F12" s="16"/>
      <c r="G12" s="24"/>
      <c r="H12" s="17" t="s">
        <v>84</v>
      </c>
      <c r="I12" s="16"/>
      <c r="J12" s="17" t="s">
        <v>89</v>
      </c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0</v>
      </c>
      <c r="B13" s="16"/>
      <c r="C13" s="16"/>
      <c r="D13" s="16">
        <v>4</v>
      </c>
      <c r="E13" s="16" t="s">
        <v>72</v>
      </c>
      <c r="F13" s="16"/>
      <c r="G13" s="24"/>
      <c r="H13" s="17" t="s">
        <v>84</v>
      </c>
      <c r="I13" s="16"/>
      <c r="J13" s="17" t="s">
        <v>89</v>
      </c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0</v>
      </c>
      <c r="B14" s="16"/>
      <c r="C14" s="16"/>
      <c r="D14" s="16">
        <v>5</v>
      </c>
      <c r="E14" s="16" t="s">
        <v>101</v>
      </c>
      <c r="F14" s="16"/>
      <c r="G14" s="24"/>
      <c r="H14" s="17" t="s">
        <v>84</v>
      </c>
      <c r="I14" s="16"/>
      <c r="J14" s="17" t="s">
        <v>89</v>
      </c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0</v>
      </c>
      <c r="B15" s="16"/>
      <c r="C15" s="16"/>
      <c r="D15" s="16">
        <v>6</v>
      </c>
      <c r="E15" s="16" t="s">
        <v>69</v>
      </c>
      <c r="F15" s="16"/>
      <c r="G15" s="24"/>
      <c r="H15" s="17" t="s">
        <v>84</v>
      </c>
      <c r="I15" s="16"/>
      <c r="J15" s="17" t="s">
        <v>89</v>
      </c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0</v>
      </c>
      <c r="B16" s="16"/>
      <c r="C16" s="16"/>
      <c r="D16" s="16">
        <v>7</v>
      </c>
      <c r="E16" s="16" t="s">
        <v>72</v>
      </c>
      <c r="F16" s="16"/>
      <c r="G16" s="24"/>
      <c r="H16" s="17" t="s">
        <v>84</v>
      </c>
      <c r="I16" s="16"/>
      <c r="J16" s="17" t="s">
        <v>89</v>
      </c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64</v>
      </c>
      <c r="C17" s="16">
        <v>110</v>
      </c>
      <c r="D17" s="16">
        <v>8</v>
      </c>
      <c r="E17" s="16" t="s">
        <v>101</v>
      </c>
      <c r="F17" s="16" t="s">
        <v>62</v>
      </c>
      <c r="G17" s="24"/>
      <c r="H17" s="17" t="s">
        <v>106</v>
      </c>
      <c r="I17" s="16"/>
      <c r="J17" s="17" t="s">
        <v>163</v>
      </c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0</v>
      </c>
      <c r="B18" s="16"/>
      <c r="C18" s="16"/>
      <c r="D18" s="16">
        <v>9</v>
      </c>
      <c r="E18" s="16" t="s">
        <v>72</v>
      </c>
      <c r="F18" s="16"/>
      <c r="G18" s="24"/>
      <c r="H18" s="17" t="s">
        <v>84</v>
      </c>
      <c r="I18" s="16"/>
      <c r="J18" s="17" t="s">
        <v>89</v>
      </c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0</v>
      </c>
      <c r="B19" s="16"/>
      <c r="C19" s="16"/>
      <c r="D19" s="16">
        <v>10</v>
      </c>
      <c r="E19" s="16" t="s">
        <v>164</v>
      </c>
      <c r="F19" s="16"/>
      <c r="G19" s="24"/>
      <c r="H19" s="17" t="s">
        <v>84</v>
      </c>
      <c r="I19" s="16"/>
      <c r="J19" s="17" t="s">
        <v>89</v>
      </c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0</v>
      </c>
      <c r="B20" s="16"/>
      <c r="C20" s="16"/>
      <c r="D20" s="16">
        <v>11</v>
      </c>
      <c r="E20" s="16" t="s">
        <v>71</v>
      </c>
      <c r="F20" s="16"/>
      <c r="G20" s="24"/>
      <c r="H20" s="17" t="s">
        <v>84</v>
      </c>
      <c r="I20" s="16"/>
      <c r="J20" s="17" t="s">
        <v>89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0</v>
      </c>
      <c r="B21" s="16"/>
      <c r="C21" s="16"/>
      <c r="D21" s="16">
        <v>12</v>
      </c>
      <c r="E21" s="16" t="s">
        <v>72</v>
      </c>
      <c r="F21" s="16"/>
      <c r="G21" s="24"/>
      <c r="H21" s="17" t="s">
        <v>84</v>
      </c>
      <c r="I21" s="16"/>
      <c r="J21" s="17" t="s">
        <v>89</v>
      </c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0</v>
      </c>
      <c r="B22" s="16"/>
      <c r="C22" s="16"/>
      <c r="D22" s="16">
        <v>13</v>
      </c>
      <c r="E22" s="16" t="s">
        <v>71</v>
      </c>
      <c r="F22" s="16"/>
      <c r="G22" s="24"/>
      <c r="H22" s="17" t="s">
        <v>84</v>
      </c>
      <c r="I22" s="16"/>
      <c r="J22" s="17" t="s">
        <v>89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/>
      <c r="B23" s="16"/>
      <c r="C23" s="16"/>
      <c r="D23" s="16"/>
      <c r="E23" s="16"/>
      <c r="F23" s="16"/>
      <c r="G23" s="24"/>
      <c r="H23" s="17"/>
      <c r="I23" s="16"/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/>
      <c r="B24" s="16"/>
      <c r="C24" s="16"/>
      <c r="D24" s="16"/>
      <c r="E24" s="16"/>
      <c r="F24" s="16"/>
      <c r="G24" s="24"/>
      <c r="H24" s="17"/>
      <c r="I24" s="16"/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/>
      <c r="B25" s="16"/>
      <c r="C25" s="16"/>
      <c r="D25" s="16"/>
      <c r="E25" s="16"/>
      <c r="F25" s="16"/>
      <c r="G25" s="24"/>
      <c r="H25" s="17"/>
      <c r="I25" s="16"/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/>
      <c r="B26" s="16"/>
      <c r="C26" s="16"/>
      <c r="D26" s="16"/>
      <c r="E26" s="16"/>
      <c r="F26" s="16"/>
      <c r="G26" s="24"/>
      <c r="H26" s="17"/>
      <c r="I26" s="16"/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/>
      <c r="B27" s="16"/>
      <c r="C27" s="16"/>
      <c r="D27" s="16"/>
      <c r="E27" s="16"/>
      <c r="F27" s="16"/>
      <c r="G27" s="24"/>
      <c r="H27" s="17"/>
      <c r="I27" s="16"/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/>
      <c r="E28" s="16"/>
      <c r="F28" s="16"/>
      <c r="G28" s="24"/>
      <c r="H28" s="17"/>
      <c r="I28" s="16"/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0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1709</v>
      </c>
      <c r="E3" s="4"/>
    </row>
    <row r="4" spans="1:14" x14ac:dyDescent="0.3">
      <c r="A4" s="6" t="s">
        <v>3</v>
      </c>
      <c r="B4" s="8">
        <v>42949</v>
      </c>
      <c r="E4" s="4"/>
    </row>
    <row r="5" spans="1:14" x14ac:dyDescent="0.3">
      <c r="A5" s="6" t="s">
        <v>4</v>
      </c>
      <c r="B5" s="7" t="s">
        <v>205</v>
      </c>
      <c r="E5" s="4"/>
    </row>
    <row r="6" spans="1:14" x14ac:dyDescent="0.3">
      <c r="A6" s="9" t="s">
        <v>1</v>
      </c>
      <c r="B6" s="10">
        <v>2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72</v>
      </c>
      <c r="F10" s="16"/>
      <c r="G10" s="24">
        <v>1113</v>
      </c>
      <c r="H10" s="17" t="s">
        <v>99</v>
      </c>
      <c r="I10" s="16">
        <v>1</v>
      </c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3</v>
      </c>
      <c r="B11" s="16" t="s">
        <v>19</v>
      </c>
      <c r="C11" s="16">
        <v>50</v>
      </c>
      <c r="D11" s="16">
        <v>2</v>
      </c>
      <c r="E11" s="16" t="s">
        <v>71</v>
      </c>
      <c r="F11" s="16" t="s">
        <v>63</v>
      </c>
      <c r="G11" s="24"/>
      <c r="H11" s="17" t="s">
        <v>99</v>
      </c>
      <c r="I11" s="16">
        <v>1</v>
      </c>
      <c r="J11" s="17"/>
      <c r="L11" s="19">
        <f>SUMIFS($A$10:$A$400,$B$10:$B$400,"CH",$D$10:$D$400,"2")</f>
        <v>3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20</v>
      </c>
      <c r="D12" s="16">
        <v>3</v>
      </c>
      <c r="E12" s="16" t="s">
        <v>72</v>
      </c>
      <c r="F12" s="16" t="s">
        <v>77</v>
      </c>
      <c r="G12" s="24"/>
      <c r="H12" s="17" t="s">
        <v>99</v>
      </c>
      <c r="I12" s="16">
        <v>1</v>
      </c>
      <c r="J12" s="17" t="s">
        <v>165</v>
      </c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21</v>
      </c>
      <c r="C13" s="16">
        <v>40</v>
      </c>
      <c r="D13" s="16">
        <v>4</v>
      </c>
      <c r="E13" s="16" t="s">
        <v>71</v>
      </c>
      <c r="F13" s="16" t="s">
        <v>63</v>
      </c>
      <c r="G13" s="24"/>
      <c r="H13" s="17" t="s">
        <v>99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21</v>
      </c>
      <c r="C14" s="16">
        <v>50</v>
      </c>
      <c r="D14" s="16">
        <v>4</v>
      </c>
      <c r="E14" s="16" t="s">
        <v>71</v>
      </c>
      <c r="F14" s="16" t="s">
        <v>63</v>
      </c>
      <c r="G14" s="24"/>
      <c r="H14" s="17" t="s">
        <v>99</v>
      </c>
      <c r="I14" s="16">
        <v>1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0</v>
      </c>
      <c r="B15" s="16"/>
      <c r="C15" s="16"/>
      <c r="D15" s="16">
        <v>5</v>
      </c>
      <c r="E15" s="16" t="s">
        <v>72</v>
      </c>
      <c r="F15" s="16"/>
      <c r="G15" s="24"/>
      <c r="H15" s="17" t="s">
        <v>99</v>
      </c>
      <c r="I15" s="16">
        <v>1</v>
      </c>
      <c r="J15" s="17" t="s">
        <v>89</v>
      </c>
      <c r="L15" s="19">
        <f>SUMIFS($A$10:$A$400,$B$10:$B$400,"CH",$D$10:$D$400,"6")</f>
        <v>17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64</v>
      </c>
      <c r="C16" s="16">
        <v>300</v>
      </c>
      <c r="D16" s="16">
        <v>6</v>
      </c>
      <c r="E16" s="16" t="s">
        <v>71</v>
      </c>
      <c r="F16" s="16" t="s">
        <v>63</v>
      </c>
      <c r="G16" s="24"/>
      <c r="H16" s="17" t="s">
        <v>99</v>
      </c>
      <c r="I16" s="16">
        <v>1</v>
      </c>
      <c r="J16" s="17" t="s">
        <v>166</v>
      </c>
      <c r="L16" s="19">
        <f>SUMIFS($A$10:$A$400,$B$10:$B$400,"CH",$D$10:$D$400,"7")</f>
        <v>8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19</v>
      </c>
      <c r="C17" s="16">
        <v>60</v>
      </c>
      <c r="D17" s="16">
        <v>6</v>
      </c>
      <c r="E17" s="16" t="s">
        <v>71</v>
      </c>
      <c r="F17" s="16" t="s">
        <v>63</v>
      </c>
      <c r="G17" s="24"/>
      <c r="H17" s="17" t="s">
        <v>99</v>
      </c>
      <c r="I17" s="16">
        <v>1</v>
      </c>
      <c r="J17" s="17"/>
      <c r="L17" s="19">
        <f>SUMIFS($A$10:$A$400,$B$10:$B$400,"CH",$D$10:$D$400,"8")</f>
        <v>42</v>
      </c>
      <c r="M17" s="19" t="s">
        <v>19</v>
      </c>
      <c r="N17" s="19" t="s">
        <v>30</v>
      </c>
    </row>
    <row r="18" spans="1:14" s="18" customFormat="1" x14ac:dyDescent="0.3">
      <c r="A18" s="16">
        <v>4</v>
      </c>
      <c r="B18" s="16" t="s">
        <v>19</v>
      </c>
      <c r="C18" s="16">
        <v>50</v>
      </c>
      <c r="D18" s="16">
        <v>6</v>
      </c>
      <c r="E18" s="16" t="s">
        <v>71</v>
      </c>
      <c r="F18" s="16" t="s">
        <v>63</v>
      </c>
      <c r="G18" s="24"/>
      <c r="H18" s="17" t="s">
        <v>99</v>
      </c>
      <c r="I18" s="16">
        <v>1</v>
      </c>
      <c r="J18" s="17"/>
      <c r="L18" s="19">
        <f>SUMIFS($A$10:$A$400,$B$10:$B$400,"CH",$D$10:$D$400,"9")</f>
        <v>25</v>
      </c>
      <c r="M18" s="19" t="s">
        <v>19</v>
      </c>
      <c r="N18" s="19" t="s">
        <v>31</v>
      </c>
    </row>
    <row r="19" spans="1:14" s="18" customFormat="1" x14ac:dyDescent="0.3">
      <c r="A19" s="16">
        <v>12</v>
      </c>
      <c r="B19" s="16" t="s">
        <v>19</v>
      </c>
      <c r="C19" s="16">
        <v>60</v>
      </c>
      <c r="D19" s="16">
        <v>6</v>
      </c>
      <c r="E19" s="16" t="s">
        <v>71</v>
      </c>
      <c r="F19" s="16" t="s">
        <v>63</v>
      </c>
      <c r="G19" s="24"/>
      <c r="H19" s="17" t="s">
        <v>99</v>
      </c>
      <c r="I19" s="16">
        <v>1</v>
      </c>
      <c r="J19" s="17"/>
      <c r="L19" s="19">
        <f>SUMIFS($A$10:$A$400,$B$10:$B$400,"CH",$D$10:$D$400,"10")</f>
        <v>18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21</v>
      </c>
      <c r="C20" s="16">
        <v>75</v>
      </c>
      <c r="D20" s="16">
        <v>6</v>
      </c>
      <c r="E20" s="16" t="s">
        <v>71</v>
      </c>
      <c r="F20" s="16" t="s">
        <v>63</v>
      </c>
      <c r="G20" s="24"/>
      <c r="H20" s="17" t="s">
        <v>99</v>
      </c>
      <c r="I20" s="16">
        <v>1</v>
      </c>
      <c r="J20" s="17"/>
      <c r="L20" s="19">
        <f>SUMIFS($A$10:$A$400,$B$10:$B$400,"CH",$D$10:$D$400,"11")</f>
        <v>15</v>
      </c>
      <c r="M20" s="19" t="s">
        <v>19</v>
      </c>
      <c r="N20" s="19" t="s">
        <v>23</v>
      </c>
    </row>
    <row r="21" spans="1:14" s="18" customFormat="1" x14ac:dyDescent="0.3">
      <c r="A21" s="16">
        <v>5</v>
      </c>
      <c r="B21" s="16" t="s">
        <v>21</v>
      </c>
      <c r="C21" s="16">
        <v>70</v>
      </c>
      <c r="D21" s="16">
        <v>6</v>
      </c>
      <c r="E21" s="16" t="s">
        <v>71</v>
      </c>
      <c r="F21" s="16" t="s">
        <v>63</v>
      </c>
      <c r="G21" s="24"/>
      <c r="H21" s="17" t="s">
        <v>99</v>
      </c>
      <c r="I21" s="16">
        <v>1</v>
      </c>
      <c r="J21" s="17"/>
      <c r="L21" s="19">
        <f>SUMIFS($A$10:$A$400,$B$10:$B$400,"CH",$D$10:$D$400,"12")</f>
        <v>58</v>
      </c>
      <c r="M21" s="19" t="s">
        <v>19</v>
      </c>
      <c r="N21" s="19" t="s">
        <v>32</v>
      </c>
    </row>
    <row r="22" spans="1:14" s="18" customFormat="1" x14ac:dyDescent="0.3">
      <c r="A22" s="16">
        <v>2</v>
      </c>
      <c r="B22" s="16" t="s">
        <v>21</v>
      </c>
      <c r="C22" s="16">
        <v>50</v>
      </c>
      <c r="D22" s="16">
        <v>6</v>
      </c>
      <c r="E22" s="16" t="s">
        <v>71</v>
      </c>
      <c r="F22" s="16" t="s">
        <v>63</v>
      </c>
      <c r="G22" s="24"/>
      <c r="H22" s="17" t="s">
        <v>99</v>
      </c>
      <c r="I22" s="16">
        <v>1</v>
      </c>
      <c r="J22" s="17"/>
      <c r="L22" s="19">
        <f>SUMIFS($A$10:$A$400,$B$10:$B$400,"CH",$D$10:$D$400,"13")</f>
        <v>28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68</v>
      </c>
      <c r="C23" s="16">
        <v>75</v>
      </c>
      <c r="D23" s="16">
        <v>7</v>
      </c>
      <c r="E23" s="16" t="s">
        <v>65</v>
      </c>
      <c r="F23" s="16" t="s">
        <v>77</v>
      </c>
      <c r="G23" s="24"/>
      <c r="H23" s="17" t="s">
        <v>84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19</v>
      </c>
      <c r="C24" s="16">
        <v>50</v>
      </c>
      <c r="D24" s="16">
        <v>7</v>
      </c>
      <c r="E24" s="16" t="s">
        <v>65</v>
      </c>
      <c r="F24" s="16" t="s">
        <v>63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3</v>
      </c>
      <c r="B25" s="16" t="s">
        <v>19</v>
      </c>
      <c r="C25" s="16">
        <v>75</v>
      </c>
      <c r="D25" s="16">
        <v>7</v>
      </c>
      <c r="E25" s="16" t="s">
        <v>65</v>
      </c>
      <c r="F25" s="16" t="s">
        <v>63</v>
      </c>
      <c r="G25" s="24"/>
      <c r="H25" s="17" t="s">
        <v>84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19</v>
      </c>
      <c r="C26" s="16">
        <v>50</v>
      </c>
      <c r="D26" s="16">
        <v>7</v>
      </c>
      <c r="E26" s="16" t="s">
        <v>65</v>
      </c>
      <c r="F26" s="16" t="s">
        <v>63</v>
      </c>
      <c r="G26" s="24"/>
      <c r="H26" s="17" t="s">
        <v>84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19</v>
      </c>
      <c r="C27" s="16">
        <v>45</v>
      </c>
      <c r="D27" s="16">
        <v>7</v>
      </c>
      <c r="E27" s="16" t="s">
        <v>65</v>
      </c>
      <c r="F27" s="16" t="s">
        <v>63</v>
      </c>
      <c r="G27" s="24"/>
      <c r="H27" s="17" t="s">
        <v>84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2</v>
      </c>
      <c r="B28" s="16" t="s">
        <v>19</v>
      </c>
      <c r="C28" s="16">
        <v>30</v>
      </c>
      <c r="D28" s="16">
        <v>7</v>
      </c>
      <c r="E28" s="16" t="s">
        <v>65</v>
      </c>
      <c r="F28" s="16" t="s">
        <v>63</v>
      </c>
      <c r="G28" s="24"/>
      <c r="H28" s="17" t="s">
        <v>84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14</v>
      </c>
      <c r="B29" s="16" t="s">
        <v>19</v>
      </c>
      <c r="C29" s="16">
        <v>50</v>
      </c>
      <c r="D29" s="16">
        <v>9</v>
      </c>
      <c r="E29" s="16" t="s">
        <v>71</v>
      </c>
      <c r="F29" s="16" t="s">
        <v>63</v>
      </c>
      <c r="G29" s="24"/>
      <c r="H29" s="17" t="s">
        <v>84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5</v>
      </c>
      <c r="B30" s="16" t="s">
        <v>19</v>
      </c>
      <c r="C30" s="16">
        <v>70</v>
      </c>
      <c r="D30" s="16">
        <v>9</v>
      </c>
      <c r="E30" s="16" t="s">
        <v>71</v>
      </c>
      <c r="F30" s="16" t="s">
        <v>63</v>
      </c>
      <c r="G30" s="24"/>
      <c r="H30" s="17" t="s">
        <v>84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19</v>
      </c>
      <c r="C31" s="16">
        <v>50</v>
      </c>
      <c r="D31" s="16">
        <v>9</v>
      </c>
      <c r="E31" s="16" t="s">
        <v>71</v>
      </c>
      <c r="F31" s="16" t="s">
        <v>63</v>
      </c>
      <c r="G31" s="24"/>
      <c r="H31" s="17" t="s">
        <v>84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2</v>
      </c>
      <c r="B32" s="16" t="s">
        <v>19</v>
      </c>
      <c r="C32" s="16">
        <v>110</v>
      </c>
      <c r="D32" s="16">
        <v>9</v>
      </c>
      <c r="E32" s="16" t="s">
        <v>71</v>
      </c>
      <c r="F32" s="16" t="s">
        <v>63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68</v>
      </c>
      <c r="C33" s="16">
        <v>45</v>
      </c>
      <c r="D33" s="16">
        <v>9</v>
      </c>
      <c r="E33" s="16" t="s">
        <v>71</v>
      </c>
      <c r="F33" s="16" t="s">
        <v>63</v>
      </c>
      <c r="G33" s="24"/>
      <c r="H33" s="17" t="s">
        <v>84</v>
      </c>
      <c r="I33" s="16">
        <v>1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3</v>
      </c>
      <c r="B34" s="16" t="s">
        <v>19</v>
      </c>
      <c r="C34" s="16">
        <v>50</v>
      </c>
      <c r="D34" s="16">
        <v>9</v>
      </c>
      <c r="E34" s="16" t="s">
        <v>71</v>
      </c>
      <c r="F34" s="16" t="s">
        <v>63</v>
      </c>
      <c r="G34" s="24"/>
      <c r="H34" s="17" t="s">
        <v>84</v>
      </c>
      <c r="I34" s="16">
        <v>1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3</v>
      </c>
      <c r="B35" s="16" t="s">
        <v>19</v>
      </c>
      <c r="C35" s="16">
        <v>50</v>
      </c>
      <c r="D35" s="16">
        <v>10</v>
      </c>
      <c r="E35" s="16" t="s">
        <v>65</v>
      </c>
      <c r="F35" s="16" t="s">
        <v>63</v>
      </c>
      <c r="G35" s="24"/>
      <c r="H35" s="17" t="s">
        <v>84</v>
      </c>
      <c r="I35" s="16">
        <v>1</v>
      </c>
      <c r="J35" s="17" t="s">
        <v>167</v>
      </c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2</v>
      </c>
      <c r="B36" s="16" t="s">
        <v>19</v>
      </c>
      <c r="C36" s="16">
        <v>50</v>
      </c>
      <c r="D36" s="16">
        <v>10</v>
      </c>
      <c r="E36" s="16" t="s">
        <v>65</v>
      </c>
      <c r="F36" s="16" t="s">
        <v>63</v>
      </c>
      <c r="G36" s="24"/>
      <c r="H36" s="17" t="s">
        <v>84</v>
      </c>
      <c r="I36" s="16">
        <v>1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1</v>
      </c>
      <c r="B37" s="16" t="s">
        <v>19</v>
      </c>
      <c r="C37" s="16">
        <v>50</v>
      </c>
      <c r="D37" s="16">
        <v>10</v>
      </c>
      <c r="E37" s="16" t="s">
        <v>65</v>
      </c>
      <c r="F37" s="16" t="s">
        <v>63</v>
      </c>
      <c r="G37" s="24"/>
      <c r="H37" s="17" t="s">
        <v>84</v>
      </c>
      <c r="I37" s="16">
        <v>1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8</v>
      </c>
      <c r="B38" s="16" t="s">
        <v>19</v>
      </c>
      <c r="C38" s="16">
        <v>50</v>
      </c>
      <c r="D38" s="16">
        <v>10</v>
      </c>
      <c r="E38" s="16" t="s">
        <v>65</v>
      </c>
      <c r="F38" s="16" t="s">
        <v>63</v>
      </c>
      <c r="G38" s="24"/>
      <c r="H38" s="17" t="s">
        <v>84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4</v>
      </c>
      <c r="B39" s="16" t="s">
        <v>19</v>
      </c>
      <c r="C39" s="16">
        <v>75</v>
      </c>
      <c r="D39" s="16">
        <v>10</v>
      </c>
      <c r="E39" s="16" t="s">
        <v>65</v>
      </c>
      <c r="F39" s="16" t="s">
        <v>63</v>
      </c>
      <c r="G39" s="24"/>
      <c r="H39" s="17" t="s">
        <v>84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210</v>
      </c>
      <c r="D40" s="16">
        <v>10</v>
      </c>
      <c r="E40" s="16" t="s">
        <v>65</v>
      </c>
      <c r="F40" s="16" t="s">
        <v>63</v>
      </c>
      <c r="G40" s="24"/>
      <c r="H40" s="17" t="s">
        <v>84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19</v>
      </c>
      <c r="C41" s="16">
        <v>50</v>
      </c>
      <c r="D41" s="16">
        <v>8</v>
      </c>
      <c r="E41" s="16" t="s">
        <v>72</v>
      </c>
      <c r="F41" s="16" t="s">
        <v>62</v>
      </c>
      <c r="G41" s="24"/>
      <c r="H41" s="17" t="s">
        <v>97</v>
      </c>
      <c r="I41" s="16">
        <v>1</v>
      </c>
      <c r="J41" s="17" t="s">
        <v>168</v>
      </c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4</v>
      </c>
      <c r="B42" s="16" t="s">
        <v>19</v>
      </c>
      <c r="C42" s="16">
        <v>70</v>
      </c>
      <c r="D42" s="16">
        <v>8</v>
      </c>
      <c r="E42" s="16" t="s">
        <v>72</v>
      </c>
      <c r="F42" s="16" t="s">
        <v>62</v>
      </c>
      <c r="G42" s="24"/>
      <c r="H42" s="17" t="s">
        <v>97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10</v>
      </c>
      <c r="B43" s="16" t="s">
        <v>19</v>
      </c>
      <c r="C43" s="16">
        <v>50</v>
      </c>
      <c r="D43" s="16">
        <v>8</v>
      </c>
      <c r="E43" s="16" t="s">
        <v>72</v>
      </c>
      <c r="F43" s="16" t="s">
        <v>62</v>
      </c>
      <c r="G43" s="24"/>
      <c r="H43" s="17" t="s">
        <v>97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3</v>
      </c>
      <c r="B44" s="16" t="s">
        <v>19</v>
      </c>
      <c r="C44" s="16">
        <v>40</v>
      </c>
      <c r="D44" s="16">
        <v>8</v>
      </c>
      <c r="E44" s="16" t="s">
        <v>72</v>
      </c>
      <c r="F44" s="16" t="s">
        <v>62</v>
      </c>
      <c r="G44" s="24"/>
      <c r="H44" s="17" t="s">
        <v>97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21</v>
      </c>
      <c r="C45" s="16">
        <v>130</v>
      </c>
      <c r="D45" s="16">
        <v>8</v>
      </c>
      <c r="E45" s="16" t="s">
        <v>72</v>
      </c>
      <c r="F45" s="16" t="s">
        <v>62</v>
      </c>
      <c r="G45" s="24"/>
      <c r="H45" s="17" t="s">
        <v>97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21</v>
      </c>
      <c r="C46" s="16">
        <v>200</v>
      </c>
      <c r="D46" s="16">
        <v>8</v>
      </c>
      <c r="E46" s="16" t="s">
        <v>72</v>
      </c>
      <c r="F46" s="16" t="s">
        <v>62</v>
      </c>
      <c r="G46" s="24"/>
      <c r="H46" s="17" t="s">
        <v>97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85</v>
      </c>
      <c r="C47" s="16">
        <v>30</v>
      </c>
      <c r="D47" s="16">
        <v>8</v>
      </c>
      <c r="E47" s="16" t="s">
        <v>72</v>
      </c>
      <c r="F47" s="16" t="s">
        <v>77</v>
      </c>
      <c r="G47" s="24"/>
      <c r="H47" s="17" t="s">
        <v>97</v>
      </c>
      <c r="I47" s="16">
        <v>1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21</v>
      </c>
      <c r="C48" s="16">
        <v>120</v>
      </c>
      <c r="D48" s="16">
        <v>8</v>
      </c>
      <c r="E48" s="16" t="s">
        <v>72</v>
      </c>
      <c r="F48" s="16" t="s">
        <v>77</v>
      </c>
      <c r="G48" s="24"/>
      <c r="H48" s="17" t="s">
        <v>97</v>
      </c>
      <c r="I48" s="16">
        <v>1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19</v>
      </c>
      <c r="C49" s="16">
        <v>60</v>
      </c>
      <c r="D49" s="16">
        <v>8</v>
      </c>
      <c r="E49" s="16" t="s">
        <v>72</v>
      </c>
      <c r="F49" s="16" t="s">
        <v>63</v>
      </c>
      <c r="G49" s="24"/>
      <c r="H49" s="17" t="s">
        <v>97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5</v>
      </c>
      <c r="B50" s="16" t="s">
        <v>19</v>
      </c>
      <c r="C50" s="16">
        <v>50</v>
      </c>
      <c r="D50" s="16">
        <v>8</v>
      </c>
      <c r="E50" s="16" t="s">
        <v>72</v>
      </c>
      <c r="F50" s="16" t="s">
        <v>77</v>
      </c>
      <c r="G50" s="24"/>
      <c r="H50" s="17" t="s">
        <v>97</v>
      </c>
      <c r="I50" s="16">
        <v>1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3</v>
      </c>
      <c r="B51" s="16" t="s">
        <v>19</v>
      </c>
      <c r="C51" s="16">
        <v>30</v>
      </c>
      <c r="D51" s="16">
        <v>8</v>
      </c>
      <c r="E51" s="16" t="s">
        <v>72</v>
      </c>
      <c r="F51" s="16" t="s">
        <v>77</v>
      </c>
      <c r="G51" s="24"/>
      <c r="H51" s="17" t="s">
        <v>86</v>
      </c>
      <c r="I51" s="16">
        <v>1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68</v>
      </c>
      <c r="C52" s="16">
        <v>50</v>
      </c>
      <c r="D52" s="16">
        <v>8</v>
      </c>
      <c r="E52" s="16" t="s">
        <v>72</v>
      </c>
      <c r="F52" s="16" t="s">
        <v>63</v>
      </c>
      <c r="G52" s="24"/>
      <c r="H52" s="17" t="s">
        <v>84</v>
      </c>
      <c r="I52" s="16">
        <v>1</v>
      </c>
      <c r="J52" s="17"/>
      <c r="L52" s="19">
        <f>SUM(L10:L51)</f>
        <v>214</v>
      </c>
      <c r="M52" s="19"/>
      <c r="N52" s="19"/>
    </row>
    <row r="53" spans="1:14" s="18" customFormat="1" x14ac:dyDescent="0.3">
      <c r="A53" s="16">
        <v>1</v>
      </c>
      <c r="B53" s="16" t="s">
        <v>19</v>
      </c>
      <c r="C53" s="16">
        <v>80</v>
      </c>
      <c r="D53" s="16">
        <v>8</v>
      </c>
      <c r="E53" s="16" t="s">
        <v>72</v>
      </c>
      <c r="F53" s="16" t="s">
        <v>63</v>
      </c>
      <c r="G53" s="24"/>
      <c r="H53" s="17" t="s">
        <v>86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2</v>
      </c>
      <c r="B54" s="16" t="s">
        <v>19</v>
      </c>
      <c r="C54" s="16">
        <v>70</v>
      </c>
      <c r="D54" s="16">
        <v>11</v>
      </c>
      <c r="E54" s="16" t="s">
        <v>65</v>
      </c>
      <c r="F54" s="16" t="s">
        <v>169</v>
      </c>
      <c r="G54" s="24"/>
      <c r="H54" s="17" t="s">
        <v>97</v>
      </c>
      <c r="I54" s="16">
        <v>1</v>
      </c>
      <c r="J54" s="17" t="s">
        <v>170</v>
      </c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19</v>
      </c>
      <c r="C55" s="16">
        <v>50</v>
      </c>
      <c r="D55" s="16">
        <v>11</v>
      </c>
      <c r="E55" s="16" t="s">
        <v>65</v>
      </c>
      <c r="F55" s="16" t="s">
        <v>63</v>
      </c>
      <c r="G55" s="24"/>
      <c r="H55" s="17" t="s">
        <v>97</v>
      </c>
      <c r="I55" s="16">
        <v>1</v>
      </c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>
        <v>2</v>
      </c>
      <c r="B56" s="16" t="s">
        <v>19</v>
      </c>
      <c r="C56" s="16">
        <v>80</v>
      </c>
      <c r="D56" s="16">
        <v>11</v>
      </c>
      <c r="E56" s="16" t="s">
        <v>65</v>
      </c>
      <c r="F56" s="16" t="s">
        <v>63</v>
      </c>
      <c r="G56" s="24"/>
      <c r="H56" s="17" t="s">
        <v>97</v>
      </c>
      <c r="I56" s="16">
        <v>1</v>
      </c>
      <c r="J56" s="17" t="s">
        <v>171</v>
      </c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21</v>
      </c>
      <c r="C57" s="16">
        <v>180</v>
      </c>
      <c r="D57" s="16">
        <v>11</v>
      </c>
      <c r="E57" s="16" t="s">
        <v>65</v>
      </c>
      <c r="F57" s="16" t="s">
        <v>63</v>
      </c>
      <c r="G57" s="24"/>
      <c r="H57" s="17" t="s">
        <v>97</v>
      </c>
      <c r="I57" s="16">
        <v>1</v>
      </c>
      <c r="J57" s="17"/>
      <c r="L57" s="19">
        <f>SUMIFS($A$10:$A$400,$B$10:$B$400,"RT",$D$10:$D$400,"4")</f>
        <v>2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21</v>
      </c>
      <c r="C58" s="16">
        <v>150</v>
      </c>
      <c r="D58" s="16">
        <v>11</v>
      </c>
      <c r="E58" s="16" t="s">
        <v>65</v>
      </c>
      <c r="F58" s="16" t="s">
        <v>63</v>
      </c>
      <c r="G58" s="24"/>
      <c r="H58" s="17" t="s">
        <v>97</v>
      </c>
      <c r="I58" s="16">
        <v>1</v>
      </c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>
        <v>2</v>
      </c>
      <c r="B59" s="16" t="s">
        <v>19</v>
      </c>
      <c r="C59" s="16">
        <v>70</v>
      </c>
      <c r="D59" s="16">
        <v>11</v>
      </c>
      <c r="E59" s="16" t="s">
        <v>65</v>
      </c>
      <c r="F59" s="16" t="s">
        <v>63</v>
      </c>
      <c r="G59" s="24"/>
      <c r="H59" s="17" t="s">
        <v>97</v>
      </c>
      <c r="I59" s="16">
        <v>1</v>
      </c>
      <c r="J59" s="17"/>
      <c r="L59" s="19">
        <f>SUMIFS($A$10:$A$400,$B$10:$B$400,"RT",$D$10:$D$400,"6")</f>
        <v>8</v>
      </c>
      <c r="M59" s="19" t="s">
        <v>21</v>
      </c>
      <c r="N59" s="19" t="s">
        <v>28</v>
      </c>
    </row>
    <row r="60" spans="1:14" s="18" customFormat="1" x14ac:dyDescent="0.3">
      <c r="A60" s="16">
        <v>1</v>
      </c>
      <c r="B60" s="16" t="s">
        <v>85</v>
      </c>
      <c r="C60" s="16">
        <v>40</v>
      </c>
      <c r="D60" s="16">
        <v>11</v>
      </c>
      <c r="E60" s="16" t="s">
        <v>65</v>
      </c>
      <c r="F60" s="16" t="s">
        <v>63</v>
      </c>
      <c r="G60" s="24"/>
      <c r="H60" s="17" t="s">
        <v>97</v>
      </c>
      <c r="I60" s="16">
        <v>1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19</v>
      </c>
      <c r="C61" s="16">
        <v>50</v>
      </c>
      <c r="D61" s="16">
        <v>11</v>
      </c>
      <c r="E61" s="16" t="s">
        <v>65</v>
      </c>
      <c r="F61" s="16" t="s">
        <v>63</v>
      </c>
      <c r="G61" s="24"/>
      <c r="H61" s="17" t="s">
        <v>97</v>
      </c>
      <c r="I61" s="16">
        <v>1</v>
      </c>
      <c r="J61" s="17" t="s">
        <v>167</v>
      </c>
      <c r="L61" s="19">
        <f>SUMIFS($A$10:$A$400,$B$10:$B$400,"RT",$D$10:$D$400,"8")</f>
        <v>3</v>
      </c>
      <c r="M61" s="19" t="s">
        <v>21</v>
      </c>
      <c r="N61" s="19" t="s">
        <v>30</v>
      </c>
    </row>
    <row r="62" spans="1:14" s="18" customFormat="1" x14ac:dyDescent="0.3">
      <c r="A62" s="16">
        <v>1</v>
      </c>
      <c r="B62" s="16" t="s">
        <v>21</v>
      </c>
      <c r="C62" s="16">
        <v>80</v>
      </c>
      <c r="D62" s="16">
        <v>11</v>
      </c>
      <c r="E62" s="16" t="s">
        <v>65</v>
      </c>
      <c r="F62" s="16" t="s">
        <v>77</v>
      </c>
      <c r="G62" s="24"/>
      <c r="H62" s="17" t="s">
        <v>97</v>
      </c>
      <c r="I62" s="16">
        <v>1</v>
      </c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>
        <v>2</v>
      </c>
      <c r="B63" s="16" t="s">
        <v>21</v>
      </c>
      <c r="C63" s="16">
        <v>130</v>
      </c>
      <c r="D63" s="16">
        <v>11</v>
      </c>
      <c r="E63" s="16" t="s">
        <v>65</v>
      </c>
      <c r="F63" s="16" t="s">
        <v>63</v>
      </c>
      <c r="G63" s="24"/>
      <c r="H63" s="17" t="s">
        <v>97</v>
      </c>
      <c r="I63" s="16">
        <v>1</v>
      </c>
      <c r="J63" s="17"/>
      <c r="L63" s="19">
        <f>SUMIFS($A$10:$A$400,$B$10:$B$400,"RT",$D$10:$D$400,"10")</f>
        <v>1</v>
      </c>
      <c r="M63" s="19" t="s">
        <v>21</v>
      </c>
      <c r="N63" s="19" t="s">
        <v>20</v>
      </c>
    </row>
    <row r="64" spans="1:14" s="18" customFormat="1" x14ac:dyDescent="0.3">
      <c r="A64" s="16">
        <v>3</v>
      </c>
      <c r="B64" s="16" t="s">
        <v>19</v>
      </c>
      <c r="C64" s="16">
        <v>70</v>
      </c>
      <c r="D64" s="16">
        <v>11</v>
      </c>
      <c r="E64" s="16" t="s">
        <v>65</v>
      </c>
      <c r="F64" s="16" t="s">
        <v>63</v>
      </c>
      <c r="G64" s="24"/>
      <c r="H64" s="17" t="s">
        <v>97</v>
      </c>
      <c r="I64" s="16">
        <v>1</v>
      </c>
      <c r="J64" s="17"/>
      <c r="L64" s="19">
        <f>SUMIFS($A$10:$A$400,$B$10:$B$400,"RT",$D$10:$D$400,"11")</f>
        <v>10</v>
      </c>
      <c r="M64" s="19" t="s">
        <v>21</v>
      </c>
      <c r="N64" s="19" t="s">
        <v>23</v>
      </c>
    </row>
    <row r="65" spans="1:14" s="18" customFormat="1" x14ac:dyDescent="0.3">
      <c r="A65" s="16">
        <v>1</v>
      </c>
      <c r="B65" s="16" t="s">
        <v>19</v>
      </c>
      <c r="C65" s="16">
        <v>90</v>
      </c>
      <c r="D65" s="16">
        <v>11</v>
      </c>
      <c r="E65" s="16" t="s">
        <v>65</v>
      </c>
      <c r="F65" s="16" t="s">
        <v>63</v>
      </c>
      <c r="G65" s="24"/>
      <c r="H65" s="17" t="s">
        <v>97</v>
      </c>
      <c r="I65" s="16">
        <v>1</v>
      </c>
      <c r="J65" s="17"/>
      <c r="L65" s="19">
        <f>SUMIFS($A$10:$A$400,$B$10:$B$400,"RT",$D$10:$D$400,"12")</f>
        <v>6</v>
      </c>
      <c r="M65" s="19" t="s">
        <v>21</v>
      </c>
      <c r="N65" s="19" t="s">
        <v>32</v>
      </c>
    </row>
    <row r="66" spans="1:14" s="18" customFormat="1" x14ac:dyDescent="0.3">
      <c r="A66" s="16">
        <v>2</v>
      </c>
      <c r="B66" s="16" t="s">
        <v>19</v>
      </c>
      <c r="C66" s="16">
        <v>60</v>
      </c>
      <c r="D66" s="16">
        <v>11</v>
      </c>
      <c r="E66" s="16" t="s">
        <v>65</v>
      </c>
      <c r="F66" s="16" t="s">
        <v>63</v>
      </c>
      <c r="G66" s="24"/>
      <c r="H66" s="17" t="s">
        <v>97</v>
      </c>
      <c r="I66" s="16">
        <v>1</v>
      </c>
      <c r="J66" s="17"/>
      <c r="L66" s="19">
        <f>SUMIFS($A$10:$A$400,$B$10:$B$400,"RT",$D$10:$D$400,"13")</f>
        <v>2</v>
      </c>
      <c r="M66" s="19" t="s">
        <v>21</v>
      </c>
      <c r="N66" s="19" t="s">
        <v>33</v>
      </c>
    </row>
    <row r="67" spans="1:14" s="18" customFormat="1" x14ac:dyDescent="0.3">
      <c r="A67" s="16">
        <v>1</v>
      </c>
      <c r="B67" s="16" t="s">
        <v>19</v>
      </c>
      <c r="C67" s="16">
        <v>80</v>
      </c>
      <c r="D67" s="16">
        <v>11</v>
      </c>
      <c r="E67" s="16" t="s">
        <v>65</v>
      </c>
      <c r="F67" s="16" t="s">
        <v>63</v>
      </c>
      <c r="G67" s="24"/>
      <c r="H67" s="17" t="s">
        <v>97</v>
      </c>
      <c r="I67" s="16">
        <v>1</v>
      </c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1</v>
      </c>
      <c r="B68" s="16" t="s">
        <v>67</v>
      </c>
      <c r="C68" s="16">
        <v>200</v>
      </c>
      <c r="D68" s="16">
        <v>11</v>
      </c>
      <c r="E68" s="16" t="s">
        <v>65</v>
      </c>
      <c r="F68" s="16" t="s">
        <v>77</v>
      </c>
      <c r="G68" s="24"/>
      <c r="H68" s="17" t="s">
        <v>97</v>
      </c>
      <c r="I68" s="16">
        <v>1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>
        <v>1</v>
      </c>
      <c r="B69" s="16" t="s">
        <v>21</v>
      </c>
      <c r="C69" s="16">
        <v>150</v>
      </c>
      <c r="D69" s="16">
        <v>11</v>
      </c>
      <c r="E69" s="16" t="s">
        <v>65</v>
      </c>
      <c r="F69" s="16" t="s">
        <v>77</v>
      </c>
      <c r="G69" s="24"/>
      <c r="H69" s="17" t="s">
        <v>97</v>
      </c>
      <c r="I69" s="16">
        <v>1</v>
      </c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>
        <v>1</v>
      </c>
      <c r="B70" s="16" t="s">
        <v>21</v>
      </c>
      <c r="C70" s="16">
        <v>160</v>
      </c>
      <c r="D70" s="16">
        <v>11</v>
      </c>
      <c r="E70" s="16" t="s">
        <v>65</v>
      </c>
      <c r="F70" s="16" t="s">
        <v>77</v>
      </c>
      <c r="G70" s="24"/>
      <c r="H70" s="17" t="s">
        <v>97</v>
      </c>
      <c r="I70" s="16">
        <v>1</v>
      </c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>
        <v>1</v>
      </c>
      <c r="B71" s="16" t="s">
        <v>21</v>
      </c>
      <c r="C71" s="16">
        <v>280</v>
      </c>
      <c r="D71" s="16">
        <v>11</v>
      </c>
      <c r="E71" s="16" t="s">
        <v>65</v>
      </c>
      <c r="F71" s="16" t="s">
        <v>172</v>
      </c>
      <c r="G71" s="24"/>
      <c r="H71" s="17" t="s">
        <v>97</v>
      </c>
      <c r="I71" s="16">
        <v>1</v>
      </c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>
        <v>2</v>
      </c>
      <c r="B72" s="16" t="s">
        <v>21</v>
      </c>
      <c r="C72" s="16">
        <v>110</v>
      </c>
      <c r="D72" s="16">
        <v>11</v>
      </c>
      <c r="E72" s="16" t="s">
        <v>65</v>
      </c>
      <c r="F72" s="16"/>
      <c r="G72" s="24"/>
      <c r="H72" s="17" t="s">
        <v>97</v>
      </c>
      <c r="I72" s="16">
        <v>1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5</v>
      </c>
      <c r="B73" s="16" t="s">
        <v>19</v>
      </c>
      <c r="C73" s="16">
        <v>40</v>
      </c>
      <c r="D73" s="16">
        <v>8</v>
      </c>
      <c r="E73" s="16" t="s">
        <v>72</v>
      </c>
      <c r="F73" s="16" t="s">
        <v>77</v>
      </c>
      <c r="G73" s="24"/>
      <c r="H73" s="17" t="s">
        <v>99</v>
      </c>
      <c r="I73" s="16">
        <v>3</v>
      </c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>
        <v>2</v>
      </c>
      <c r="B74" s="16" t="s">
        <v>19</v>
      </c>
      <c r="C74" s="16">
        <v>50</v>
      </c>
      <c r="D74" s="16">
        <v>8</v>
      </c>
      <c r="E74" s="16" t="s">
        <v>72</v>
      </c>
      <c r="F74" s="16" t="s">
        <v>77</v>
      </c>
      <c r="G74" s="24"/>
      <c r="H74" s="17" t="s">
        <v>84</v>
      </c>
      <c r="I74" s="16">
        <v>2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>
        <v>1</v>
      </c>
      <c r="B75" s="16" t="s">
        <v>19</v>
      </c>
      <c r="C75" s="16">
        <v>80</v>
      </c>
      <c r="D75" s="16">
        <v>8</v>
      </c>
      <c r="E75" s="16" t="s">
        <v>72</v>
      </c>
      <c r="F75" s="16" t="s">
        <v>77</v>
      </c>
      <c r="G75" s="24"/>
      <c r="H75" s="17" t="s">
        <v>86</v>
      </c>
      <c r="I75" s="16">
        <v>3</v>
      </c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>
        <v>3</v>
      </c>
      <c r="B76" s="16" t="s">
        <v>19</v>
      </c>
      <c r="C76" s="16">
        <v>80</v>
      </c>
      <c r="D76" s="16">
        <v>8</v>
      </c>
      <c r="E76" s="16" t="s">
        <v>72</v>
      </c>
      <c r="F76" s="16" t="s">
        <v>77</v>
      </c>
      <c r="G76" s="24"/>
      <c r="H76" s="17" t="s">
        <v>86</v>
      </c>
      <c r="I76" s="16">
        <v>3</v>
      </c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8</v>
      </c>
      <c r="B77" s="16" t="s">
        <v>85</v>
      </c>
      <c r="C77" s="16">
        <v>30</v>
      </c>
      <c r="D77" s="16">
        <v>8</v>
      </c>
      <c r="E77" s="16" t="s">
        <v>72</v>
      </c>
      <c r="F77" s="16" t="s">
        <v>73</v>
      </c>
      <c r="G77" s="24"/>
      <c r="H77" s="17" t="s">
        <v>97</v>
      </c>
      <c r="I77" s="16">
        <v>1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2</v>
      </c>
      <c r="B78" s="16" t="s">
        <v>19</v>
      </c>
      <c r="C78" s="16">
        <v>80</v>
      </c>
      <c r="D78" s="16">
        <v>12</v>
      </c>
      <c r="E78" s="16" t="s">
        <v>65</v>
      </c>
      <c r="F78" s="16" t="s">
        <v>77</v>
      </c>
      <c r="G78" s="24"/>
      <c r="H78" s="17" t="s">
        <v>86</v>
      </c>
      <c r="I78" s="16">
        <v>1</v>
      </c>
      <c r="J78" s="17" t="s">
        <v>173</v>
      </c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2</v>
      </c>
      <c r="B79" s="16" t="s">
        <v>19</v>
      </c>
      <c r="C79" s="16">
        <v>110</v>
      </c>
      <c r="D79" s="16">
        <v>12</v>
      </c>
      <c r="E79" s="16" t="s">
        <v>65</v>
      </c>
      <c r="F79" s="16" t="s">
        <v>77</v>
      </c>
      <c r="G79" s="24"/>
      <c r="H79" s="17" t="s">
        <v>86</v>
      </c>
      <c r="I79" s="16">
        <v>1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>
        <v>1</v>
      </c>
      <c r="B80" s="16" t="s">
        <v>19</v>
      </c>
      <c r="C80" s="16">
        <v>110</v>
      </c>
      <c r="D80" s="16">
        <v>12</v>
      </c>
      <c r="E80" s="16" t="s">
        <v>65</v>
      </c>
      <c r="F80" s="16" t="s">
        <v>77</v>
      </c>
      <c r="G80" s="24"/>
      <c r="H80" s="17" t="s">
        <v>86</v>
      </c>
      <c r="I80" s="16">
        <v>1</v>
      </c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>
        <v>4</v>
      </c>
      <c r="B81" s="16" t="s">
        <v>19</v>
      </c>
      <c r="C81" s="16">
        <v>55</v>
      </c>
      <c r="D81" s="16">
        <v>12</v>
      </c>
      <c r="E81" s="16" t="s">
        <v>65</v>
      </c>
      <c r="F81" s="16" t="s">
        <v>62</v>
      </c>
      <c r="G81" s="24"/>
      <c r="H81" s="17" t="s">
        <v>86</v>
      </c>
      <c r="I81" s="16">
        <v>1</v>
      </c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>
        <v>1</v>
      </c>
      <c r="B82" s="16" t="s">
        <v>21</v>
      </c>
      <c r="C82" s="16">
        <v>110</v>
      </c>
      <c r="D82" s="16">
        <v>12</v>
      </c>
      <c r="E82" s="16" t="s">
        <v>65</v>
      </c>
      <c r="F82" s="16" t="s">
        <v>77</v>
      </c>
      <c r="G82" s="24"/>
      <c r="H82" s="17" t="s">
        <v>86</v>
      </c>
      <c r="I82" s="16">
        <v>1</v>
      </c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>
        <v>3</v>
      </c>
      <c r="B83" s="16" t="s">
        <v>19</v>
      </c>
      <c r="C83" s="16">
        <v>80</v>
      </c>
      <c r="D83" s="16">
        <v>12</v>
      </c>
      <c r="E83" s="16" t="s">
        <v>65</v>
      </c>
      <c r="F83" s="16" t="s">
        <v>77</v>
      </c>
      <c r="G83" s="24"/>
      <c r="H83" s="17" t="s">
        <v>86</v>
      </c>
      <c r="I83" s="16">
        <v>1</v>
      </c>
      <c r="J83" s="17" t="s">
        <v>174</v>
      </c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>
        <v>6</v>
      </c>
      <c r="B84" s="16" t="s">
        <v>19</v>
      </c>
      <c r="C84" s="16">
        <v>65</v>
      </c>
      <c r="D84" s="16">
        <v>12</v>
      </c>
      <c r="E84" s="16" t="s">
        <v>65</v>
      </c>
      <c r="F84" s="16" t="s">
        <v>62</v>
      </c>
      <c r="G84" s="24"/>
      <c r="H84" s="17" t="s">
        <v>86</v>
      </c>
      <c r="I84" s="16">
        <v>1</v>
      </c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>
        <v>3</v>
      </c>
      <c r="B85" s="16" t="s">
        <v>19</v>
      </c>
      <c r="C85" s="16">
        <v>40</v>
      </c>
      <c r="D85" s="16">
        <v>12</v>
      </c>
      <c r="E85" s="16" t="s">
        <v>65</v>
      </c>
      <c r="F85" s="16" t="s">
        <v>62</v>
      </c>
      <c r="G85" s="24"/>
      <c r="H85" s="17" t="s">
        <v>99</v>
      </c>
      <c r="I85" s="16">
        <v>2</v>
      </c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>
        <v>1</v>
      </c>
      <c r="B86" s="16" t="s">
        <v>21</v>
      </c>
      <c r="C86" s="16">
        <v>75</v>
      </c>
      <c r="D86" s="16">
        <v>12</v>
      </c>
      <c r="E86" s="16" t="s">
        <v>65</v>
      </c>
      <c r="F86" s="16" t="s">
        <v>77</v>
      </c>
      <c r="G86" s="24"/>
      <c r="H86" s="17" t="s">
        <v>99</v>
      </c>
      <c r="I86" s="16">
        <v>2</v>
      </c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>
        <v>10</v>
      </c>
      <c r="B87" s="16" t="s">
        <v>19</v>
      </c>
      <c r="C87" s="16">
        <v>80</v>
      </c>
      <c r="D87" s="16">
        <v>12</v>
      </c>
      <c r="E87" s="16" t="s">
        <v>65</v>
      </c>
      <c r="F87" s="16" t="s">
        <v>62</v>
      </c>
      <c r="G87" s="24"/>
      <c r="H87" s="17" t="s">
        <v>86</v>
      </c>
      <c r="I87" s="16">
        <v>1</v>
      </c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>
        <v>2</v>
      </c>
      <c r="B88" s="16" t="s">
        <v>21</v>
      </c>
      <c r="C88" s="16">
        <v>80</v>
      </c>
      <c r="D88" s="16">
        <v>12</v>
      </c>
      <c r="E88" s="16" t="s">
        <v>65</v>
      </c>
      <c r="F88" s="16" t="s">
        <v>62</v>
      </c>
      <c r="G88" s="24"/>
      <c r="H88" s="17" t="s">
        <v>99</v>
      </c>
      <c r="I88" s="16">
        <v>2</v>
      </c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>
        <v>1</v>
      </c>
      <c r="B89" s="16" t="s">
        <v>19</v>
      </c>
      <c r="C89" s="16">
        <v>30</v>
      </c>
      <c r="D89" s="16">
        <v>12</v>
      </c>
      <c r="E89" s="16" t="s">
        <v>65</v>
      </c>
      <c r="F89" s="16" t="s">
        <v>62</v>
      </c>
      <c r="G89" s="24"/>
      <c r="H89" s="17" t="s">
        <v>99</v>
      </c>
      <c r="I89" s="16">
        <v>2</v>
      </c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>
        <v>1</v>
      </c>
      <c r="B90" s="16" t="s">
        <v>19</v>
      </c>
      <c r="C90" s="16">
        <v>50</v>
      </c>
      <c r="D90" s="16">
        <v>12</v>
      </c>
      <c r="E90" s="16" t="s">
        <v>65</v>
      </c>
      <c r="F90" s="16" t="s">
        <v>62</v>
      </c>
      <c r="G90" s="24"/>
      <c r="H90" s="17" t="s">
        <v>99</v>
      </c>
      <c r="I90" s="16">
        <v>2</v>
      </c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>
        <v>2</v>
      </c>
      <c r="B91" s="16" t="s">
        <v>19</v>
      </c>
      <c r="C91" s="16">
        <v>75</v>
      </c>
      <c r="D91" s="16">
        <v>12</v>
      </c>
      <c r="E91" s="16" t="s">
        <v>65</v>
      </c>
      <c r="F91" s="16" t="s">
        <v>62</v>
      </c>
      <c r="G91" s="24"/>
      <c r="H91" s="17" t="s">
        <v>99</v>
      </c>
      <c r="I91" s="16">
        <v>2</v>
      </c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>
        <v>4</v>
      </c>
      <c r="B92" s="16" t="s">
        <v>19</v>
      </c>
      <c r="C92" s="16">
        <v>80</v>
      </c>
      <c r="D92" s="16">
        <v>12</v>
      </c>
      <c r="E92" s="16" t="s">
        <v>65</v>
      </c>
      <c r="F92" s="16" t="s">
        <v>77</v>
      </c>
      <c r="G92" s="24"/>
      <c r="H92" s="17" t="s">
        <v>86</v>
      </c>
      <c r="I92" s="16">
        <v>1</v>
      </c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>
        <v>2</v>
      </c>
      <c r="B93" s="16" t="s">
        <v>19</v>
      </c>
      <c r="C93" s="16">
        <v>80</v>
      </c>
      <c r="D93" s="16">
        <v>12</v>
      </c>
      <c r="E93" s="16" t="s">
        <v>65</v>
      </c>
      <c r="F93" s="16" t="s">
        <v>62</v>
      </c>
      <c r="G93" s="24"/>
      <c r="H93" s="17" t="s">
        <v>86</v>
      </c>
      <c r="I93" s="16">
        <v>1</v>
      </c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>
        <v>9</v>
      </c>
      <c r="B94" s="16" t="s">
        <v>19</v>
      </c>
      <c r="C94" s="16">
        <v>55</v>
      </c>
      <c r="D94" s="16">
        <v>12</v>
      </c>
      <c r="E94" s="16" t="s">
        <v>65</v>
      </c>
      <c r="F94" s="16" t="s">
        <v>62</v>
      </c>
      <c r="G94" s="24"/>
      <c r="H94" s="17" t="s">
        <v>86</v>
      </c>
      <c r="I94" s="16">
        <v>1</v>
      </c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>
        <v>1</v>
      </c>
      <c r="B95" s="16" t="s">
        <v>21</v>
      </c>
      <c r="C95" s="16">
        <v>90</v>
      </c>
      <c r="D95" s="16">
        <v>12</v>
      </c>
      <c r="E95" s="16" t="s">
        <v>65</v>
      </c>
      <c r="F95" s="16" t="s">
        <v>62</v>
      </c>
      <c r="G95" s="24"/>
      <c r="H95" s="17" t="s">
        <v>99</v>
      </c>
      <c r="I95" s="16">
        <v>2</v>
      </c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>
        <v>1</v>
      </c>
      <c r="B96" s="16" t="s">
        <v>21</v>
      </c>
      <c r="C96" s="16">
        <v>60</v>
      </c>
      <c r="D96" s="16">
        <v>12</v>
      </c>
      <c r="E96" s="16" t="s">
        <v>65</v>
      </c>
      <c r="F96" s="16" t="s">
        <v>62</v>
      </c>
      <c r="G96" s="24"/>
      <c r="H96" s="17" t="s">
        <v>99</v>
      </c>
      <c r="I96" s="16">
        <v>2</v>
      </c>
      <c r="J96" s="17"/>
      <c r="L96" s="19">
        <f>SUM(L54:L95)</f>
        <v>32</v>
      </c>
      <c r="M96" s="20"/>
      <c r="N96" s="20"/>
    </row>
    <row r="97" spans="1:14" s="18" customFormat="1" x14ac:dyDescent="0.3">
      <c r="A97" s="16">
        <v>4</v>
      </c>
      <c r="B97" s="16" t="s">
        <v>19</v>
      </c>
      <c r="C97" s="16">
        <v>60</v>
      </c>
      <c r="D97" s="16">
        <v>12</v>
      </c>
      <c r="E97" s="16" t="s">
        <v>65</v>
      </c>
      <c r="F97" s="16" t="s">
        <v>62</v>
      </c>
      <c r="G97" s="24"/>
      <c r="H97" s="17" t="s">
        <v>99</v>
      </c>
      <c r="I97" s="16">
        <v>2</v>
      </c>
      <c r="J97" s="17"/>
      <c r="L97" s="20"/>
      <c r="M97" s="20"/>
      <c r="N97" s="20"/>
    </row>
    <row r="98" spans="1:14" s="18" customFormat="1" x14ac:dyDescent="0.3">
      <c r="A98" s="16">
        <v>4</v>
      </c>
      <c r="B98" s="16" t="s">
        <v>19</v>
      </c>
      <c r="C98" s="16">
        <v>80</v>
      </c>
      <c r="D98" s="16">
        <v>12</v>
      </c>
      <c r="E98" s="16" t="s">
        <v>65</v>
      </c>
      <c r="F98" s="16" t="s">
        <v>62</v>
      </c>
      <c r="G98" s="24"/>
      <c r="H98" s="17" t="s">
        <v>86</v>
      </c>
      <c r="I98" s="16">
        <v>1</v>
      </c>
      <c r="J98" s="17"/>
      <c r="L98" s="20"/>
      <c r="M98" s="20"/>
      <c r="N98" s="20"/>
    </row>
    <row r="99" spans="1:14" s="18" customFormat="1" x14ac:dyDescent="0.3">
      <c r="A99" s="16">
        <v>3</v>
      </c>
      <c r="B99" s="16" t="s">
        <v>19</v>
      </c>
      <c r="C99" s="16">
        <v>25</v>
      </c>
      <c r="D99" s="16">
        <v>8</v>
      </c>
      <c r="E99" s="16" t="s">
        <v>72</v>
      </c>
      <c r="F99" s="16" t="s">
        <v>77</v>
      </c>
      <c r="G99" s="24"/>
      <c r="H99" s="17" t="s">
        <v>84</v>
      </c>
      <c r="I99" s="16">
        <v>1</v>
      </c>
      <c r="J99" s="17"/>
      <c r="L99" s="20"/>
      <c r="M99" s="20"/>
      <c r="N99" s="20"/>
    </row>
    <row r="100" spans="1:14" s="18" customFormat="1" x14ac:dyDescent="0.3">
      <c r="A100" s="20">
        <v>2</v>
      </c>
      <c r="B100" s="16" t="s">
        <v>85</v>
      </c>
      <c r="C100" s="20">
        <v>30</v>
      </c>
      <c r="D100" s="16">
        <v>8</v>
      </c>
      <c r="E100" s="16" t="s">
        <v>72</v>
      </c>
      <c r="F100" s="20" t="s">
        <v>77</v>
      </c>
      <c r="G100" s="25"/>
      <c r="H100" s="18" t="s">
        <v>84</v>
      </c>
      <c r="I100" s="20">
        <v>1</v>
      </c>
      <c r="L100" s="20"/>
      <c r="M100" s="20"/>
      <c r="N100" s="20"/>
    </row>
    <row r="101" spans="1:14" s="18" customFormat="1" x14ac:dyDescent="0.3">
      <c r="A101" s="20">
        <v>2</v>
      </c>
      <c r="B101" s="20" t="s">
        <v>21</v>
      </c>
      <c r="C101" s="20">
        <v>75</v>
      </c>
      <c r="D101" s="20">
        <v>13</v>
      </c>
      <c r="E101" s="20" t="s">
        <v>71</v>
      </c>
      <c r="F101" s="20" t="s">
        <v>63</v>
      </c>
      <c r="G101" s="25"/>
      <c r="H101" s="18" t="s">
        <v>99</v>
      </c>
      <c r="I101" s="20">
        <v>1</v>
      </c>
      <c r="J101" s="18" t="s">
        <v>175</v>
      </c>
      <c r="L101" s="20"/>
      <c r="M101" s="20"/>
      <c r="N101" s="20"/>
    </row>
    <row r="102" spans="1:14" s="18" customFormat="1" x14ac:dyDescent="0.3">
      <c r="A102" s="20">
        <v>1</v>
      </c>
      <c r="B102" s="20" t="s">
        <v>19</v>
      </c>
      <c r="C102" s="20">
        <v>50</v>
      </c>
      <c r="D102" s="20">
        <v>13</v>
      </c>
      <c r="E102" s="20" t="s">
        <v>71</v>
      </c>
      <c r="F102" s="20" t="s">
        <v>176</v>
      </c>
      <c r="G102" s="25"/>
      <c r="H102" s="18" t="s">
        <v>84</v>
      </c>
      <c r="I102" s="20">
        <v>2</v>
      </c>
      <c r="L102" s="20"/>
      <c r="M102" s="20"/>
      <c r="N102" s="20"/>
    </row>
    <row r="103" spans="1:14" s="18" customFormat="1" x14ac:dyDescent="0.3">
      <c r="A103" s="20">
        <v>10</v>
      </c>
      <c r="B103" s="20" t="s">
        <v>19</v>
      </c>
      <c r="C103" s="20">
        <v>30</v>
      </c>
      <c r="D103" s="20">
        <v>13</v>
      </c>
      <c r="E103" s="20" t="s">
        <v>71</v>
      </c>
      <c r="F103" s="20" t="s">
        <v>63</v>
      </c>
      <c r="G103" s="25"/>
      <c r="H103" s="18" t="s">
        <v>99</v>
      </c>
      <c r="I103" s="20">
        <v>1</v>
      </c>
      <c r="L103" s="20"/>
      <c r="M103" s="20"/>
      <c r="N103" s="20"/>
    </row>
    <row r="104" spans="1:14" s="18" customFormat="1" x14ac:dyDescent="0.3">
      <c r="A104" s="20">
        <v>1</v>
      </c>
      <c r="B104" s="20" t="s">
        <v>19</v>
      </c>
      <c r="C104" s="20">
        <v>75</v>
      </c>
      <c r="D104" s="20">
        <v>13</v>
      </c>
      <c r="E104" s="20" t="s">
        <v>71</v>
      </c>
      <c r="F104" s="20" t="s">
        <v>177</v>
      </c>
      <c r="G104" s="25"/>
      <c r="H104" s="18" t="s">
        <v>84</v>
      </c>
      <c r="I104" s="20">
        <v>2</v>
      </c>
      <c r="L104" s="20"/>
      <c r="M104" s="20"/>
      <c r="N104" s="20"/>
    </row>
    <row r="105" spans="1:14" s="18" customFormat="1" x14ac:dyDescent="0.3">
      <c r="A105" s="20">
        <v>4</v>
      </c>
      <c r="B105" s="20" t="s">
        <v>19</v>
      </c>
      <c r="C105" s="20">
        <v>30</v>
      </c>
      <c r="D105" s="20">
        <v>13</v>
      </c>
      <c r="E105" s="20" t="s">
        <v>71</v>
      </c>
      <c r="F105" s="20" t="s">
        <v>63</v>
      </c>
      <c r="G105" s="25"/>
      <c r="H105" s="18" t="s">
        <v>99</v>
      </c>
      <c r="I105" s="20">
        <v>1</v>
      </c>
      <c r="L105" s="20"/>
      <c r="M105" s="20"/>
      <c r="N105" s="20"/>
    </row>
    <row r="106" spans="1:14" s="18" customFormat="1" x14ac:dyDescent="0.3">
      <c r="A106" s="20">
        <v>5</v>
      </c>
      <c r="B106" s="20" t="s">
        <v>19</v>
      </c>
      <c r="C106" s="20">
        <v>50</v>
      </c>
      <c r="D106" s="20">
        <v>13</v>
      </c>
      <c r="E106" s="20" t="s">
        <v>71</v>
      </c>
      <c r="F106" s="20" t="s">
        <v>63</v>
      </c>
      <c r="G106" s="25"/>
      <c r="H106" s="18" t="s">
        <v>99</v>
      </c>
      <c r="I106" s="20">
        <v>1</v>
      </c>
      <c r="L106" s="20"/>
      <c r="M106" s="20"/>
      <c r="N106" s="20"/>
    </row>
    <row r="107" spans="1:14" s="18" customFormat="1" x14ac:dyDescent="0.3">
      <c r="A107" s="20">
        <v>4</v>
      </c>
      <c r="B107" s="20" t="s">
        <v>19</v>
      </c>
      <c r="C107" s="20">
        <v>70</v>
      </c>
      <c r="D107" s="20">
        <v>13</v>
      </c>
      <c r="E107" s="20" t="s">
        <v>71</v>
      </c>
      <c r="F107" s="20" t="s">
        <v>63</v>
      </c>
      <c r="G107" s="25"/>
      <c r="H107" s="18" t="s">
        <v>99</v>
      </c>
      <c r="I107" s="20">
        <v>1</v>
      </c>
      <c r="L107" s="20"/>
      <c r="M107" s="20"/>
      <c r="N107" s="20"/>
    </row>
    <row r="108" spans="1:14" s="18" customFormat="1" x14ac:dyDescent="0.3">
      <c r="A108" s="20">
        <v>2</v>
      </c>
      <c r="B108" s="20" t="s">
        <v>19</v>
      </c>
      <c r="C108" s="20">
        <v>75</v>
      </c>
      <c r="D108" s="20">
        <v>13</v>
      </c>
      <c r="E108" s="20" t="s">
        <v>71</v>
      </c>
      <c r="F108" s="20" t="s">
        <v>63</v>
      </c>
      <c r="G108" s="25"/>
      <c r="H108" s="18" t="s">
        <v>84</v>
      </c>
      <c r="I108" s="20">
        <v>2</v>
      </c>
      <c r="L108" s="20"/>
      <c r="M108" s="20"/>
      <c r="N108" s="20"/>
    </row>
    <row r="109" spans="1:14" s="18" customFormat="1" x14ac:dyDescent="0.3">
      <c r="A109" s="20">
        <v>1</v>
      </c>
      <c r="B109" s="20" t="s">
        <v>19</v>
      </c>
      <c r="C109" s="20">
        <v>50</v>
      </c>
      <c r="D109" s="20">
        <v>13</v>
      </c>
      <c r="E109" s="20" t="s">
        <v>71</v>
      </c>
      <c r="F109" s="20" t="s">
        <v>63</v>
      </c>
      <c r="G109" s="25"/>
      <c r="H109" s="18" t="s">
        <v>99</v>
      </c>
      <c r="I109" s="20">
        <v>1</v>
      </c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21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1971</v>
      </c>
      <c r="E3" s="4"/>
    </row>
    <row r="4" spans="1:14" x14ac:dyDescent="0.3">
      <c r="A4" s="6" t="s">
        <v>3</v>
      </c>
      <c r="B4" s="8">
        <v>42949</v>
      </c>
      <c r="E4" s="4"/>
    </row>
    <row r="5" spans="1:14" x14ac:dyDescent="0.3">
      <c r="A5" s="6" t="s">
        <v>4</v>
      </c>
      <c r="B5" s="7" t="s">
        <v>174</v>
      </c>
      <c r="E5" s="4"/>
    </row>
    <row r="6" spans="1:14" x14ac:dyDescent="0.3">
      <c r="A6" s="9" t="s">
        <v>1</v>
      </c>
      <c r="B6" s="10">
        <v>2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178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85</v>
      </c>
      <c r="C10" s="16">
        <v>30</v>
      </c>
      <c r="D10" s="16">
        <v>1</v>
      </c>
      <c r="E10" s="16" t="s">
        <v>65</v>
      </c>
      <c r="F10" s="16" t="s">
        <v>73</v>
      </c>
      <c r="G10" s="24">
        <v>1455</v>
      </c>
      <c r="H10" s="17" t="s">
        <v>97</v>
      </c>
      <c r="I10" s="16">
        <v>4</v>
      </c>
      <c r="J10" s="17"/>
      <c r="L10" s="19">
        <f>SUMIFS($A$10:$A$400,$B$10:$B$400,"CH",$D$10:$D$400,"1")</f>
        <v>2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19</v>
      </c>
      <c r="C11" s="16">
        <v>50</v>
      </c>
      <c r="D11" s="16">
        <v>1</v>
      </c>
      <c r="E11" s="16" t="s">
        <v>65</v>
      </c>
      <c r="F11" s="16" t="s">
        <v>73</v>
      </c>
      <c r="G11" s="24"/>
      <c r="H11" s="17" t="s">
        <v>84</v>
      </c>
      <c r="I11" s="16">
        <v>1</v>
      </c>
      <c r="J11" s="17"/>
      <c r="L11" s="19">
        <f>SUMIFS($A$10:$A$400,$B$10:$B$400,"CH",$D$10:$D$400,"2")</f>
        <v>65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21</v>
      </c>
      <c r="C12" s="16">
        <v>30</v>
      </c>
      <c r="D12" s="16">
        <v>1</v>
      </c>
      <c r="E12" s="16" t="s">
        <v>65</v>
      </c>
      <c r="F12" s="16" t="s">
        <v>73</v>
      </c>
      <c r="G12" s="24"/>
      <c r="H12" s="17" t="s">
        <v>97</v>
      </c>
      <c r="I12" s="16">
        <v>1</v>
      </c>
      <c r="J12" s="17"/>
      <c r="L12" s="19">
        <f>SUMIFS($A$10:$A$400,$B$10:$B$400,"CH",$D$10:$D$400,"3")</f>
        <v>282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19</v>
      </c>
      <c r="C13" s="16">
        <v>50</v>
      </c>
      <c r="D13" s="16">
        <v>1</v>
      </c>
      <c r="E13" s="16" t="s">
        <v>65</v>
      </c>
      <c r="F13" s="16" t="s">
        <v>73</v>
      </c>
      <c r="G13" s="24"/>
      <c r="H13" s="17" t="s">
        <v>84</v>
      </c>
      <c r="I13" s="16">
        <v>1</v>
      </c>
      <c r="J13" s="17"/>
      <c r="L13" s="19">
        <f>SUMIFS($A$10:$A$400,$B$10:$B$400,"CH",$D$10:$D$400,"4")</f>
        <v>4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68</v>
      </c>
      <c r="C14" s="16">
        <v>110</v>
      </c>
      <c r="D14" s="16">
        <v>2</v>
      </c>
      <c r="E14" s="16" t="s">
        <v>71</v>
      </c>
      <c r="F14" s="16" t="s">
        <v>73</v>
      </c>
      <c r="G14" s="24"/>
      <c r="H14" s="17" t="s">
        <v>84</v>
      </c>
      <c r="I14" s="16">
        <v>1</v>
      </c>
      <c r="J14" s="17"/>
      <c r="L14" s="19">
        <f>SUMIFS($A$10:$A$400,$B$10:$B$400,"CH",$D$10:$D$400,"5")</f>
        <v>5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19</v>
      </c>
      <c r="C15" s="16">
        <v>50</v>
      </c>
      <c r="D15" s="16">
        <v>2</v>
      </c>
      <c r="E15" s="16" t="s">
        <v>71</v>
      </c>
      <c r="F15" s="16" t="s">
        <v>63</v>
      </c>
      <c r="G15" s="24"/>
      <c r="H15" s="17" t="s">
        <v>84</v>
      </c>
      <c r="I15" s="16">
        <v>1</v>
      </c>
      <c r="J15" s="17"/>
      <c r="L15" s="19">
        <f>SUMIFS($A$10:$A$400,$B$10:$B$400,"CH",$D$10:$D$400,"6")</f>
        <v>29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21</v>
      </c>
      <c r="C16" s="16">
        <v>110</v>
      </c>
      <c r="D16" s="16">
        <v>2</v>
      </c>
      <c r="E16" s="16" t="s">
        <v>71</v>
      </c>
      <c r="F16" s="16" t="s">
        <v>63</v>
      </c>
      <c r="G16" s="24"/>
      <c r="H16" s="17" t="s">
        <v>84</v>
      </c>
      <c r="I16" s="16">
        <v>1</v>
      </c>
      <c r="J16" s="17"/>
      <c r="L16" s="19">
        <f>SUMIFS($A$10:$A$400,$B$10:$B$400,"CH",$D$10:$D$400,"7")</f>
        <v>3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68</v>
      </c>
      <c r="C17" s="16">
        <v>60</v>
      </c>
      <c r="D17" s="16">
        <v>2</v>
      </c>
      <c r="E17" s="16" t="s">
        <v>71</v>
      </c>
      <c r="F17" s="16"/>
      <c r="G17" s="24"/>
      <c r="H17" s="17" t="s">
        <v>99</v>
      </c>
      <c r="I17" s="16">
        <v>2</v>
      </c>
      <c r="J17" s="17"/>
      <c r="L17" s="19">
        <f>SUMIFS($A$10:$A$400,$B$10:$B$400,"CH",$D$10:$D$400,"8")</f>
        <v>2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21</v>
      </c>
      <c r="C18" s="16">
        <v>60</v>
      </c>
      <c r="D18" s="16">
        <v>2</v>
      </c>
      <c r="E18" s="16" t="s">
        <v>71</v>
      </c>
      <c r="F18" s="16" t="s">
        <v>77</v>
      </c>
      <c r="G18" s="24"/>
      <c r="H18" s="17" t="s">
        <v>97</v>
      </c>
      <c r="I18" s="16">
        <v>4</v>
      </c>
      <c r="J18" s="17"/>
      <c r="L18" s="19">
        <f>SUMIFS($A$10:$A$400,$B$10:$B$400,"CH",$D$10:$D$400,"9")</f>
        <v>38</v>
      </c>
      <c r="M18" s="19" t="s">
        <v>19</v>
      </c>
      <c r="N18" s="19" t="s">
        <v>31</v>
      </c>
    </row>
    <row r="19" spans="1:14" s="18" customFormat="1" x14ac:dyDescent="0.3">
      <c r="A19" s="16">
        <v>15</v>
      </c>
      <c r="B19" s="16" t="s">
        <v>19</v>
      </c>
      <c r="C19" s="16">
        <v>30</v>
      </c>
      <c r="D19" s="16">
        <v>2</v>
      </c>
      <c r="E19" s="16" t="s">
        <v>71</v>
      </c>
      <c r="F19" s="16" t="s">
        <v>63</v>
      </c>
      <c r="G19" s="24"/>
      <c r="H19" s="17" t="s">
        <v>84</v>
      </c>
      <c r="I19" s="16">
        <v>1</v>
      </c>
      <c r="J19" s="17"/>
      <c r="L19" s="19">
        <f>SUMIFS($A$10:$A$400,$B$10:$B$400,"CH",$D$10:$D$400,"10")</f>
        <v>7</v>
      </c>
      <c r="M19" s="19" t="s">
        <v>19</v>
      </c>
      <c r="N19" s="19" t="s">
        <v>20</v>
      </c>
    </row>
    <row r="20" spans="1:14" s="18" customFormat="1" x14ac:dyDescent="0.3">
      <c r="A20" s="16">
        <v>2</v>
      </c>
      <c r="B20" s="16" t="s">
        <v>19</v>
      </c>
      <c r="C20" s="16">
        <v>80</v>
      </c>
      <c r="D20" s="16">
        <v>2</v>
      </c>
      <c r="E20" s="16" t="s">
        <v>71</v>
      </c>
      <c r="F20" s="16" t="s">
        <v>77</v>
      </c>
      <c r="G20" s="24"/>
      <c r="H20" s="17" t="s">
        <v>86</v>
      </c>
      <c r="I20" s="16">
        <v>3</v>
      </c>
      <c r="J20" s="17"/>
      <c r="L20" s="19">
        <f>SUMIFS($A$10:$A$400,$B$10:$B$400,"CH",$D$10:$D$400,"11")</f>
        <v>4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85</v>
      </c>
      <c r="C21" s="16">
        <v>200</v>
      </c>
      <c r="D21" s="16">
        <v>2</v>
      </c>
      <c r="E21" s="16" t="s">
        <v>71</v>
      </c>
      <c r="F21" s="16" t="s">
        <v>77</v>
      </c>
      <c r="G21" s="24"/>
      <c r="H21" s="17" t="s">
        <v>99</v>
      </c>
      <c r="I21" s="16">
        <v>2</v>
      </c>
      <c r="J21" s="17"/>
      <c r="L21" s="19">
        <f>SUMIFS($A$10:$A$400,$B$10:$B$400,"CH",$D$10:$D$400,"12")</f>
        <v>3</v>
      </c>
      <c r="M21" s="19" t="s">
        <v>19</v>
      </c>
      <c r="N21" s="19" t="s">
        <v>32</v>
      </c>
    </row>
    <row r="22" spans="1:14" s="18" customFormat="1" x14ac:dyDescent="0.3">
      <c r="A22" s="16">
        <v>20</v>
      </c>
      <c r="B22" s="16" t="s">
        <v>85</v>
      </c>
      <c r="C22" s="16">
        <v>40</v>
      </c>
      <c r="D22" s="16">
        <v>2</v>
      </c>
      <c r="E22" s="16" t="s">
        <v>71</v>
      </c>
      <c r="F22" s="16" t="s">
        <v>77</v>
      </c>
      <c r="G22" s="24"/>
      <c r="H22" s="17" t="s">
        <v>97</v>
      </c>
      <c r="I22" s="16">
        <v>4</v>
      </c>
      <c r="J22" s="17"/>
      <c r="L22" s="19">
        <f>SUMIFS($A$10:$A$400,$B$10:$B$400,"CH",$D$10:$D$400,"13")</f>
        <v>30</v>
      </c>
      <c r="M22" s="19" t="s">
        <v>19</v>
      </c>
      <c r="N22" s="19" t="s">
        <v>33</v>
      </c>
    </row>
    <row r="23" spans="1:14" s="18" customFormat="1" x14ac:dyDescent="0.3">
      <c r="A23" s="16">
        <v>10</v>
      </c>
      <c r="B23" s="16" t="s">
        <v>19</v>
      </c>
      <c r="C23" s="16">
        <v>75</v>
      </c>
      <c r="D23" s="16">
        <v>2</v>
      </c>
      <c r="E23" s="16" t="s">
        <v>71</v>
      </c>
      <c r="F23" s="16" t="s">
        <v>63</v>
      </c>
      <c r="G23" s="24"/>
      <c r="H23" s="17" t="s">
        <v>84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21</v>
      </c>
      <c r="C24" s="16">
        <v>50</v>
      </c>
      <c r="D24" s="16">
        <v>2</v>
      </c>
      <c r="E24" s="16" t="s">
        <v>71</v>
      </c>
      <c r="F24" s="16" t="s">
        <v>77</v>
      </c>
      <c r="G24" s="24"/>
      <c r="H24" s="17" t="s">
        <v>97</v>
      </c>
      <c r="I24" s="16">
        <v>4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3</v>
      </c>
      <c r="B25" s="16" t="s">
        <v>19</v>
      </c>
      <c r="C25" s="16">
        <v>50</v>
      </c>
      <c r="D25" s="16">
        <v>2</v>
      </c>
      <c r="E25" s="16" t="s">
        <v>71</v>
      </c>
      <c r="F25" s="16" t="s">
        <v>63</v>
      </c>
      <c r="G25" s="24"/>
      <c r="H25" s="17" t="s">
        <v>84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19</v>
      </c>
      <c r="C26" s="16">
        <v>60</v>
      </c>
      <c r="D26" s="16">
        <v>2</v>
      </c>
      <c r="E26" s="16" t="s">
        <v>71</v>
      </c>
      <c r="F26" s="16" t="s">
        <v>77</v>
      </c>
      <c r="G26" s="24"/>
      <c r="H26" s="17" t="s">
        <v>97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4</v>
      </c>
      <c r="B27" s="16" t="s">
        <v>85</v>
      </c>
      <c r="C27" s="16">
        <v>40</v>
      </c>
      <c r="D27" s="16">
        <v>2</v>
      </c>
      <c r="E27" s="16" t="s">
        <v>71</v>
      </c>
      <c r="F27" s="16" t="s">
        <v>77</v>
      </c>
      <c r="G27" s="24"/>
      <c r="H27" s="17" t="s">
        <v>99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1</v>
      </c>
      <c r="B28" s="16" t="s">
        <v>21</v>
      </c>
      <c r="C28" s="16">
        <v>100</v>
      </c>
      <c r="D28" s="16">
        <v>2</v>
      </c>
      <c r="E28" s="16" t="s">
        <v>71</v>
      </c>
      <c r="F28" s="16" t="s">
        <v>77</v>
      </c>
      <c r="G28" s="24"/>
      <c r="H28" s="17" t="s">
        <v>99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10</v>
      </c>
      <c r="B29" s="16" t="s">
        <v>19</v>
      </c>
      <c r="C29" s="16">
        <v>30</v>
      </c>
      <c r="D29" s="16">
        <v>2</v>
      </c>
      <c r="E29" s="16" t="s">
        <v>71</v>
      </c>
      <c r="F29" s="16" t="s">
        <v>77</v>
      </c>
      <c r="G29" s="24"/>
      <c r="H29" s="17" t="s">
        <v>84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3</v>
      </c>
      <c r="B30" s="16" t="s">
        <v>85</v>
      </c>
      <c r="C30" s="16">
        <v>250</v>
      </c>
      <c r="D30" s="16">
        <v>2</v>
      </c>
      <c r="E30" s="16" t="s">
        <v>71</v>
      </c>
      <c r="F30" s="16" t="s">
        <v>63</v>
      </c>
      <c r="G30" s="24"/>
      <c r="H30" s="17" t="s">
        <v>99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21</v>
      </c>
      <c r="C31" s="16">
        <v>200</v>
      </c>
      <c r="D31" s="16">
        <v>2</v>
      </c>
      <c r="E31" s="16" t="s">
        <v>71</v>
      </c>
      <c r="F31" s="16" t="s">
        <v>63</v>
      </c>
      <c r="G31" s="24"/>
      <c r="H31" s="17" t="s">
        <v>99</v>
      </c>
      <c r="I31" s="16">
        <v>2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19</v>
      </c>
      <c r="C32" s="16">
        <v>50</v>
      </c>
      <c r="D32" s="16">
        <v>2</v>
      </c>
      <c r="E32" s="16" t="s">
        <v>71</v>
      </c>
      <c r="F32" s="16" t="s">
        <v>63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15</v>
      </c>
      <c r="B33" s="16" t="s">
        <v>19</v>
      </c>
      <c r="C33" s="16">
        <v>50</v>
      </c>
      <c r="D33" s="16">
        <v>2</v>
      </c>
      <c r="E33" s="16" t="s">
        <v>71</v>
      </c>
      <c r="F33" s="16" t="s">
        <v>63</v>
      </c>
      <c r="G33" s="24"/>
      <c r="H33" s="17" t="s">
        <v>84</v>
      </c>
      <c r="I33" s="16">
        <v>1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7</v>
      </c>
      <c r="B34" s="16" t="s">
        <v>19</v>
      </c>
      <c r="C34" s="16">
        <v>35</v>
      </c>
      <c r="D34" s="16">
        <v>2</v>
      </c>
      <c r="E34" s="16" t="s">
        <v>71</v>
      </c>
      <c r="F34" s="16" t="s">
        <v>63</v>
      </c>
      <c r="G34" s="24"/>
      <c r="H34" s="17" t="s">
        <v>84</v>
      </c>
      <c r="I34" s="16">
        <v>1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21</v>
      </c>
      <c r="C35" s="16">
        <v>50</v>
      </c>
      <c r="D35" s="16">
        <v>2</v>
      </c>
      <c r="E35" s="16" t="s">
        <v>71</v>
      </c>
      <c r="F35" s="16" t="s">
        <v>77</v>
      </c>
      <c r="G35" s="24"/>
      <c r="H35" s="17" t="s">
        <v>99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180</v>
      </c>
      <c r="D36" s="16">
        <v>4</v>
      </c>
      <c r="E36" s="16" t="s">
        <v>72</v>
      </c>
      <c r="F36" s="16" t="s">
        <v>63</v>
      </c>
      <c r="G36" s="24"/>
      <c r="H36" s="17" t="s">
        <v>97</v>
      </c>
      <c r="I36" s="16">
        <v>4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3</v>
      </c>
      <c r="B37" s="16" t="s">
        <v>21</v>
      </c>
      <c r="C37" s="16">
        <v>110</v>
      </c>
      <c r="D37" s="16">
        <v>4</v>
      </c>
      <c r="E37" s="16" t="s">
        <v>72</v>
      </c>
      <c r="F37" s="16" t="s">
        <v>77</v>
      </c>
      <c r="G37" s="24"/>
      <c r="H37" s="17" t="s">
        <v>84</v>
      </c>
      <c r="I37" s="16">
        <v>1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19</v>
      </c>
      <c r="C38" s="16">
        <v>50</v>
      </c>
      <c r="D38" s="16">
        <v>4</v>
      </c>
      <c r="E38" s="16" t="s">
        <v>72</v>
      </c>
      <c r="F38" s="16" t="s">
        <v>77</v>
      </c>
      <c r="G38" s="24"/>
      <c r="H38" s="17" t="s">
        <v>84</v>
      </c>
      <c r="I38" s="16">
        <v>1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19</v>
      </c>
      <c r="C39" s="16">
        <v>110</v>
      </c>
      <c r="D39" s="16">
        <v>4</v>
      </c>
      <c r="E39" s="16" t="s">
        <v>72</v>
      </c>
      <c r="F39" s="16" t="s">
        <v>77</v>
      </c>
      <c r="G39" s="24"/>
      <c r="H39" s="17" t="s">
        <v>86</v>
      </c>
      <c r="I39" s="16">
        <v>3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90</v>
      </c>
      <c r="D40" s="16">
        <v>4</v>
      </c>
      <c r="E40" s="16" t="s">
        <v>72</v>
      </c>
      <c r="F40" s="16" t="s">
        <v>77</v>
      </c>
      <c r="G40" s="24"/>
      <c r="H40" s="17" t="s">
        <v>99</v>
      </c>
      <c r="I40" s="16">
        <v>2</v>
      </c>
      <c r="J40" s="17" t="s">
        <v>174</v>
      </c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</v>
      </c>
      <c r="B41" s="16" t="s">
        <v>21</v>
      </c>
      <c r="C41" s="16">
        <v>140</v>
      </c>
      <c r="D41" s="16">
        <v>4</v>
      </c>
      <c r="E41" s="16" t="s">
        <v>72</v>
      </c>
      <c r="F41" s="16" t="s">
        <v>63</v>
      </c>
      <c r="G41" s="24"/>
      <c r="H41" s="17" t="s">
        <v>97</v>
      </c>
      <c r="I41" s="16">
        <v>4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</v>
      </c>
      <c r="B42" s="16" t="s">
        <v>21</v>
      </c>
      <c r="C42" s="16">
        <v>75</v>
      </c>
      <c r="D42" s="16">
        <v>4</v>
      </c>
      <c r="E42" s="16" t="s">
        <v>72</v>
      </c>
      <c r="F42" s="16" t="s">
        <v>77</v>
      </c>
      <c r="G42" s="24"/>
      <c r="H42" s="17" t="s">
        <v>99</v>
      </c>
      <c r="I42" s="16">
        <v>2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21</v>
      </c>
      <c r="C43" s="16">
        <v>210</v>
      </c>
      <c r="D43" s="16">
        <v>4</v>
      </c>
      <c r="E43" s="16" t="s">
        <v>72</v>
      </c>
      <c r="F43" s="16" t="s">
        <v>66</v>
      </c>
      <c r="G43" s="24"/>
      <c r="H43" s="17" t="s">
        <v>84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21</v>
      </c>
      <c r="C44" s="16">
        <v>110</v>
      </c>
      <c r="D44" s="16">
        <v>4</v>
      </c>
      <c r="E44" s="16" t="s">
        <v>72</v>
      </c>
      <c r="F44" s="16" t="s">
        <v>77</v>
      </c>
      <c r="G44" s="24"/>
      <c r="H44" s="17" t="s">
        <v>84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21</v>
      </c>
      <c r="C45" s="16">
        <v>30</v>
      </c>
      <c r="D45" s="16">
        <v>4</v>
      </c>
      <c r="E45" s="16" t="s">
        <v>72</v>
      </c>
      <c r="F45" s="16" t="s">
        <v>179</v>
      </c>
      <c r="G45" s="24"/>
      <c r="H45" s="17" t="s">
        <v>97</v>
      </c>
      <c r="I45" s="16">
        <v>4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19</v>
      </c>
      <c r="C46" s="16">
        <v>75</v>
      </c>
      <c r="D46" s="16">
        <v>4</v>
      </c>
      <c r="E46" s="16" t="s">
        <v>72</v>
      </c>
      <c r="F46" s="16" t="s">
        <v>62</v>
      </c>
      <c r="G46" s="24"/>
      <c r="H46" s="17" t="s">
        <v>84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21</v>
      </c>
      <c r="C47" s="16">
        <v>80</v>
      </c>
      <c r="D47" s="16">
        <v>4</v>
      </c>
      <c r="E47" s="16" t="s">
        <v>72</v>
      </c>
      <c r="F47" s="16" t="s">
        <v>77</v>
      </c>
      <c r="G47" s="24"/>
      <c r="H47" s="17" t="s">
        <v>99</v>
      </c>
      <c r="I47" s="16">
        <v>2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21</v>
      </c>
      <c r="C48" s="16">
        <v>90</v>
      </c>
      <c r="D48" s="16">
        <v>4</v>
      </c>
      <c r="E48" s="16" t="s">
        <v>72</v>
      </c>
      <c r="F48" s="16" t="s">
        <v>66</v>
      </c>
      <c r="G48" s="24"/>
      <c r="H48" s="17" t="s">
        <v>99</v>
      </c>
      <c r="I48" s="16">
        <v>2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19</v>
      </c>
      <c r="C49" s="16">
        <v>50</v>
      </c>
      <c r="D49" s="16">
        <v>4</v>
      </c>
      <c r="E49" s="16" t="s">
        <v>72</v>
      </c>
      <c r="F49" s="16" t="s">
        <v>77</v>
      </c>
      <c r="G49" s="24"/>
      <c r="H49" s="17" t="s">
        <v>84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3</v>
      </c>
      <c r="B50" s="16" t="s">
        <v>21</v>
      </c>
      <c r="C50" s="16">
        <v>90</v>
      </c>
      <c r="D50" s="16">
        <v>5</v>
      </c>
      <c r="E50" s="16" t="s">
        <v>65</v>
      </c>
      <c r="F50" s="16" t="s">
        <v>77</v>
      </c>
      <c r="G50" s="24"/>
      <c r="H50" s="17" t="s">
        <v>99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21</v>
      </c>
      <c r="C51" s="16">
        <v>110</v>
      </c>
      <c r="D51" s="16">
        <v>5</v>
      </c>
      <c r="E51" s="16" t="s">
        <v>65</v>
      </c>
      <c r="F51" s="16" t="s">
        <v>77</v>
      </c>
      <c r="G51" s="24"/>
      <c r="H51" s="17" t="s">
        <v>99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1</v>
      </c>
      <c r="B52" s="16" t="s">
        <v>21</v>
      </c>
      <c r="C52" s="16">
        <v>80</v>
      </c>
      <c r="D52" s="16">
        <v>5</v>
      </c>
      <c r="E52" s="16" t="s">
        <v>65</v>
      </c>
      <c r="F52" s="16" t="s">
        <v>77</v>
      </c>
      <c r="G52" s="24"/>
      <c r="H52" s="17" t="s">
        <v>99</v>
      </c>
      <c r="I52" s="16">
        <v>2</v>
      </c>
      <c r="J52" s="17"/>
      <c r="L52" s="19">
        <f>SUM(L10:L51)</f>
        <v>474</v>
      </c>
      <c r="M52" s="19"/>
      <c r="N52" s="19"/>
    </row>
    <row r="53" spans="1:14" s="18" customFormat="1" x14ac:dyDescent="0.3">
      <c r="A53" s="16">
        <v>1</v>
      </c>
      <c r="B53" s="16" t="s">
        <v>19</v>
      </c>
      <c r="C53" s="16">
        <v>50</v>
      </c>
      <c r="D53" s="16">
        <v>5</v>
      </c>
      <c r="E53" s="16" t="s">
        <v>65</v>
      </c>
      <c r="F53" s="16" t="s">
        <v>77</v>
      </c>
      <c r="G53" s="24"/>
      <c r="H53" s="17" t="s">
        <v>84</v>
      </c>
      <c r="I53" s="16">
        <v>1</v>
      </c>
      <c r="J53" s="17"/>
      <c r="L53" s="19"/>
      <c r="M53" s="19"/>
      <c r="N53" s="19"/>
    </row>
    <row r="54" spans="1:14" s="18" customFormat="1" x14ac:dyDescent="0.3">
      <c r="A54" s="16">
        <v>1</v>
      </c>
      <c r="B54" s="16" t="s">
        <v>19</v>
      </c>
      <c r="C54" s="16">
        <v>60</v>
      </c>
      <c r="D54" s="16">
        <v>5</v>
      </c>
      <c r="E54" s="16" t="s">
        <v>65</v>
      </c>
      <c r="F54" s="16" t="s">
        <v>63</v>
      </c>
      <c r="G54" s="24"/>
      <c r="H54" s="17" t="s">
        <v>97</v>
      </c>
      <c r="I54" s="16">
        <v>3</v>
      </c>
      <c r="J54" s="17"/>
      <c r="L54" s="19">
        <f>SUMIFS($A$10:$A$400,$B$10:$B$400,"RT",$D$10:$D$400,"1")</f>
        <v>1</v>
      </c>
      <c r="M54" s="19" t="s">
        <v>21</v>
      </c>
      <c r="N54" s="19" t="s">
        <v>18</v>
      </c>
    </row>
    <row r="55" spans="1:14" s="18" customFormat="1" x14ac:dyDescent="0.3">
      <c r="A55" s="16">
        <v>3</v>
      </c>
      <c r="B55" s="16" t="s">
        <v>19</v>
      </c>
      <c r="C55" s="16">
        <v>60</v>
      </c>
      <c r="D55" s="16">
        <v>5</v>
      </c>
      <c r="E55" s="16" t="s">
        <v>65</v>
      </c>
      <c r="F55" s="16" t="s">
        <v>63</v>
      </c>
      <c r="G55" s="24"/>
      <c r="H55" s="17" t="s">
        <v>84</v>
      </c>
      <c r="I55" s="16">
        <v>1</v>
      </c>
      <c r="J55" s="17"/>
      <c r="L55" s="19">
        <f>SUMIFS($A$10:$A$400,$B$10:$B$400,"RT",$D$10:$D$400,"2")</f>
        <v>6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21</v>
      </c>
      <c r="C56" s="16">
        <v>110</v>
      </c>
      <c r="D56" s="16">
        <v>5</v>
      </c>
      <c r="E56" s="16" t="s">
        <v>65</v>
      </c>
      <c r="F56" s="16" t="s">
        <v>63</v>
      </c>
      <c r="G56" s="24"/>
      <c r="H56" s="17" t="s">
        <v>84</v>
      </c>
      <c r="I56" s="16">
        <v>1</v>
      </c>
      <c r="J56" s="17"/>
      <c r="L56" s="19">
        <f>SUMIFS($A$10:$A$400,$B$10:$B$400,"RT",$D$10:$D$400,"3")</f>
        <v>69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19</v>
      </c>
      <c r="C57" s="16">
        <v>80</v>
      </c>
      <c r="D57" s="16">
        <v>6</v>
      </c>
      <c r="E57" s="16" t="s">
        <v>72</v>
      </c>
      <c r="F57" s="16" t="s">
        <v>77</v>
      </c>
      <c r="G57" s="24"/>
      <c r="H57" s="17" t="s">
        <v>86</v>
      </c>
      <c r="I57" s="16">
        <v>2</v>
      </c>
      <c r="J57" s="17"/>
      <c r="L57" s="19">
        <f>SUMIFS($A$10:$A$400,$B$10:$B$400,"RT",$D$10:$D$400,"4")</f>
        <v>12</v>
      </c>
      <c r="M57" s="19" t="s">
        <v>21</v>
      </c>
      <c r="N57" s="19" t="s">
        <v>26</v>
      </c>
    </row>
    <row r="58" spans="1:14" s="18" customFormat="1" x14ac:dyDescent="0.3">
      <c r="A58" s="16">
        <v>2</v>
      </c>
      <c r="B58" s="16" t="s">
        <v>19</v>
      </c>
      <c r="C58" s="16">
        <v>70</v>
      </c>
      <c r="D58" s="16">
        <v>6</v>
      </c>
      <c r="E58" s="16" t="s">
        <v>72</v>
      </c>
      <c r="F58" s="16" t="s">
        <v>63</v>
      </c>
      <c r="G58" s="24"/>
      <c r="H58" s="17" t="s">
        <v>84</v>
      </c>
      <c r="I58" s="16">
        <v>1</v>
      </c>
      <c r="J58" s="17"/>
      <c r="L58" s="19">
        <f>SUMIFS($A$10:$A$400,$B$10:$B$400,"RT",$D$10:$D$400,"5")</f>
        <v>6</v>
      </c>
      <c r="M58" s="19" t="s">
        <v>21</v>
      </c>
      <c r="N58" s="19" t="s">
        <v>27</v>
      </c>
    </row>
    <row r="59" spans="1:14" s="18" customFormat="1" x14ac:dyDescent="0.3">
      <c r="A59" s="16">
        <v>4</v>
      </c>
      <c r="B59" s="16" t="s">
        <v>19</v>
      </c>
      <c r="C59" s="16">
        <v>75</v>
      </c>
      <c r="D59" s="16">
        <v>6</v>
      </c>
      <c r="E59" s="16" t="s">
        <v>72</v>
      </c>
      <c r="F59" s="16" t="s">
        <v>63</v>
      </c>
      <c r="G59" s="24"/>
      <c r="H59" s="17" t="s">
        <v>84</v>
      </c>
      <c r="I59" s="16">
        <v>1</v>
      </c>
      <c r="J59" s="17"/>
      <c r="L59" s="19">
        <f>SUMIFS($A$10:$A$400,$B$10:$B$400,"RT",$D$10:$D$400,"6")</f>
        <v>14</v>
      </c>
      <c r="M59" s="19" t="s">
        <v>21</v>
      </c>
      <c r="N59" s="19" t="s">
        <v>28</v>
      </c>
    </row>
    <row r="60" spans="1:14" s="18" customFormat="1" x14ac:dyDescent="0.3">
      <c r="A60" s="16">
        <v>1</v>
      </c>
      <c r="B60" s="16" t="s">
        <v>21</v>
      </c>
      <c r="C60" s="16">
        <v>30</v>
      </c>
      <c r="D60" s="16">
        <v>6</v>
      </c>
      <c r="E60" s="16" t="s">
        <v>72</v>
      </c>
      <c r="F60" s="16" t="s">
        <v>77</v>
      </c>
      <c r="G60" s="24"/>
      <c r="H60" s="17" t="s">
        <v>86</v>
      </c>
      <c r="I60" s="16">
        <v>2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19</v>
      </c>
      <c r="C61" s="16">
        <v>60</v>
      </c>
      <c r="D61" s="16">
        <v>6</v>
      </c>
      <c r="E61" s="16" t="s">
        <v>72</v>
      </c>
      <c r="F61" s="16" t="s">
        <v>63</v>
      </c>
      <c r="G61" s="24"/>
      <c r="H61" s="17" t="s">
        <v>97</v>
      </c>
      <c r="I61" s="16">
        <v>3</v>
      </c>
      <c r="J61" s="17"/>
      <c r="L61" s="19">
        <f>SUMIFS($A$10:$A$400,$B$10:$B$400,"RT",$D$10:$D$400,"8")</f>
        <v>5</v>
      </c>
      <c r="M61" s="19" t="s">
        <v>21</v>
      </c>
      <c r="N61" s="19" t="s">
        <v>30</v>
      </c>
    </row>
    <row r="62" spans="1:14" s="18" customFormat="1" x14ac:dyDescent="0.3">
      <c r="A62" s="16">
        <v>1</v>
      </c>
      <c r="B62" s="16" t="s">
        <v>19</v>
      </c>
      <c r="C62" s="16">
        <v>50</v>
      </c>
      <c r="D62" s="16">
        <v>6</v>
      </c>
      <c r="E62" s="16" t="s">
        <v>72</v>
      </c>
      <c r="F62" s="16" t="s">
        <v>63</v>
      </c>
      <c r="G62" s="24"/>
      <c r="H62" s="17" t="s">
        <v>97</v>
      </c>
      <c r="I62" s="16">
        <v>3</v>
      </c>
      <c r="J62" s="17"/>
      <c r="L62" s="19">
        <f>SUMIFS($A$10:$A$400,$B$10:$B$400,"RT",$D$10:$D$400,"9")</f>
        <v>7</v>
      </c>
      <c r="M62" s="19" t="s">
        <v>21</v>
      </c>
      <c r="N62" s="19" t="s">
        <v>31</v>
      </c>
    </row>
    <row r="63" spans="1:14" s="18" customFormat="1" x14ac:dyDescent="0.3">
      <c r="A63" s="16">
        <v>1</v>
      </c>
      <c r="B63" s="16" t="s">
        <v>85</v>
      </c>
      <c r="C63" s="16">
        <v>210</v>
      </c>
      <c r="D63" s="16">
        <v>6</v>
      </c>
      <c r="E63" s="16" t="s">
        <v>72</v>
      </c>
      <c r="F63" s="16" t="s">
        <v>77</v>
      </c>
      <c r="G63" s="24"/>
      <c r="H63" s="17" t="s">
        <v>86</v>
      </c>
      <c r="I63" s="16">
        <v>2</v>
      </c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>
        <v>4</v>
      </c>
      <c r="B64" s="16" t="s">
        <v>19</v>
      </c>
      <c r="C64" s="16">
        <v>50</v>
      </c>
      <c r="D64" s="16">
        <v>6</v>
      </c>
      <c r="E64" s="16" t="s">
        <v>72</v>
      </c>
      <c r="F64" s="16" t="s">
        <v>77</v>
      </c>
      <c r="G64" s="24"/>
      <c r="H64" s="17" t="s">
        <v>84</v>
      </c>
      <c r="I64" s="16">
        <v>1</v>
      </c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>
        <v>4</v>
      </c>
      <c r="B65" s="16" t="s">
        <v>19</v>
      </c>
      <c r="C65" s="16">
        <v>50</v>
      </c>
      <c r="D65" s="16">
        <v>6</v>
      </c>
      <c r="E65" s="16" t="s">
        <v>72</v>
      </c>
      <c r="F65" s="16" t="s">
        <v>63</v>
      </c>
      <c r="G65" s="24"/>
      <c r="H65" s="17" t="s">
        <v>97</v>
      </c>
      <c r="I65" s="16">
        <v>3</v>
      </c>
      <c r="J65" s="17"/>
      <c r="L65" s="19">
        <f>SUMIFS($A$10:$A$400,$B$10:$B$400,"RT",$D$10:$D$400,"12")</f>
        <v>11</v>
      </c>
      <c r="M65" s="19" t="s">
        <v>21</v>
      </c>
      <c r="N65" s="19" t="s">
        <v>32</v>
      </c>
    </row>
    <row r="66" spans="1:14" s="18" customFormat="1" x14ac:dyDescent="0.3">
      <c r="A66" s="16">
        <v>2</v>
      </c>
      <c r="B66" s="16" t="s">
        <v>19</v>
      </c>
      <c r="C66" s="16">
        <v>60</v>
      </c>
      <c r="D66" s="16">
        <v>6</v>
      </c>
      <c r="E66" s="16" t="s">
        <v>72</v>
      </c>
      <c r="F66" s="16" t="s">
        <v>63</v>
      </c>
      <c r="G66" s="24"/>
      <c r="H66" s="17" t="s">
        <v>97</v>
      </c>
      <c r="I66" s="16">
        <v>3</v>
      </c>
      <c r="J66" s="17"/>
      <c r="L66" s="19">
        <f>SUMIFS($A$10:$A$400,$B$10:$B$400,"RT",$D$10:$D$400,"13")</f>
        <v>2</v>
      </c>
      <c r="M66" s="19" t="s">
        <v>21</v>
      </c>
      <c r="N66" s="19" t="s">
        <v>33</v>
      </c>
    </row>
    <row r="67" spans="1:14" s="18" customFormat="1" x14ac:dyDescent="0.3">
      <c r="A67" s="16">
        <v>6</v>
      </c>
      <c r="B67" s="16" t="s">
        <v>19</v>
      </c>
      <c r="C67" s="16">
        <v>70</v>
      </c>
      <c r="D67" s="16">
        <v>6</v>
      </c>
      <c r="E67" s="16" t="s">
        <v>72</v>
      </c>
      <c r="F67" s="16" t="s">
        <v>63</v>
      </c>
      <c r="G67" s="24"/>
      <c r="H67" s="17" t="s">
        <v>97</v>
      </c>
      <c r="I67" s="16">
        <v>3</v>
      </c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2</v>
      </c>
      <c r="B68" s="16" t="s">
        <v>21</v>
      </c>
      <c r="C68" s="16">
        <v>110</v>
      </c>
      <c r="D68" s="16">
        <v>6</v>
      </c>
      <c r="E68" s="16" t="s">
        <v>72</v>
      </c>
      <c r="F68" s="16" t="s">
        <v>63</v>
      </c>
      <c r="G68" s="24"/>
      <c r="H68" s="17" t="s">
        <v>97</v>
      </c>
      <c r="I68" s="16">
        <v>3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>
        <v>2</v>
      </c>
      <c r="B69" s="16" t="s">
        <v>21</v>
      </c>
      <c r="C69" s="16">
        <v>150</v>
      </c>
      <c r="D69" s="16">
        <v>6</v>
      </c>
      <c r="E69" s="16" t="s">
        <v>72</v>
      </c>
      <c r="F69" s="16" t="s">
        <v>63</v>
      </c>
      <c r="G69" s="24"/>
      <c r="H69" s="17" t="s">
        <v>97</v>
      </c>
      <c r="I69" s="16">
        <v>3</v>
      </c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>
        <v>2</v>
      </c>
      <c r="B70" s="16" t="s">
        <v>19</v>
      </c>
      <c r="C70" s="16">
        <v>80</v>
      </c>
      <c r="D70" s="16">
        <v>6</v>
      </c>
      <c r="E70" s="16" t="s">
        <v>72</v>
      </c>
      <c r="F70" s="16" t="s">
        <v>63</v>
      </c>
      <c r="G70" s="24"/>
      <c r="H70" s="17" t="s">
        <v>97</v>
      </c>
      <c r="I70" s="16">
        <v>3</v>
      </c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>
        <v>4</v>
      </c>
      <c r="B71" s="16" t="s">
        <v>21</v>
      </c>
      <c r="C71" s="16">
        <v>120</v>
      </c>
      <c r="D71" s="16">
        <v>6</v>
      </c>
      <c r="E71" s="16" t="s">
        <v>72</v>
      </c>
      <c r="F71" s="16" t="s">
        <v>63</v>
      </c>
      <c r="G71" s="24"/>
      <c r="H71" s="17" t="s">
        <v>97</v>
      </c>
      <c r="I71" s="16">
        <v>3</v>
      </c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>
        <v>1</v>
      </c>
      <c r="B72" s="16" t="s">
        <v>19</v>
      </c>
      <c r="C72" s="16">
        <v>90</v>
      </c>
      <c r="D72" s="16">
        <v>6</v>
      </c>
      <c r="E72" s="16" t="s">
        <v>72</v>
      </c>
      <c r="F72" s="16" t="s">
        <v>77</v>
      </c>
      <c r="G72" s="24"/>
      <c r="H72" s="17" t="s">
        <v>97</v>
      </c>
      <c r="I72" s="16">
        <v>3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1</v>
      </c>
      <c r="B73" s="16" t="s">
        <v>19</v>
      </c>
      <c r="C73" s="16">
        <v>80</v>
      </c>
      <c r="D73" s="16">
        <v>6</v>
      </c>
      <c r="E73" s="16" t="s">
        <v>72</v>
      </c>
      <c r="F73" s="16" t="s">
        <v>77</v>
      </c>
      <c r="G73" s="24"/>
      <c r="H73" s="17" t="s">
        <v>86</v>
      </c>
      <c r="I73" s="16">
        <v>1</v>
      </c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>
        <v>1</v>
      </c>
      <c r="B74" s="16" t="s">
        <v>21</v>
      </c>
      <c r="C74" s="16">
        <v>210</v>
      </c>
      <c r="D74" s="16">
        <v>6</v>
      </c>
      <c r="E74" s="16" t="s">
        <v>72</v>
      </c>
      <c r="F74" s="16" t="s">
        <v>77</v>
      </c>
      <c r="G74" s="24"/>
      <c r="H74" s="17" t="s">
        <v>86</v>
      </c>
      <c r="I74" s="16">
        <v>1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>
        <v>6</v>
      </c>
      <c r="B75" s="16" t="s">
        <v>85</v>
      </c>
      <c r="C75" s="16">
        <v>180</v>
      </c>
      <c r="D75" s="16">
        <v>6</v>
      </c>
      <c r="E75" s="16" t="s">
        <v>72</v>
      </c>
      <c r="F75" s="16" t="s">
        <v>77</v>
      </c>
      <c r="G75" s="24"/>
      <c r="H75" s="17" t="s">
        <v>97</v>
      </c>
      <c r="I75" s="16">
        <v>3</v>
      </c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>
        <v>3</v>
      </c>
      <c r="B76" s="16" t="s">
        <v>21</v>
      </c>
      <c r="C76" s="16">
        <v>90</v>
      </c>
      <c r="D76" s="16">
        <v>6</v>
      </c>
      <c r="E76" s="16" t="s">
        <v>72</v>
      </c>
      <c r="F76" s="16" t="s">
        <v>77</v>
      </c>
      <c r="G76" s="24"/>
      <c r="H76" s="17" t="s">
        <v>86</v>
      </c>
      <c r="I76" s="16">
        <v>1</v>
      </c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1</v>
      </c>
      <c r="B77" s="16" t="s">
        <v>21</v>
      </c>
      <c r="C77" s="16">
        <v>60</v>
      </c>
      <c r="D77" s="16">
        <v>6</v>
      </c>
      <c r="E77" s="16" t="s">
        <v>72</v>
      </c>
      <c r="F77" s="16" t="s">
        <v>77</v>
      </c>
      <c r="G77" s="24"/>
      <c r="H77" s="17" t="s">
        <v>84</v>
      </c>
      <c r="I77" s="16">
        <v>2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2</v>
      </c>
      <c r="B78" s="16" t="s">
        <v>19</v>
      </c>
      <c r="C78" s="16">
        <v>60</v>
      </c>
      <c r="D78" s="16">
        <v>7</v>
      </c>
      <c r="E78" s="16" t="s">
        <v>65</v>
      </c>
      <c r="F78" s="16" t="s">
        <v>63</v>
      </c>
      <c r="G78" s="24"/>
      <c r="H78" s="17" t="s">
        <v>97</v>
      </c>
      <c r="I78" s="16">
        <v>3</v>
      </c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1</v>
      </c>
      <c r="B79" s="16" t="s">
        <v>19</v>
      </c>
      <c r="C79" s="16">
        <v>50</v>
      </c>
      <c r="D79" s="16">
        <v>7</v>
      </c>
      <c r="E79" s="16" t="s">
        <v>65</v>
      </c>
      <c r="F79" s="16" t="s">
        <v>63</v>
      </c>
      <c r="G79" s="24"/>
      <c r="H79" s="17" t="s">
        <v>97</v>
      </c>
      <c r="I79" s="16">
        <v>3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>
        <v>1</v>
      </c>
      <c r="B80" s="16" t="s">
        <v>21</v>
      </c>
      <c r="C80" s="16">
        <v>75</v>
      </c>
      <c r="D80" s="16">
        <v>8</v>
      </c>
      <c r="E80" s="16" t="s">
        <v>71</v>
      </c>
      <c r="F80" s="16" t="s">
        <v>77</v>
      </c>
      <c r="G80" s="24"/>
      <c r="H80" s="17" t="s">
        <v>84</v>
      </c>
      <c r="I80" s="16">
        <v>2</v>
      </c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>
        <v>2</v>
      </c>
      <c r="B81" s="16" t="s">
        <v>21</v>
      </c>
      <c r="C81" s="16">
        <v>50</v>
      </c>
      <c r="D81" s="16">
        <v>8</v>
      </c>
      <c r="E81" s="16" t="s">
        <v>71</v>
      </c>
      <c r="F81" s="16" t="s">
        <v>63</v>
      </c>
      <c r="G81" s="24"/>
      <c r="H81" s="17" t="s">
        <v>99</v>
      </c>
      <c r="I81" s="16">
        <v>1</v>
      </c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>
        <v>1</v>
      </c>
      <c r="B82" s="16" t="s">
        <v>21</v>
      </c>
      <c r="C82" s="16">
        <v>90</v>
      </c>
      <c r="D82" s="16">
        <v>8</v>
      </c>
      <c r="E82" s="16" t="s">
        <v>71</v>
      </c>
      <c r="F82" s="16" t="s">
        <v>63</v>
      </c>
      <c r="G82" s="24"/>
      <c r="H82" s="17" t="s">
        <v>99</v>
      </c>
      <c r="I82" s="16">
        <v>1</v>
      </c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>
        <v>2</v>
      </c>
      <c r="B83" s="16" t="s">
        <v>19</v>
      </c>
      <c r="C83" s="16">
        <v>70</v>
      </c>
      <c r="D83" s="16">
        <v>8</v>
      </c>
      <c r="E83" s="16" t="s">
        <v>71</v>
      </c>
      <c r="F83" s="16" t="s">
        <v>77</v>
      </c>
      <c r="G83" s="24"/>
      <c r="H83" s="17" t="s">
        <v>84</v>
      </c>
      <c r="I83" s="16">
        <v>2</v>
      </c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>
        <v>1</v>
      </c>
      <c r="B84" s="16" t="s">
        <v>21</v>
      </c>
      <c r="C84" s="16">
        <v>210</v>
      </c>
      <c r="D84" s="16">
        <v>8</v>
      </c>
      <c r="E84" s="16" t="s">
        <v>71</v>
      </c>
      <c r="F84" s="16" t="s">
        <v>77</v>
      </c>
      <c r="G84" s="24"/>
      <c r="H84" s="17" t="s">
        <v>84</v>
      </c>
      <c r="I84" s="16">
        <v>2</v>
      </c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>
        <v>1</v>
      </c>
      <c r="B85" s="16" t="s">
        <v>19</v>
      </c>
      <c r="C85" s="16">
        <v>50</v>
      </c>
      <c r="D85" s="16">
        <v>9</v>
      </c>
      <c r="E85" s="16" t="s">
        <v>72</v>
      </c>
      <c r="F85" s="16" t="s">
        <v>77</v>
      </c>
      <c r="G85" s="24"/>
      <c r="H85" s="17" t="s">
        <v>99</v>
      </c>
      <c r="I85" s="16">
        <v>1</v>
      </c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>
        <v>2</v>
      </c>
      <c r="B86" s="16" t="s">
        <v>21</v>
      </c>
      <c r="C86" s="16">
        <v>100</v>
      </c>
      <c r="D86" s="16">
        <v>9</v>
      </c>
      <c r="E86" s="16" t="s">
        <v>72</v>
      </c>
      <c r="F86" s="16" t="s">
        <v>77</v>
      </c>
      <c r="G86" s="24"/>
      <c r="H86" s="17" t="s">
        <v>99</v>
      </c>
      <c r="I86" s="16">
        <v>1</v>
      </c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>
        <v>10</v>
      </c>
      <c r="B87" s="16" t="s">
        <v>19</v>
      </c>
      <c r="C87" s="16">
        <v>50</v>
      </c>
      <c r="D87" s="16">
        <v>9</v>
      </c>
      <c r="E87" s="16" t="s">
        <v>72</v>
      </c>
      <c r="F87" s="16" t="s">
        <v>63</v>
      </c>
      <c r="G87" s="24"/>
      <c r="H87" s="17" t="s">
        <v>97</v>
      </c>
      <c r="I87" s="16">
        <v>3</v>
      </c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>
        <v>10</v>
      </c>
      <c r="B88" s="16" t="s">
        <v>19</v>
      </c>
      <c r="C88" s="16">
        <v>60</v>
      </c>
      <c r="D88" s="16">
        <v>9</v>
      </c>
      <c r="E88" s="16" t="s">
        <v>72</v>
      </c>
      <c r="F88" s="16" t="s">
        <v>63</v>
      </c>
      <c r="G88" s="24"/>
      <c r="H88" s="17" t="s">
        <v>97</v>
      </c>
      <c r="I88" s="16">
        <v>3</v>
      </c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>
        <v>2</v>
      </c>
      <c r="B89" s="16" t="s">
        <v>21</v>
      </c>
      <c r="C89" s="16">
        <v>30</v>
      </c>
      <c r="D89" s="16">
        <v>9</v>
      </c>
      <c r="E89" s="16" t="s">
        <v>72</v>
      </c>
      <c r="F89" s="16" t="s">
        <v>63</v>
      </c>
      <c r="G89" s="24"/>
      <c r="H89" s="17" t="s">
        <v>97</v>
      </c>
      <c r="I89" s="16">
        <v>3</v>
      </c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>
        <v>2</v>
      </c>
      <c r="B90" s="16" t="s">
        <v>21</v>
      </c>
      <c r="C90" s="16">
        <v>20</v>
      </c>
      <c r="D90" s="16">
        <v>9</v>
      </c>
      <c r="E90" s="16" t="s">
        <v>72</v>
      </c>
      <c r="F90" s="16" t="s">
        <v>63</v>
      </c>
      <c r="G90" s="24"/>
      <c r="H90" s="17" t="s">
        <v>97</v>
      </c>
      <c r="I90" s="16">
        <v>3</v>
      </c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>
        <v>3</v>
      </c>
      <c r="B91" s="16" t="s">
        <v>19</v>
      </c>
      <c r="C91" s="16">
        <v>80</v>
      </c>
      <c r="D91" s="16">
        <v>9</v>
      </c>
      <c r="E91" s="16" t="s">
        <v>72</v>
      </c>
      <c r="F91" s="16" t="s">
        <v>63</v>
      </c>
      <c r="G91" s="24"/>
      <c r="H91" s="17" t="s">
        <v>97</v>
      </c>
      <c r="I91" s="16">
        <v>3</v>
      </c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>
        <v>1</v>
      </c>
      <c r="B92" s="16" t="s">
        <v>21</v>
      </c>
      <c r="C92" s="16">
        <v>180</v>
      </c>
      <c r="D92" s="16">
        <v>9</v>
      </c>
      <c r="E92" s="16" t="s">
        <v>72</v>
      </c>
      <c r="F92" s="16" t="s">
        <v>63</v>
      </c>
      <c r="G92" s="24"/>
      <c r="H92" s="17" t="s">
        <v>97</v>
      </c>
      <c r="I92" s="16">
        <v>3</v>
      </c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>
        <v>4</v>
      </c>
      <c r="B93" s="16" t="s">
        <v>19</v>
      </c>
      <c r="C93" s="16">
        <v>80</v>
      </c>
      <c r="D93" s="16">
        <v>9</v>
      </c>
      <c r="E93" s="16" t="s">
        <v>72</v>
      </c>
      <c r="F93" s="16" t="s">
        <v>63</v>
      </c>
      <c r="G93" s="24"/>
      <c r="H93" s="17" t="s">
        <v>97</v>
      </c>
      <c r="I93" s="16">
        <v>3</v>
      </c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>
        <v>4</v>
      </c>
      <c r="B94" s="16" t="s">
        <v>19</v>
      </c>
      <c r="C94" s="16">
        <v>60</v>
      </c>
      <c r="D94" s="16">
        <v>9</v>
      </c>
      <c r="E94" s="16" t="s">
        <v>72</v>
      </c>
      <c r="F94" s="16" t="s">
        <v>63</v>
      </c>
      <c r="G94" s="24"/>
      <c r="H94" s="17" t="s">
        <v>97</v>
      </c>
      <c r="I94" s="16">
        <v>3</v>
      </c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>
        <v>1</v>
      </c>
      <c r="B95" s="16" t="s">
        <v>19</v>
      </c>
      <c r="C95" s="16">
        <v>30</v>
      </c>
      <c r="D95" s="16">
        <v>9</v>
      </c>
      <c r="E95" s="16" t="s">
        <v>72</v>
      </c>
      <c r="F95" s="16" t="s">
        <v>63</v>
      </c>
      <c r="G95" s="24"/>
      <c r="H95" s="17" t="s">
        <v>97</v>
      </c>
      <c r="I95" s="16">
        <v>3</v>
      </c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>
        <v>4</v>
      </c>
      <c r="B96" s="16" t="s">
        <v>19</v>
      </c>
      <c r="C96" s="16">
        <v>50</v>
      </c>
      <c r="D96" s="16">
        <v>9</v>
      </c>
      <c r="E96" s="16" t="s">
        <v>72</v>
      </c>
      <c r="F96" s="16" t="s">
        <v>63</v>
      </c>
      <c r="G96" s="24"/>
      <c r="H96" s="17" t="s">
        <v>97</v>
      </c>
      <c r="I96" s="16">
        <v>3</v>
      </c>
      <c r="J96" s="17"/>
      <c r="L96" s="19">
        <f>SUM(L54:L95)</f>
        <v>133</v>
      </c>
      <c r="M96" s="20"/>
      <c r="N96" s="20"/>
    </row>
    <row r="97" spans="1:14" s="18" customFormat="1" x14ac:dyDescent="0.3">
      <c r="A97" s="16">
        <v>1</v>
      </c>
      <c r="B97" s="16" t="s">
        <v>19</v>
      </c>
      <c r="C97" s="16">
        <v>40</v>
      </c>
      <c r="D97" s="16">
        <v>9</v>
      </c>
      <c r="E97" s="16" t="s">
        <v>72</v>
      </c>
      <c r="F97" s="16" t="s">
        <v>63</v>
      </c>
      <c r="G97" s="24"/>
      <c r="H97" s="17" t="s">
        <v>97</v>
      </c>
      <c r="I97" s="16">
        <v>3</v>
      </c>
      <c r="J97" s="17"/>
      <c r="L97" s="20"/>
      <c r="M97" s="20"/>
      <c r="N97" s="20"/>
    </row>
    <row r="98" spans="1:14" s="18" customFormat="1" x14ac:dyDescent="0.3">
      <c r="A98" s="16">
        <v>1</v>
      </c>
      <c r="B98" s="16" t="s">
        <v>85</v>
      </c>
      <c r="C98" s="16">
        <v>180</v>
      </c>
      <c r="D98" s="16">
        <v>10</v>
      </c>
      <c r="E98" s="16" t="s">
        <v>65</v>
      </c>
      <c r="F98" s="16" t="s">
        <v>73</v>
      </c>
      <c r="G98" s="24"/>
      <c r="H98" s="17" t="s">
        <v>86</v>
      </c>
      <c r="I98" s="16">
        <v>1</v>
      </c>
      <c r="J98" s="17"/>
      <c r="L98" s="20"/>
      <c r="M98" s="20"/>
      <c r="N98" s="20"/>
    </row>
    <row r="99" spans="1:14" s="18" customFormat="1" x14ac:dyDescent="0.3">
      <c r="A99" s="16">
        <v>1</v>
      </c>
      <c r="B99" s="16" t="s">
        <v>19</v>
      </c>
      <c r="C99" s="16">
        <v>110</v>
      </c>
      <c r="D99" s="16">
        <v>10</v>
      </c>
      <c r="E99" s="16" t="s">
        <v>65</v>
      </c>
      <c r="F99" s="16" t="s">
        <v>77</v>
      </c>
      <c r="G99" s="24"/>
      <c r="H99" s="17" t="s">
        <v>84</v>
      </c>
      <c r="I99" s="16">
        <v>2</v>
      </c>
      <c r="J99" s="17"/>
      <c r="L99" s="20"/>
      <c r="M99" s="20"/>
      <c r="N99" s="20"/>
    </row>
    <row r="100" spans="1:14" s="18" customFormat="1" x14ac:dyDescent="0.3">
      <c r="A100" s="20">
        <v>3</v>
      </c>
      <c r="B100" s="16" t="s">
        <v>19</v>
      </c>
      <c r="C100" s="20">
        <v>80</v>
      </c>
      <c r="D100" s="16">
        <v>10</v>
      </c>
      <c r="E100" s="16" t="s">
        <v>65</v>
      </c>
      <c r="F100" s="20" t="s">
        <v>77</v>
      </c>
      <c r="G100" s="25"/>
      <c r="H100" s="18" t="s">
        <v>86</v>
      </c>
      <c r="I100" s="20">
        <v>3</v>
      </c>
      <c r="L100" s="20"/>
      <c r="M100" s="20"/>
      <c r="N100" s="20"/>
    </row>
    <row r="101" spans="1:14" s="18" customFormat="1" x14ac:dyDescent="0.3">
      <c r="A101" s="20">
        <v>1</v>
      </c>
      <c r="B101" s="20" t="s">
        <v>19</v>
      </c>
      <c r="C101" s="20">
        <v>75</v>
      </c>
      <c r="D101" s="20">
        <v>10</v>
      </c>
      <c r="E101" s="20" t="s">
        <v>65</v>
      </c>
      <c r="F101" s="20" t="s">
        <v>180</v>
      </c>
      <c r="G101" s="25"/>
      <c r="H101" s="18" t="s">
        <v>84</v>
      </c>
      <c r="I101" s="20">
        <v>2</v>
      </c>
      <c r="L101" s="20"/>
      <c r="M101" s="20"/>
      <c r="N101" s="20"/>
    </row>
    <row r="102" spans="1:14" s="18" customFormat="1" x14ac:dyDescent="0.3">
      <c r="A102" s="20">
        <v>2</v>
      </c>
      <c r="B102" s="20" t="s">
        <v>19</v>
      </c>
      <c r="C102" s="20">
        <v>40</v>
      </c>
      <c r="D102" s="20">
        <v>10</v>
      </c>
      <c r="E102" s="20" t="s">
        <v>65</v>
      </c>
      <c r="F102" s="20" t="s">
        <v>77</v>
      </c>
      <c r="G102" s="25"/>
      <c r="H102" s="18" t="s">
        <v>99</v>
      </c>
      <c r="I102" s="20">
        <v>1</v>
      </c>
      <c r="L102" s="20"/>
      <c r="M102" s="20"/>
      <c r="N102" s="20"/>
    </row>
    <row r="103" spans="1:14" s="18" customFormat="1" x14ac:dyDescent="0.3">
      <c r="A103" s="20">
        <v>1</v>
      </c>
      <c r="B103" s="20" t="s">
        <v>68</v>
      </c>
      <c r="C103" s="20">
        <v>30</v>
      </c>
      <c r="D103" s="20">
        <v>10</v>
      </c>
      <c r="E103" s="20" t="s">
        <v>65</v>
      </c>
      <c r="F103" s="20" t="s">
        <v>77</v>
      </c>
      <c r="G103" s="25"/>
      <c r="H103" s="18" t="s">
        <v>99</v>
      </c>
      <c r="I103" s="20">
        <v>1</v>
      </c>
      <c r="L103" s="20"/>
      <c r="M103" s="20"/>
      <c r="N103" s="20"/>
    </row>
    <row r="104" spans="1:14" s="18" customFormat="1" x14ac:dyDescent="0.3">
      <c r="A104" s="20">
        <v>3</v>
      </c>
      <c r="B104" s="20" t="s">
        <v>19</v>
      </c>
      <c r="C104" s="20">
        <v>30</v>
      </c>
      <c r="D104" s="20">
        <v>11</v>
      </c>
      <c r="E104" s="20" t="s">
        <v>65</v>
      </c>
      <c r="F104" s="20" t="s">
        <v>77</v>
      </c>
      <c r="G104" s="25"/>
      <c r="H104" s="18" t="s">
        <v>99</v>
      </c>
      <c r="I104" s="20">
        <v>1</v>
      </c>
      <c r="L104" s="20"/>
      <c r="M104" s="20"/>
      <c r="N104" s="20"/>
    </row>
    <row r="105" spans="1:14" s="18" customFormat="1" x14ac:dyDescent="0.3">
      <c r="A105" s="20">
        <v>1</v>
      </c>
      <c r="B105" s="20" t="s">
        <v>19</v>
      </c>
      <c r="C105" s="20">
        <v>80</v>
      </c>
      <c r="D105" s="20">
        <v>11</v>
      </c>
      <c r="E105" s="20" t="s">
        <v>65</v>
      </c>
      <c r="F105" s="20" t="s">
        <v>73</v>
      </c>
      <c r="G105" s="25"/>
      <c r="H105" s="18" t="s">
        <v>86</v>
      </c>
      <c r="I105" s="20">
        <v>3</v>
      </c>
      <c r="L105" s="20"/>
      <c r="M105" s="20"/>
      <c r="N105" s="20"/>
    </row>
    <row r="106" spans="1:14" s="18" customFormat="1" x14ac:dyDescent="0.3">
      <c r="A106" s="20">
        <v>1</v>
      </c>
      <c r="B106" s="20" t="s">
        <v>19</v>
      </c>
      <c r="C106" s="20">
        <v>75</v>
      </c>
      <c r="D106" s="20">
        <v>12</v>
      </c>
      <c r="E106" s="20" t="s">
        <v>72</v>
      </c>
      <c r="F106" s="20" t="s">
        <v>73</v>
      </c>
      <c r="G106" s="25"/>
      <c r="H106" s="18" t="s">
        <v>84</v>
      </c>
      <c r="I106" s="20">
        <v>2</v>
      </c>
      <c r="L106" s="20"/>
      <c r="M106" s="20"/>
      <c r="N106" s="20"/>
    </row>
    <row r="107" spans="1:14" s="18" customFormat="1" x14ac:dyDescent="0.3">
      <c r="A107" s="20">
        <v>1</v>
      </c>
      <c r="B107" s="20" t="s">
        <v>21</v>
      </c>
      <c r="C107" s="20">
        <v>80</v>
      </c>
      <c r="D107" s="20">
        <v>12</v>
      </c>
      <c r="E107" s="20" t="s">
        <v>72</v>
      </c>
      <c r="F107" s="20" t="s">
        <v>77</v>
      </c>
      <c r="G107" s="25"/>
      <c r="H107" s="18" t="s">
        <v>99</v>
      </c>
      <c r="I107" s="20">
        <v>1</v>
      </c>
      <c r="L107" s="20"/>
      <c r="M107" s="20"/>
      <c r="N107" s="20"/>
    </row>
    <row r="108" spans="1:14" s="18" customFormat="1" x14ac:dyDescent="0.3">
      <c r="A108" s="20">
        <v>2</v>
      </c>
      <c r="B108" s="20" t="s">
        <v>21</v>
      </c>
      <c r="C108" s="20">
        <v>210</v>
      </c>
      <c r="D108" s="20">
        <v>12</v>
      </c>
      <c r="E108" s="20" t="s">
        <v>72</v>
      </c>
      <c r="F108" s="20" t="s">
        <v>77</v>
      </c>
      <c r="G108" s="25"/>
      <c r="H108" s="18" t="s">
        <v>84</v>
      </c>
      <c r="I108" s="20">
        <v>2</v>
      </c>
      <c r="L108" s="20"/>
      <c r="M108" s="20"/>
      <c r="N108" s="20"/>
    </row>
    <row r="109" spans="1:14" s="18" customFormat="1" x14ac:dyDescent="0.3">
      <c r="A109" s="20">
        <v>1</v>
      </c>
      <c r="B109" s="20" t="s">
        <v>21</v>
      </c>
      <c r="C109" s="20">
        <v>300</v>
      </c>
      <c r="D109" s="20">
        <v>12</v>
      </c>
      <c r="E109" s="20" t="s">
        <v>72</v>
      </c>
      <c r="F109" s="20" t="s">
        <v>73</v>
      </c>
      <c r="G109" s="25"/>
      <c r="H109" s="18" t="s">
        <v>84</v>
      </c>
      <c r="I109" s="20">
        <v>2</v>
      </c>
      <c r="L109" s="20"/>
      <c r="M109" s="20"/>
      <c r="N109" s="20"/>
    </row>
    <row r="110" spans="1:14" s="18" customFormat="1" x14ac:dyDescent="0.3">
      <c r="A110" s="20">
        <v>1</v>
      </c>
      <c r="B110" s="20" t="s">
        <v>21</v>
      </c>
      <c r="C110" s="20">
        <v>110</v>
      </c>
      <c r="D110" s="20">
        <v>12</v>
      </c>
      <c r="E110" s="20" t="s">
        <v>72</v>
      </c>
      <c r="F110" s="20" t="s">
        <v>181</v>
      </c>
      <c r="G110" s="25"/>
      <c r="H110" s="18" t="s">
        <v>84</v>
      </c>
      <c r="I110" s="20">
        <v>2</v>
      </c>
      <c r="L110" s="20"/>
      <c r="M110" s="20"/>
      <c r="N110" s="20"/>
    </row>
    <row r="111" spans="1:14" s="18" customFormat="1" x14ac:dyDescent="0.3">
      <c r="A111" s="20">
        <v>1</v>
      </c>
      <c r="B111" s="20" t="s">
        <v>21</v>
      </c>
      <c r="C111" s="20">
        <v>75</v>
      </c>
      <c r="D111" s="20">
        <v>12</v>
      </c>
      <c r="E111" s="20" t="s">
        <v>72</v>
      </c>
      <c r="F111" s="20" t="s">
        <v>73</v>
      </c>
      <c r="G111" s="25"/>
      <c r="H111" s="18" t="s">
        <v>84</v>
      </c>
      <c r="I111" s="20">
        <v>2</v>
      </c>
      <c r="L111" s="20"/>
      <c r="M111" s="20"/>
      <c r="N111" s="20"/>
    </row>
    <row r="112" spans="1:14" s="18" customFormat="1" x14ac:dyDescent="0.3">
      <c r="A112" s="20">
        <v>2</v>
      </c>
      <c r="B112" s="20" t="s">
        <v>21</v>
      </c>
      <c r="C112" s="20">
        <v>110</v>
      </c>
      <c r="D112" s="20">
        <v>12</v>
      </c>
      <c r="E112" s="20" t="s">
        <v>72</v>
      </c>
      <c r="F112" s="20" t="s">
        <v>73</v>
      </c>
      <c r="G112" s="25"/>
      <c r="H112" s="18" t="s">
        <v>84</v>
      </c>
      <c r="I112" s="20">
        <v>2</v>
      </c>
      <c r="L112" s="20"/>
      <c r="M112" s="20"/>
      <c r="N112" s="20"/>
    </row>
    <row r="113" spans="1:14" s="18" customFormat="1" x14ac:dyDescent="0.3">
      <c r="A113" s="20">
        <v>1</v>
      </c>
      <c r="B113" s="20" t="s">
        <v>21</v>
      </c>
      <c r="C113" s="20">
        <v>75</v>
      </c>
      <c r="D113" s="20">
        <v>12</v>
      </c>
      <c r="E113" s="20" t="s">
        <v>72</v>
      </c>
      <c r="F113" s="20" t="s">
        <v>63</v>
      </c>
      <c r="G113" s="25"/>
      <c r="H113" s="18" t="s">
        <v>84</v>
      </c>
      <c r="I113" s="20">
        <v>2</v>
      </c>
      <c r="L113" s="20"/>
      <c r="M113" s="20"/>
      <c r="N113" s="20"/>
    </row>
    <row r="114" spans="1:14" s="18" customFormat="1" x14ac:dyDescent="0.3">
      <c r="A114" s="20">
        <v>1</v>
      </c>
      <c r="B114" s="20" t="s">
        <v>21</v>
      </c>
      <c r="C114" s="20">
        <v>110</v>
      </c>
      <c r="D114" s="20">
        <v>12</v>
      </c>
      <c r="E114" s="20" t="s">
        <v>72</v>
      </c>
      <c r="F114" s="20" t="s">
        <v>77</v>
      </c>
      <c r="G114" s="25"/>
      <c r="H114" s="18" t="s">
        <v>99</v>
      </c>
      <c r="I114" s="20">
        <v>1</v>
      </c>
      <c r="L114" s="20"/>
      <c r="M114" s="20"/>
      <c r="N114" s="20"/>
    </row>
    <row r="115" spans="1:14" s="18" customFormat="1" x14ac:dyDescent="0.3">
      <c r="A115" s="20">
        <v>2</v>
      </c>
      <c r="B115" s="20" t="s">
        <v>19</v>
      </c>
      <c r="C115" s="20">
        <v>50</v>
      </c>
      <c r="D115" s="20">
        <v>12</v>
      </c>
      <c r="E115" s="20" t="s">
        <v>72</v>
      </c>
      <c r="F115" s="20" t="s">
        <v>73</v>
      </c>
      <c r="G115" s="25"/>
      <c r="H115" s="18" t="s">
        <v>84</v>
      </c>
      <c r="I115" s="20">
        <v>2</v>
      </c>
      <c r="L115" s="20"/>
      <c r="M115" s="20"/>
      <c r="N115" s="20"/>
    </row>
    <row r="116" spans="1:14" s="18" customFormat="1" x14ac:dyDescent="0.3">
      <c r="A116" s="20">
        <v>1</v>
      </c>
      <c r="B116" s="20" t="s">
        <v>21</v>
      </c>
      <c r="C116" s="20">
        <v>210</v>
      </c>
      <c r="D116" s="20">
        <v>12</v>
      </c>
      <c r="E116" s="20" t="s">
        <v>72</v>
      </c>
      <c r="F116" s="20" t="s">
        <v>73</v>
      </c>
      <c r="G116" s="25"/>
      <c r="H116" s="18" t="s">
        <v>84</v>
      </c>
      <c r="I116" s="20">
        <v>2</v>
      </c>
      <c r="L116" s="20"/>
      <c r="M116" s="20"/>
      <c r="N116" s="20"/>
    </row>
    <row r="117" spans="1:14" s="18" customFormat="1" x14ac:dyDescent="0.3">
      <c r="A117" s="20">
        <v>15</v>
      </c>
      <c r="B117" s="20" t="s">
        <v>85</v>
      </c>
      <c r="C117" s="20">
        <v>200</v>
      </c>
      <c r="D117" s="20">
        <v>13</v>
      </c>
      <c r="E117" s="20" t="s">
        <v>71</v>
      </c>
      <c r="F117" s="20" t="s">
        <v>63</v>
      </c>
      <c r="G117" s="25"/>
      <c r="H117" s="18" t="s">
        <v>97</v>
      </c>
      <c r="I117" s="20">
        <v>2</v>
      </c>
      <c r="L117" s="20"/>
      <c r="M117" s="20"/>
      <c r="N117" s="20"/>
    </row>
    <row r="118" spans="1:14" s="18" customFormat="1" x14ac:dyDescent="0.3">
      <c r="A118" s="20">
        <v>1</v>
      </c>
      <c r="B118" s="20" t="s">
        <v>19</v>
      </c>
      <c r="C118" s="20">
        <v>50</v>
      </c>
      <c r="D118" s="20">
        <v>13</v>
      </c>
      <c r="E118" s="20" t="s">
        <v>71</v>
      </c>
      <c r="F118" s="20" t="s">
        <v>63</v>
      </c>
      <c r="G118" s="25"/>
      <c r="H118" s="18" t="s">
        <v>84</v>
      </c>
      <c r="I118" s="20">
        <v>4</v>
      </c>
      <c r="L118" s="20"/>
      <c r="M118" s="20"/>
      <c r="N118" s="20"/>
    </row>
    <row r="119" spans="1:14" s="18" customFormat="1" x14ac:dyDescent="0.3">
      <c r="A119" s="20">
        <v>2</v>
      </c>
      <c r="B119" s="20" t="s">
        <v>19</v>
      </c>
      <c r="C119" s="20">
        <v>80</v>
      </c>
      <c r="D119" s="20">
        <v>13</v>
      </c>
      <c r="E119" s="20" t="s">
        <v>71</v>
      </c>
      <c r="F119" s="20" t="s">
        <v>63</v>
      </c>
      <c r="G119" s="25"/>
      <c r="H119" s="18" t="s">
        <v>86</v>
      </c>
      <c r="I119" s="20">
        <v>1</v>
      </c>
      <c r="L119" s="20"/>
      <c r="M119" s="20"/>
      <c r="N119" s="20"/>
    </row>
    <row r="120" spans="1:14" s="18" customFormat="1" x14ac:dyDescent="0.3">
      <c r="A120" s="20">
        <v>2</v>
      </c>
      <c r="B120" s="20" t="s">
        <v>19</v>
      </c>
      <c r="C120" s="20">
        <v>55</v>
      </c>
      <c r="D120" s="20">
        <v>13</v>
      </c>
      <c r="E120" s="20" t="s">
        <v>71</v>
      </c>
      <c r="F120" s="20" t="s">
        <v>63</v>
      </c>
      <c r="G120" s="25"/>
      <c r="H120" s="18" t="s">
        <v>86</v>
      </c>
      <c r="I120" s="20">
        <v>1</v>
      </c>
      <c r="L120" s="20"/>
      <c r="M120" s="20"/>
      <c r="N120" s="20"/>
    </row>
    <row r="121" spans="1:14" s="18" customFormat="1" x14ac:dyDescent="0.3">
      <c r="A121" s="20">
        <v>10</v>
      </c>
      <c r="B121" s="20" t="s">
        <v>19</v>
      </c>
      <c r="C121" s="20">
        <v>50</v>
      </c>
      <c r="D121" s="20">
        <v>13</v>
      </c>
      <c r="E121" s="20" t="s">
        <v>71</v>
      </c>
      <c r="F121" s="20" t="s">
        <v>63</v>
      </c>
      <c r="G121" s="25"/>
      <c r="H121" s="18" t="s">
        <v>97</v>
      </c>
      <c r="I121" s="20">
        <v>2</v>
      </c>
      <c r="L121" s="20"/>
      <c r="M121" s="20"/>
      <c r="N121" s="20"/>
    </row>
    <row r="122" spans="1:14" s="18" customFormat="1" x14ac:dyDescent="0.3">
      <c r="A122" s="20">
        <v>10</v>
      </c>
      <c r="B122" s="20" t="s">
        <v>19</v>
      </c>
      <c r="C122" s="20">
        <v>60</v>
      </c>
      <c r="D122" s="20">
        <v>13</v>
      </c>
      <c r="E122" s="20" t="s">
        <v>71</v>
      </c>
      <c r="F122" s="20" t="s">
        <v>63</v>
      </c>
      <c r="G122" s="25"/>
      <c r="H122" s="18" t="s">
        <v>97</v>
      </c>
      <c r="I122" s="20">
        <v>2</v>
      </c>
      <c r="L122" s="20"/>
      <c r="M122" s="20"/>
      <c r="N122" s="20"/>
    </row>
    <row r="123" spans="1:14" s="18" customFormat="1" x14ac:dyDescent="0.3">
      <c r="A123" s="20">
        <v>5</v>
      </c>
      <c r="B123" s="20" t="s">
        <v>19</v>
      </c>
      <c r="C123" s="20">
        <v>40</v>
      </c>
      <c r="D123" s="20">
        <v>13</v>
      </c>
      <c r="E123" s="20" t="s">
        <v>71</v>
      </c>
      <c r="F123" s="20" t="s">
        <v>63</v>
      </c>
      <c r="G123" s="25"/>
      <c r="H123" s="18" t="s">
        <v>99</v>
      </c>
      <c r="I123" s="20">
        <v>3</v>
      </c>
      <c r="L123" s="20"/>
      <c r="M123" s="20"/>
      <c r="N123" s="20"/>
    </row>
    <row r="124" spans="1:14" s="18" customFormat="1" x14ac:dyDescent="0.3">
      <c r="A124" s="20">
        <v>1</v>
      </c>
      <c r="B124" s="20" t="s">
        <v>21</v>
      </c>
      <c r="C124" s="20">
        <v>120</v>
      </c>
      <c r="D124" s="20">
        <v>13</v>
      </c>
      <c r="E124" s="20" t="s">
        <v>71</v>
      </c>
      <c r="F124" s="20" t="s">
        <v>63</v>
      </c>
      <c r="G124" s="25"/>
      <c r="H124" s="18" t="s">
        <v>97</v>
      </c>
      <c r="I124" s="20">
        <v>2</v>
      </c>
      <c r="L124" s="20"/>
      <c r="M124" s="20"/>
      <c r="N124" s="20"/>
    </row>
    <row r="125" spans="1:14" s="18" customFormat="1" x14ac:dyDescent="0.3">
      <c r="A125" s="20">
        <v>1</v>
      </c>
      <c r="B125" s="20" t="s">
        <v>21</v>
      </c>
      <c r="C125" s="20">
        <v>100</v>
      </c>
      <c r="D125" s="20">
        <v>13</v>
      </c>
      <c r="E125" s="20" t="s">
        <v>71</v>
      </c>
      <c r="F125" s="20" t="s">
        <v>63</v>
      </c>
      <c r="G125" s="25"/>
      <c r="H125" s="18" t="s">
        <v>97</v>
      </c>
      <c r="I125" s="20">
        <v>2</v>
      </c>
      <c r="L125" s="20"/>
      <c r="M125" s="20"/>
      <c r="N125" s="20"/>
    </row>
    <row r="126" spans="1:14" s="18" customFormat="1" x14ac:dyDescent="0.3">
      <c r="A126" s="20">
        <v>1</v>
      </c>
      <c r="B126" s="20" t="s">
        <v>19</v>
      </c>
      <c r="C126" s="20">
        <v>60</v>
      </c>
      <c r="D126" s="20">
        <v>3</v>
      </c>
      <c r="E126" s="20" t="s">
        <v>68</v>
      </c>
      <c r="F126" s="20" t="s">
        <v>73</v>
      </c>
      <c r="G126" s="25"/>
      <c r="H126" s="18" t="s">
        <v>97</v>
      </c>
      <c r="I126" s="20">
        <v>1</v>
      </c>
      <c r="J126" s="18" t="s">
        <v>182</v>
      </c>
      <c r="L126" s="20"/>
      <c r="M126" s="20"/>
      <c r="N126" s="20"/>
    </row>
    <row r="127" spans="1:14" s="18" customFormat="1" x14ac:dyDescent="0.3">
      <c r="A127" s="20">
        <v>1</v>
      </c>
      <c r="B127" s="20" t="s">
        <v>19</v>
      </c>
      <c r="C127" s="20">
        <v>70</v>
      </c>
      <c r="D127" s="20">
        <v>3</v>
      </c>
      <c r="E127" s="20" t="s">
        <v>68</v>
      </c>
      <c r="F127" s="20" t="s">
        <v>183</v>
      </c>
      <c r="G127" s="25"/>
      <c r="H127" s="18" t="s">
        <v>97</v>
      </c>
      <c r="I127" s="20">
        <v>1</v>
      </c>
      <c r="L127" s="20"/>
      <c r="M127" s="20"/>
      <c r="N127" s="20"/>
    </row>
    <row r="128" spans="1:14" s="18" customFormat="1" x14ac:dyDescent="0.3">
      <c r="A128" s="20">
        <v>2</v>
      </c>
      <c r="B128" s="20" t="s">
        <v>19</v>
      </c>
      <c r="C128" s="20">
        <v>60</v>
      </c>
      <c r="D128" s="20">
        <v>3</v>
      </c>
      <c r="E128" s="20" t="s">
        <v>68</v>
      </c>
      <c r="F128" s="20" t="s">
        <v>77</v>
      </c>
      <c r="G128" s="25"/>
      <c r="H128" s="18" t="s">
        <v>97</v>
      </c>
      <c r="I128" s="20">
        <v>1</v>
      </c>
      <c r="L128" s="20"/>
      <c r="M128" s="20"/>
      <c r="N128" s="20"/>
    </row>
    <row r="129" spans="1:14" s="18" customFormat="1" x14ac:dyDescent="0.3">
      <c r="A129" s="20">
        <v>2</v>
      </c>
      <c r="B129" s="20" t="s">
        <v>19</v>
      </c>
      <c r="C129" s="20">
        <v>50</v>
      </c>
      <c r="D129" s="20">
        <v>3</v>
      </c>
      <c r="E129" s="20" t="s">
        <v>68</v>
      </c>
      <c r="F129" s="20" t="s">
        <v>63</v>
      </c>
      <c r="G129" s="25"/>
      <c r="H129" s="18" t="s">
        <v>97</v>
      </c>
      <c r="I129" s="20">
        <v>1</v>
      </c>
      <c r="L129" s="20"/>
      <c r="M129" s="20"/>
      <c r="N129" s="20"/>
    </row>
    <row r="130" spans="1:14" s="18" customFormat="1" x14ac:dyDescent="0.3">
      <c r="A130" s="20">
        <v>3</v>
      </c>
      <c r="B130" s="20" t="s">
        <v>19</v>
      </c>
      <c r="C130" s="20">
        <v>60</v>
      </c>
      <c r="D130" s="20">
        <v>3</v>
      </c>
      <c r="E130" s="20" t="s">
        <v>68</v>
      </c>
      <c r="F130" s="20" t="s">
        <v>77</v>
      </c>
      <c r="G130" s="25"/>
      <c r="H130" s="18" t="s">
        <v>97</v>
      </c>
      <c r="I130" s="20">
        <v>1</v>
      </c>
      <c r="L130" s="20"/>
      <c r="M130" s="20"/>
      <c r="N130" s="20"/>
    </row>
    <row r="131" spans="1:14" s="18" customFormat="1" x14ac:dyDescent="0.3">
      <c r="A131" s="20">
        <v>2</v>
      </c>
      <c r="B131" s="20" t="s">
        <v>21</v>
      </c>
      <c r="C131" s="20">
        <v>110</v>
      </c>
      <c r="D131" s="20">
        <v>3</v>
      </c>
      <c r="E131" s="20" t="s">
        <v>68</v>
      </c>
      <c r="F131" s="20" t="s">
        <v>63</v>
      </c>
      <c r="G131" s="25"/>
      <c r="H131" s="18" t="s">
        <v>97</v>
      </c>
      <c r="I131" s="20">
        <v>1</v>
      </c>
      <c r="L131" s="20"/>
      <c r="M131" s="20"/>
      <c r="N131" s="20"/>
    </row>
    <row r="132" spans="1:14" s="18" customFormat="1" x14ac:dyDescent="0.3">
      <c r="A132" s="20">
        <v>1</v>
      </c>
      <c r="B132" s="20" t="s">
        <v>21</v>
      </c>
      <c r="C132" s="20">
        <v>90</v>
      </c>
      <c r="D132" s="20">
        <v>3</v>
      </c>
      <c r="E132" s="20" t="s">
        <v>68</v>
      </c>
      <c r="F132" s="20" t="s">
        <v>63</v>
      </c>
      <c r="G132" s="25"/>
      <c r="H132" s="18" t="s">
        <v>97</v>
      </c>
      <c r="I132" s="20">
        <v>1</v>
      </c>
      <c r="L132" s="20"/>
      <c r="M132" s="20"/>
      <c r="N132" s="20"/>
    </row>
    <row r="133" spans="1:14" s="18" customFormat="1" x14ac:dyDescent="0.3">
      <c r="A133" s="20">
        <v>1</v>
      </c>
      <c r="B133" s="20" t="s">
        <v>21</v>
      </c>
      <c r="C133" s="20">
        <v>110</v>
      </c>
      <c r="D133" s="20">
        <v>3</v>
      </c>
      <c r="E133" s="20" t="s">
        <v>68</v>
      </c>
      <c r="F133" s="20" t="s">
        <v>77</v>
      </c>
      <c r="G133" s="25"/>
      <c r="H133" s="18" t="s">
        <v>97</v>
      </c>
      <c r="I133" s="20">
        <v>1</v>
      </c>
      <c r="L133" s="20"/>
      <c r="M133" s="20"/>
      <c r="N133" s="20"/>
    </row>
    <row r="134" spans="1:14" s="18" customFormat="1" x14ac:dyDescent="0.3">
      <c r="A134" s="20">
        <v>1</v>
      </c>
      <c r="B134" s="20" t="s">
        <v>85</v>
      </c>
      <c r="C134" s="20">
        <v>40</v>
      </c>
      <c r="D134" s="20">
        <v>3</v>
      </c>
      <c r="E134" s="20" t="s">
        <v>68</v>
      </c>
      <c r="F134" s="20" t="s">
        <v>77</v>
      </c>
      <c r="G134" s="25"/>
      <c r="H134" s="18" t="s">
        <v>97</v>
      </c>
      <c r="I134" s="20">
        <v>1</v>
      </c>
      <c r="L134" s="20"/>
      <c r="M134" s="20"/>
      <c r="N134" s="20"/>
    </row>
    <row r="135" spans="1:14" s="18" customFormat="1" x14ac:dyDescent="0.3">
      <c r="A135" s="20">
        <v>9</v>
      </c>
      <c r="B135" s="20" t="s">
        <v>19</v>
      </c>
      <c r="C135" s="20">
        <v>60</v>
      </c>
      <c r="D135" s="20">
        <v>3</v>
      </c>
      <c r="E135" s="20" t="s">
        <v>68</v>
      </c>
      <c r="F135" s="20" t="s">
        <v>77</v>
      </c>
      <c r="G135" s="25"/>
      <c r="H135" s="18" t="s">
        <v>97</v>
      </c>
      <c r="I135" s="20">
        <v>1</v>
      </c>
      <c r="L135" s="20"/>
      <c r="M135" s="20"/>
      <c r="N135" s="20"/>
    </row>
    <row r="136" spans="1:14" s="18" customFormat="1" x14ac:dyDescent="0.3">
      <c r="A136" s="20">
        <v>2</v>
      </c>
      <c r="B136" s="20" t="s">
        <v>21</v>
      </c>
      <c r="C136" s="20">
        <v>120</v>
      </c>
      <c r="D136" s="20">
        <v>3</v>
      </c>
      <c r="E136" s="20" t="s">
        <v>68</v>
      </c>
      <c r="F136" s="20" t="s">
        <v>172</v>
      </c>
      <c r="G136" s="25"/>
      <c r="H136" s="18" t="s">
        <v>97</v>
      </c>
      <c r="I136" s="20">
        <v>1</v>
      </c>
      <c r="L136" s="20"/>
      <c r="M136" s="20"/>
      <c r="N136" s="20"/>
    </row>
    <row r="137" spans="1:14" s="18" customFormat="1" x14ac:dyDescent="0.3">
      <c r="A137" s="20">
        <v>8</v>
      </c>
      <c r="B137" s="20" t="s">
        <v>21</v>
      </c>
      <c r="C137" s="20">
        <v>30</v>
      </c>
      <c r="D137" s="20">
        <v>3</v>
      </c>
      <c r="E137" s="20" t="s">
        <v>68</v>
      </c>
      <c r="F137" s="20" t="s">
        <v>184</v>
      </c>
      <c r="G137" s="25"/>
      <c r="H137" s="18" t="s">
        <v>97</v>
      </c>
      <c r="I137" s="20">
        <v>1</v>
      </c>
      <c r="L137" s="20"/>
      <c r="M137" s="20"/>
      <c r="N137" s="20"/>
    </row>
    <row r="138" spans="1:14" s="18" customFormat="1" x14ac:dyDescent="0.3">
      <c r="A138" s="20">
        <v>1</v>
      </c>
      <c r="B138" s="20" t="s">
        <v>19</v>
      </c>
      <c r="C138" s="20">
        <v>40</v>
      </c>
      <c r="D138" s="20">
        <v>3</v>
      </c>
      <c r="E138" s="20" t="s">
        <v>68</v>
      </c>
      <c r="F138" s="20" t="s">
        <v>77</v>
      </c>
      <c r="G138" s="25"/>
      <c r="H138" s="18" t="s">
        <v>97</v>
      </c>
      <c r="I138" s="20">
        <v>1</v>
      </c>
      <c r="L138" s="20"/>
      <c r="M138" s="20"/>
      <c r="N138" s="20"/>
    </row>
    <row r="139" spans="1:14" s="18" customFormat="1" x14ac:dyDescent="0.3">
      <c r="A139" s="20">
        <v>8</v>
      </c>
      <c r="B139" s="20" t="s">
        <v>19</v>
      </c>
      <c r="C139" s="20">
        <v>55</v>
      </c>
      <c r="D139" s="20">
        <v>3</v>
      </c>
      <c r="E139" s="20" t="s">
        <v>68</v>
      </c>
      <c r="F139" s="20" t="s">
        <v>77</v>
      </c>
      <c r="G139" s="25"/>
      <c r="H139" s="18" t="s">
        <v>86</v>
      </c>
      <c r="I139" s="20">
        <v>2</v>
      </c>
      <c r="L139" s="20"/>
      <c r="M139" s="20"/>
      <c r="N139" s="20"/>
    </row>
    <row r="140" spans="1:14" s="18" customFormat="1" x14ac:dyDescent="0.3">
      <c r="A140" s="20">
        <v>1</v>
      </c>
      <c r="B140" s="20" t="s">
        <v>19</v>
      </c>
      <c r="C140" s="20">
        <v>90</v>
      </c>
      <c r="D140" s="20">
        <v>3</v>
      </c>
      <c r="E140" s="20" t="s">
        <v>68</v>
      </c>
      <c r="F140" s="20" t="s">
        <v>77</v>
      </c>
      <c r="G140" s="25"/>
      <c r="H140" s="18" t="s">
        <v>97</v>
      </c>
      <c r="I140" s="20">
        <v>1</v>
      </c>
      <c r="L140" s="20"/>
      <c r="M140" s="20"/>
      <c r="N140" s="20"/>
    </row>
    <row r="141" spans="1:14" s="18" customFormat="1" x14ac:dyDescent="0.3">
      <c r="A141" s="20">
        <v>1</v>
      </c>
      <c r="B141" s="20" t="s">
        <v>21</v>
      </c>
      <c r="C141" s="20">
        <v>100</v>
      </c>
      <c r="D141" s="20">
        <v>3</v>
      </c>
      <c r="E141" s="20" t="s">
        <v>68</v>
      </c>
      <c r="F141" s="20" t="s">
        <v>77</v>
      </c>
      <c r="G141" s="25"/>
      <c r="H141" s="18" t="s">
        <v>97</v>
      </c>
      <c r="I141" s="20">
        <v>1</v>
      </c>
      <c r="L141" s="20"/>
      <c r="M141" s="20"/>
      <c r="N141" s="20"/>
    </row>
    <row r="142" spans="1:14" s="18" customFormat="1" x14ac:dyDescent="0.3">
      <c r="A142" s="20">
        <v>2</v>
      </c>
      <c r="B142" s="20" t="s">
        <v>19</v>
      </c>
      <c r="C142" s="20">
        <v>70</v>
      </c>
      <c r="D142" s="20">
        <v>3</v>
      </c>
      <c r="E142" s="20" t="s">
        <v>68</v>
      </c>
      <c r="F142" s="20" t="s">
        <v>77</v>
      </c>
      <c r="G142" s="25"/>
      <c r="H142" s="18" t="s">
        <v>97</v>
      </c>
      <c r="I142" s="20">
        <v>1</v>
      </c>
      <c r="J142" s="18" t="s">
        <v>185</v>
      </c>
      <c r="L142" s="20"/>
      <c r="M142" s="20"/>
      <c r="N142" s="20"/>
    </row>
    <row r="143" spans="1:14" s="18" customFormat="1" x14ac:dyDescent="0.3">
      <c r="A143" s="20">
        <v>1</v>
      </c>
      <c r="B143" s="20" t="s">
        <v>19</v>
      </c>
      <c r="C143" s="20">
        <v>60</v>
      </c>
      <c r="D143" s="20">
        <v>3</v>
      </c>
      <c r="E143" s="20" t="s">
        <v>68</v>
      </c>
      <c r="F143" s="20" t="s">
        <v>77</v>
      </c>
      <c r="G143" s="25"/>
      <c r="H143" s="18" t="s">
        <v>97</v>
      </c>
      <c r="I143" s="20">
        <v>1</v>
      </c>
      <c r="L143" s="20"/>
      <c r="M143" s="20"/>
      <c r="N143" s="20"/>
    </row>
    <row r="144" spans="1:14" s="18" customFormat="1" x14ac:dyDescent="0.3">
      <c r="A144" s="20">
        <v>1</v>
      </c>
      <c r="B144" s="20" t="s">
        <v>85</v>
      </c>
      <c r="C144" s="20">
        <v>110</v>
      </c>
      <c r="D144" s="20">
        <v>3</v>
      </c>
      <c r="E144" s="20" t="s">
        <v>68</v>
      </c>
      <c r="F144" s="20" t="s">
        <v>73</v>
      </c>
      <c r="G144" s="25"/>
      <c r="H144" s="18" t="s">
        <v>86</v>
      </c>
      <c r="I144" s="20">
        <v>2</v>
      </c>
      <c r="L144" s="20"/>
      <c r="M144" s="20"/>
      <c r="N144" s="20"/>
    </row>
    <row r="145" spans="1:14" s="18" customFormat="1" x14ac:dyDescent="0.3">
      <c r="A145" s="20">
        <v>1</v>
      </c>
      <c r="B145" s="20" t="s">
        <v>19</v>
      </c>
      <c r="C145" s="20">
        <v>50</v>
      </c>
      <c r="D145" s="20">
        <v>3</v>
      </c>
      <c r="E145" s="20" t="s">
        <v>68</v>
      </c>
      <c r="F145" s="20" t="s">
        <v>77</v>
      </c>
      <c r="G145" s="25"/>
      <c r="H145" s="18" t="s">
        <v>97</v>
      </c>
      <c r="I145" s="20">
        <v>1</v>
      </c>
      <c r="L145" s="20"/>
      <c r="M145" s="20"/>
      <c r="N145" s="20"/>
    </row>
    <row r="146" spans="1:14" s="18" customFormat="1" x14ac:dyDescent="0.3">
      <c r="A146" s="20">
        <v>2</v>
      </c>
      <c r="B146" s="20" t="s">
        <v>19</v>
      </c>
      <c r="C146" s="20">
        <v>60</v>
      </c>
      <c r="D146" s="20">
        <v>3</v>
      </c>
      <c r="E146" s="20" t="s">
        <v>68</v>
      </c>
      <c r="F146" s="20" t="s">
        <v>77</v>
      </c>
      <c r="G146" s="25"/>
      <c r="H146" s="18" t="s">
        <v>97</v>
      </c>
      <c r="I146" s="20">
        <v>1</v>
      </c>
      <c r="L146" s="20"/>
      <c r="M146" s="20"/>
      <c r="N146" s="20"/>
    </row>
    <row r="147" spans="1:14" s="18" customFormat="1" x14ac:dyDescent="0.3">
      <c r="A147" s="20">
        <v>6</v>
      </c>
      <c r="B147" s="20" t="s">
        <v>19</v>
      </c>
      <c r="C147" s="20">
        <v>50</v>
      </c>
      <c r="D147" s="20">
        <v>3</v>
      </c>
      <c r="E147" s="20" t="s">
        <v>68</v>
      </c>
      <c r="F147" s="20" t="s">
        <v>77</v>
      </c>
      <c r="G147" s="25"/>
      <c r="H147" s="18" t="s">
        <v>97</v>
      </c>
      <c r="I147" s="20">
        <v>1</v>
      </c>
      <c r="L147" s="20"/>
      <c r="M147" s="20"/>
      <c r="N147" s="20"/>
    </row>
    <row r="148" spans="1:14" s="18" customFormat="1" x14ac:dyDescent="0.3">
      <c r="A148" s="20">
        <v>1</v>
      </c>
      <c r="B148" s="20" t="s">
        <v>21</v>
      </c>
      <c r="C148" s="20">
        <v>110</v>
      </c>
      <c r="D148" s="20">
        <v>3</v>
      </c>
      <c r="E148" s="20" t="s">
        <v>68</v>
      </c>
      <c r="F148" s="20" t="s">
        <v>77</v>
      </c>
      <c r="G148" s="25"/>
      <c r="H148" s="18" t="s">
        <v>97</v>
      </c>
      <c r="I148" s="20">
        <v>1</v>
      </c>
      <c r="L148" s="20"/>
      <c r="M148" s="20"/>
      <c r="N148" s="20"/>
    </row>
    <row r="149" spans="1:14" s="18" customFormat="1" x14ac:dyDescent="0.3">
      <c r="A149" s="20">
        <v>6</v>
      </c>
      <c r="B149" s="20" t="s">
        <v>19</v>
      </c>
      <c r="C149" s="20">
        <v>55</v>
      </c>
      <c r="D149" s="20">
        <v>3</v>
      </c>
      <c r="E149" s="20" t="s">
        <v>68</v>
      </c>
      <c r="F149" s="20" t="s">
        <v>77</v>
      </c>
      <c r="G149" s="25"/>
      <c r="H149" s="18" t="s">
        <v>86</v>
      </c>
      <c r="I149" s="20">
        <v>2</v>
      </c>
      <c r="L149" s="20"/>
      <c r="M149" s="20"/>
      <c r="N149" s="20"/>
    </row>
    <row r="150" spans="1:14" s="18" customFormat="1" x14ac:dyDescent="0.3">
      <c r="A150" s="20">
        <v>1</v>
      </c>
      <c r="B150" s="20" t="s">
        <v>19</v>
      </c>
      <c r="C150" s="20">
        <v>80</v>
      </c>
      <c r="D150" s="20">
        <v>3</v>
      </c>
      <c r="E150" s="20" t="s">
        <v>68</v>
      </c>
      <c r="F150" s="20" t="s">
        <v>77</v>
      </c>
      <c r="G150" s="25"/>
      <c r="H150" s="18" t="s">
        <v>86</v>
      </c>
      <c r="I150" s="20">
        <v>2</v>
      </c>
      <c r="L150" s="20"/>
      <c r="M150" s="20"/>
      <c r="N150" s="20"/>
    </row>
    <row r="151" spans="1:14" s="18" customFormat="1" x14ac:dyDescent="0.3">
      <c r="A151" s="20">
        <v>1</v>
      </c>
      <c r="B151" s="20" t="s">
        <v>19</v>
      </c>
      <c r="C151" s="20">
        <v>55</v>
      </c>
      <c r="D151" s="20">
        <v>3</v>
      </c>
      <c r="E151" s="20" t="s">
        <v>68</v>
      </c>
      <c r="F151" s="20" t="s">
        <v>77</v>
      </c>
      <c r="G151" s="25"/>
      <c r="H151" s="18" t="s">
        <v>86</v>
      </c>
      <c r="I151" s="20">
        <v>2</v>
      </c>
      <c r="L151" s="20"/>
      <c r="M151" s="20"/>
      <c r="N151" s="20"/>
    </row>
    <row r="152" spans="1:14" s="18" customFormat="1" x14ac:dyDescent="0.3">
      <c r="A152" s="20">
        <v>4</v>
      </c>
      <c r="B152" s="20" t="s">
        <v>21</v>
      </c>
      <c r="C152" s="20">
        <v>30</v>
      </c>
      <c r="D152" s="20">
        <v>3</v>
      </c>
      <c r="E152" s="20" t="s">
        <v>68</v>
      </c>
      <c r="F152" s="20" t="s">
        <v>77</v>
      </c>
      <c r="G152" s="25"/>
      <c r="H152" s="18" t="s">
        <v>97</v>
      </c>
      <c r="I152" s="20">
        <v>1</v>
      </c>
      <c r="L152" s="20"/>
      <c r="M152" s="20"/>
      <c r="N152" s="20"/>
    </row>
    <row r="153" spans="1:14" s="18" customFormat="1" x14ac:dyDescent="0.3">
      <c r="A153" s="20">
        <v>3</v>
      </c>
      <c r="B153" s="20" t="s">
        <v>21</v>
      </c>
      <c r="C153" s="20">
        <v>80</v>
      </c>
      <c r="D153" s="20">
        <v>3</v>
      </c>
      <c r="E153" s="20" t="s">
        <v>68</v>
      </c>
      <c r="F153" s="20" t="s">
        <v>77</v>
      </c>
      <c r="G153" s="25"/>
      <c r="H153" s="18" t="s">
        <v>97</v>
      </c>
      <c r="I153" s="20">
        <v>1</v>
      </c>
      <c r="L153" s="20"/>
      <c r="M153" s="20"/>
      <c r="N153" s="20"/>
    </row>
    <row r="154" spans="1:14" s="18" customFormat="1" x14ac:dyDescent="0.3">
      <c r="A154" s="20">
        <v>5</v>
      </c>
      <c r="B154" s="20" t="s">
        <v>21</v>
      </c>
      <c r="C154" s="20">
        <v>30</v>
      </c>
      <c r="D154" s="20">
        <v>3</v>
      </c>
      <c r="E154" s="20" t="s">
        <v>68</v>
      </c>
      <c r="F154" s="20" t="s">
        <v>77</v>
      </c>
      <c r="G154" s="25"/>
      <c r="H154" s="18" t="s">
        <v>97</v>
      </c>
      <c r="I154" s="20">
        <v>1</v>
      </c>
      <c r="L154" s="20"/>
      <c r="M154" s="20"/>
      <c r="N154" s="20"/>
    </row>
    <row r="155" spans="1:14" s="18" customFormat="1" x14ac:dyDescent="0.3">
      <c r="A155" s="20">
        <v>5</v>
      </c>
      <c r="B155" s="20" t="s">
        <v>21</v>
      </c>
      <c r="C155" s="20">
        <v>30</v>
      </c>
      <c r="D155" s="20">
        <v>3</v>
      </c>
      <c r="E155" s="20" t="s">
        <v>68</v>
      </c>
      <c r="F155" s="20" t="s">
        <v>77</v>
      </c>
      <c r="G155" s="25"/>
      <c r="H155" s="18" t="s">
        <v>97</v>
      </c>
      <c r="I155" s="20">
        <v>1</v>
      </c>
      <c r="L155" s="20"/>
      <c r="M155" s="20"/>
      <c r="N155" s="20"/>
    </row>
    <row r="156" spans="1:14" s="18" customFormat="1" x14ac:dyDescent="0.3">
      <c r="A156" s="20">
        <v>5</v>
      </c>
      <c r="B156" s="20" t="s">
        <v>19</v>
      </c>
      <c r="C156" s="20">
        <v>55</v>
      </c>
      <c r="D156" s="20">
        <v>3</v>
      </c>
      <c r="E156" s="20" t="s">
        <v>68</v>
      </c>
      <c r="F156" s="20" t="s">
        <v>73</v>
      </c>
      <c r="G156" s="25"/>
      <c r="H156" s="18" t="s">
        <v>86</v>
      </c>
      <c r="I156" s="20">
        <v>2</v>
      </c>
      <c r="L156" s="20"/>
      <c r="M156" s="20"/>
      <c r="N156" s="20"/>
    </row>
    <row r="157" spans="1:14" s="18" customFormat="1" x14ac:dyDescent="0.3">
      <c r="A157" s="20">
        <v>1</v>
      </c>
      <c r="B157" s="20" t="s">
        <v>19</v>
      </c>
      <c r="C157" s="20">
        <v>50</v>
      </c>
      <c r="D157" s="20">
        <v>3</v>
      </c>
      <c r="E157" s="20" t="s">
        <v>68</v>
      </c>
      <c r="F157" s="20" t="s">
        <v>77</v>
      </c>
      <c r="G157" s="25"/>
      <c r="H157" s="18" t="s">
        <v>97</v>
      </c>
      <c r="I157" s="20">
        <v>1</v>
      </c>
      <c r="L157" s="20"/>
      <c r="M157" s="20"/>
      <c r="N157" s="20"/>
    </row>
    <row r="158" spans="1:14" s="18" customFormat="1" x14ac:dyDescent="0.3">
      <c r="A158" s="20">
        <v>3</v>
      </c>
      <c r="B158" s="20" t="s">
        <v>21</v>
      </c>
      <c r="C158" s="20">
        <v>30</v>
      </c>
      <c r="D158" s="20">
        <v>3</v>
      </c>
      <c r="E158" s="20" t="s">
        <v>68</v>
      </c>
      <c r="F158" s="20" t="s">
        <v>77</v>
      </c>
      <c r="G158" s="25"/>
      <c r="H158" s="18" t="s">
        <v>97</v>
      </c>
      <c r="I158" s="20">
        <v>1</v>
      </c>
      <c r="L158" s="20"/>
      <c r="M158" s="20"/>
      <c r="N158" s="20"/>
    </row>
    <row r="159" spans="1:14" s="18" customFormat="1" x14ac:dyDescent="0.3">
      <c r="A159" s="20">
        <v>1</v>
      </c>
      <c r="B159" s="20" t="s">
        <v>21</v>
      </c>
      <c r="C159" s="20">
        <v>100</v>
      </c>
      <c r="D159" s="20">
        <v>3</v>
      </c>
      <c r="E159" s="20" t="s">
        <v>68</v>
      </c>
      <c r="F159" s="20" t="s">
        <v>77</v>
      </c>
      <c r="G159" s="25"/>
      <c r="H159" s="18" t="s">
        <v>97</v>
      </c>
      <c r="I159" s="20">
        <v>1</v>
      </c>
      <c r="L159" s="20"/>
      <c r="M159" s="20"/>
      <c r="N159" s="20"/>
    </row>
    <row r="160" spans="1:14" s="18" customFormat="1" x14ac:dyDescent="0.3">
      <c r="A160" s="20">
        <v>18</v>
      </c>
      <c r="B160" s="20" t="s">
        <v>19</v>
      </c>
      <c r="C160" s="20">
        <v>50</v>
      </c>
      <c r="D160" s="20">
        <v>3</v>
      </c>
      <c r="E160" s="20" t="s">
        <v>68</v>
      </c>
      <c r="F160" s="20" t="s">
        <v>77</v>
      </c>
      <c r="G160" s="25"/>
      <c r="H160" s="18" t="s">
        <v>97</v>
      </c>
      <c r="I160" s="20">
        <v>1</v>
      </c>
      <c r="L160" s="20"/>
      <c r="M160" s="20"/>
      <c r="N160" s="20"/>
    </row>
    <row r="161" spans="1:14" s="18" customFormat="1" x14ac:dyDescent="0.3">
      <c r="A161" s="20">
        <v>5</v>
      </c>
      <c r="B161" s="20" t="s">
        <v>19</v>
      </c>
      <c r="C161" s="20">
        <v>80</v>
      </c>
      <c r="D161" s="20">
        <v>3</v>
      </c>
      <c r="E161" s="20" t="s">
        <v>68</v>
      </c>
      <c r="F161" s="20" t="s">
        <v>63</v>
      </c>
      <c r="G161" s="25"/>
      <c r="H161" s="18" t="s">
        <v>97</v>
      </c>
      <c r="I161" s="20">
        <v>1</v>
      </c>
      <c r="L161" s="20"/>
      <c r="M161" s="20"/>
      <c r="N161" s="20"/>
    </row>
    <row r="162" spans="1:14" s="18" customFormat="1" x14ac:dyDescent="0.3">
      <c r="A162" s="20">
        <v>5</v>
      </c>
      <c r="B162" s="20" t="s">
        <v>21</v>
      </c>
      <c r="C162" s="20">
        <v>100</v>
      </c>
      <c r="D162" s="20">
        <v>3</v>
      </c>
      <c r="E162" s="20" t="s">
        <v>68</v>
      </c>
      <c r="F162" s="20" t="s">
        <v>63</v>
      </c>
      <c r="G162" s="25"/>
      <c r="H162" s="18" t="s">
        <v>97</v>
      </c>
      <c r="I162" s="20">
        <v>1</v>
      </c>
      <c r="L162" s="20"/>
      <c r="M162" s="20"/>
      <c r="N162" s="20"/>
    </row>
    <row r="163" spans="1:14" s="18" customFormat="1" x14ac:dyDescent="0.3">
      <c r="A163" s="20">
        <v>2</v>
      </c>
      <c r="B163" s="20" t="s">
        <v>21</v>
      </c>
      <c r="C163" s="20">
        <v>90</v>
      </c>
      <c r="D163" s="20">
        <v>3</v>
      </c>
      <c r="E163" s="20" t="s">
        <v>68</v>
      </c>
      <c r="F163" s="20" t="s">
        <v>63</v>
      </c>
      <c r="G163" s="25"/>
      <c r="H163" s="18" t="s">
        <v>97</v>
      </c>
      <c r="I163" s="20">
        <v>1</v>
      </c>
      <c r="L163" s="20"/>
      <c r="M163" s="20"/>
      <c r="N163" s="20"/>
    </row>
    <row r="164" spans="1:14" s="18" customFormat="1" x14ac:dyDescent="0.3">
      <c r="A164" s="20">
        <v>2</v>
      </c>
      <c r="B164" s="20" t="s">
        <v>19</v>
      </c>
      <c r="C164" s="20">
        <v>50</v>
      </c>
      <c r="D164" s="20">
        <v>3</v>
      </c>
      <c r="E164" s="20" t="s">
        <v>68</v>
      </c>
      <c r="F164" s="20" t="s">
        <v>63</v>
      </c>
      <c r="G164" s="25"/>
      <c r="H164" s="18" t="s">
        <v>97</v>
      </c>
      <c r="I164" s="20">
        <v>1</v>
      </c>
      <c r="L164" s="20"/>
      <c r="M164" s="20"/>
      <c r="N164" s="20"/>
    </row>
    <row r="165" spans="1:14" s="18" customFormat="1" x14ac:dyDescent="0.3">
      <c r="A165" s="20">
        <v>2</v>
      </c>
      <c r="B165" s="20" t="s">
        <v>85</v>
      </c>
      <c r="C165" s="20">
        <v>40</v>
      </c>
      <c r="D165" s="20">
        <v>3</v>
      </c>
      <c r="E165" s="20" t="s">
        <v>68</v>
      </c>
      <c r="F165" s="20" t="s">
        <v>63</v>
      </c>
      <c r="G165" s="25"/>
      <c r="H165" s="18" t="s">
        <v>97</v>
      </c>
      <c r="I165" s="20">
        <v>1</v>
      </c>
      <c r="L165" s="20"/>
      <c r="M165" s="20"/>
      <c r="N165" s="20"/>
    </row>
    <row r="166" spans="1:14" s="18" customFormat="1" x14ac:dyDescent="0.3">
      <c r="A166" s="20">
        <v>3</v>
      </c>
      <c r="B166" s="20" t="s">
        <v>19</v>
      </c>
      <c r="C166" s="20">
        <v>40</v>
      </c>
      <c r="D166" s="20">
        <v>3</v>
      </c>
      <c r="E166" s="20" t="s">
        <v>68</v>
      </c>
      <c r="F166" s="20" t="s">
        <v>63</v>
      </c>
      <c r="G166" s="25"/>
      <c r="H166" s="18" t="s">
        <v>97</v>
      </c>
      <c r="I166" s="20">
        <v>1</v>
      </c>
      <c r="L166" s="20"/>
      <c r="M166" s="20"/>
      <c r="N166" s="20"/>
    </row>
    <row r="167" spans="1:14" s="18" customFormat="1" x14ac:dyDescent="0.3">
      <c r="A167" s="20">
        <v>1</v>
      </c>
      <c r="B167" s="20" t="s">
        <v>19</v>
      </c>
      <c r="C167" s="20">
        <v>60</v>
      </c>
      <c r="D167" s="20">
        <v>3</v>
      </c>
      <c r="E167" s="20" t="s">
        <v>68</v>
      </c>
      <c r="F167" s="20" t="s">
        <v>77</v>
      </c>
      <c r="G167" s="25"/>
      <c r="H167" s="18" t="s">
        <v>97</v>
      </c>
      <c r="I167" s="20">
        <v>1</v>
      </c>
      <c r="L167" s="20"/>
      <c r="M167" s="20"/>
      <c r="N167" s="20"/>
    </row>
    <row r="168" spans="1:14" s="18" customFormat="1" x14ac:dyDescent="0.3">
      <c r="A168" s="20">
        <v>6</v>
      </c>
      <c r="B168" s="20" t="s">
        <v>85</v>
      </c>
      <c r="C168" s="20">
        <v>30</v>
      </c>
      <c r="D168" s="20">
        <v>3</v>
      </c>
      <c r="E168" s="20" t="s">
        <v>68</v>
      </c>
      <c r="F168" s="20" t="s">
        <v>63</v>
      </c>
      <c r="G168" s="25"/>
      <c r="H168" s="18" t="s">
        <v>97</v>
      </c>
      <c r="I168" s="20">
        <v>1</v>
      </c>
      <c r="L168" s="20"/>
      <c r="M168" s="20"/>
      <c r="N168" s="20"/>
    </row>
    <row r="169" spans="1:14" s="18" customFormat="1" x14ac:dyDescent="0.3">
      <c r="A169" s="20">
        <v>10</v>
      </c>
      <c r="B169" s="20" t="s">
        <v>19</v>
      </c>
      <c r="C169" s="20">
        <v>50</v>
      </c>
      <c r="D169" s="20">
        <v>3</v>
      </c>
      <c r="E169" s="20" t="s">
        <v>68</v>
      </c>
      <c r="F169" s="20" t="s">
        <v>63</v>
      </c>
      <c r="G169" s="25"/>
      <c r="H169" s="18" t="s">
        <v>97</v>
      </c>
      <c r="I169" s="20">
        <v>1</v>
      </c>
      <c r="L169" s="20"/>
      <c r="M169" s="20"/>
      <c r="N169" s="20"/>
    </row>
    <row r="170" spans="1:14" s="18" customFormat="1" x14ac:dyDescent="0.3">
      <c r="A170" s="20">
        <v>1</v>
      </c>
      <c r="B170" s="20" t="s">
        <v>19</v>
      </c>
      <c r="C170" s="20">
        <v>80</v>
      </c>
      <c r="D170" s="20">
        <v>3</v>
      </c>
      <c r="E170" s="20" t="s">
        <v>68</v>
      </c>
      <c r="F170" s="20" t="s">
        <v>63</v>
      </c>
      <c r="G170" s="25"/>
      <c r="H170" s="18" t="s">
        <v>97</v>
      </c>
      <c r="I170" s="20">
        <v>1</v>
      </c>
      <c r="L170" s="20"/>
      <c r="M170" s="20"/>
      <c r="N170" s="20"/>
    </row>
    <row r="171" spans="1:14" s="18" customFormat="1" x14ac:dyDescent="0.3">
      <c r="A171" s="20">
        <v>20</v>
      </c>
      <c r="B171" s="20" t="s">
        <v>19</v>
      </c>
      <c r="C171" s="20">
        <v>50</v>
      </c>
      <c r="D171" s="20">
        <v>3</v>
      </c>
      <c r="E171" s="20" t="s">
        <v>68</v>
      </c>
      <c r="F171" s="20" t="s">
        <v>63</v>
      </c>
      <c r="G171" s="25"/>
      <c r="H171" s="18" t="s">
        <v>97</v>
      </c>
      <c r="I171" s="20">
        <v>1</v>
      </c>
      <c r="L171" s="20"/>
      <c r="M171" s="20"/>
      <c r="N171" s="20"/>
    </row>
    <row r="172" spans="1:14" s="18" customFormat="1" x14ac:dyDescent="0.3">
      <c r="A172" s="20">
        <v>10</v>
      </c>
      <c r="B172" s="20" t="s">
        <v>19</v>
      </c>
      <c r="C172" s="20">
        <v>60</v>
      </c>
      <c r="D172" s="20">
        <v>3</v>
      </c>
      <c r="E172" s="20" t="s">
        <v>68</v>
      </c>
      <c r="F172" s="20" t="s">
        <v>63</v>
      </c>
      <c r="G172" s="25"/>
      <c r="H172" s="18" t="s">
        <v>97</v>
      </c>
      <c r="I172" s="20">
        <v>1</v>
      </c>
      <c r="L172" s="20"/>
      <c r="M172" s="20"/>
      <c r="N172" s="20"/>
    </row>
    <row r="173" spans="1:14" s="18" customFormat="1" x14ac:dyDescent="0.3">
      <c r="A173" s="20">
        <v>15</v>
      </c>
      <c r="B173" s="20" t="s">
        <v>19</v>
      </c>
      <c r="C173" s="20">
        <v>30</v>
      </c>
      <c r="D173" s="20">
        <v>3</v>
      </c>
      <c r="E173" s="20" t="s">
        <v>68</v>
      </c>
      <c r="F173" s="20" t="s">
        <v>73</v>
      </c>
      <c r="G173" s="25"/>
      <c r="H173" s="18" t="s">
        <v>86</v>
      </c>
      <c r="I173" s="20">
        <v>1</v>
      </c>
      <c r="L173" s="20"/>
      <c r="M173" s="20"/>
      <c r="N173" s="20"/>
    </row>
    <row r="174" spans="1:14" s="18" customFormat="1" x14ac:dyDescent="0.3">
      <c r="A174" s="20">
        <v>4</v>
      </c>
      <c r="B174" s="20" t="s">
        <v>19</v>
      </c>
      <c r="C174" s="20">
        <v>30</v>
      </c>
      <c r="D174" s="20">
        <v>3</v>
      </c>
      <c r="E174" s="20" t="s">
        <v>68</v>
      </c>
      <c r="F174" s="20" t="s">
        <v>77</v>
      </c>
      <c r="G174" s="25"/>
      <c r="H174" s="18" t="s">
        <v>97</v>
      </c>
      <c r="I174" s="20">
        <v>1</v>
      </c>
      <c r="L174" s="20"/>
      <c r="M174" s="20"/>
      <c r="N174" s="20"/>
    </row>
    <row r="175" spans="1:14" s="18" customFormat="1" x14ac:dyDescent="0.3">
      <c r="A175" s="20">
        <v>3</v>
      </c>
      <c r="B175" s="20" t="s">
        <v>19</v>
      </c>
      <c r="C175" s="20">
        <v>50</v>
      </c>
      <c r="D175" s="20">
        <v>3</v>
      </c>
      <c r="E175" s="20" t="s">
        <v>68</v>
      </c>
      <c r="F175" s="20" t="s">
        <v>77</v>
      </c>
      <c r="G175" s="25"/>
      <c r="H175" s="18" t="s">
        <v>97</v>
      </c>
      <c r="I175" s="20">
        <v>1</v>
      </c>
      <c r="L175" s="20"/>
      <c r="M175" s="20"/>
      <c r="N175" s="20"/>
    </row>
    <row r="176" spans="1:14" s="18" customFormat="1" x14ac:dyDescent="0.3">
      <c r="A176" s="20">
        <v>1</v>
      </c>
      <c r="B176" s="20" t="s">
        <v>19</v>
      </c>
      <c r="C176" s="20">
        <v>60</v>
      </c>
      <c r="D176" s="20">
        <v>3</v>
      </c>
      <c r="E176" s="20" t="s">
        <v>68</v>
      </c>
      <c r="F176" s="20" t="s">
        <v>77</v>
      </c>
      <c r="G176" s="25"/>
      <c r="H176" s="18" t="s">
        <v>97</v>
      </c>
      <c r="I176" s="20">
        <v>1</v>
      </c>
      <c r="L176" s="20"/>
      <c r="M176" s="20"/>
      <c r="N176" s="20"/>
    </row>
    <row r="177" spans="1:14" s="18" customFormat="1" x14ac:dyDescent="0.3">
      <c r="A177" s="20">
        <v>1</v>
      </c>
      <c r="B177" s="20" t="s">
        <v>85</v>
      </c>
      <c r="C177" s="20">
        <v>40</v>
      </c>
      <c r="D177" s="20">
        <v>3</v>
      </c>
      <c r="E177" s="20" t="s">
        <v>68</v>
      </c>
      <c r="F177" s="20" t="s">
        <v>77</v>
      </c>
      <c r="G177" s="25"/>
      <c r="H177" s="18" t="s">
        <v>97</v>
      </c>
      <c r="I177" s="20">
        <v>1</v>
      </c>
      <c r="L177" s="20"/>
      <c r="M177" s="20"/>
      <c r="N177" s="20"/>
    </row>
    <row r="178" spans="1:14" s="18" customFormat="1" x14ac:dyDescent="0.3">
      <c r="A178" s="20">
        <v>2</v>
      </c>
      <c r="B178" s="20" t="s">
        <v>19</v>
      </c>
      <c r="C178" s="20">
        <v>50</v>
      </c>
      <c r="D178" s="20">
        <v>3</v>
      </c>
      <c r="E178" s="20" t="s">
        <v>68</v>
      </c>
      <c r="F178" s="20" t="s">
        <v>77</v>
      </c>
      <c r="G178" s="25"/>
      <c r="H178" s="18" t="s">
        <v>97</v>
      </c>
      <c r="I178" s="20">
        <v>1</v>
      </c>
      <c r="L178" s="20"/>
      <c r="M178" s="20"/>
      <c r="N178" s="20"/>
    </row>
    <row r="179" spans="1:14" s="18" customFormat="1" x14ac:dyDescent="0.3">
      <c r="A179" s="20">
        <v>1</v>
      </c>
      <c r="B179" s="20" t="s">
        <v>19</v>
      </c>
      <c r="C179" s="20">
        <v>30</v>
      </c>
      <c r="D179" s="20">
        <v>3</v>
      </c>
      <c r="E179" s="20" t="s">
        <v>68</v>
      </c>
      <c r="F179" s="20" t="s">
        <v>77</v>
      </c>
      <c r="G179" s="25"/>
      <c r="H179" s="18" t="s">
        <v>97</v>
      </c>
      <c r="I179" s="20">
        <v>1</v>
      </c>
      <c r="L179" s="20"/>
      <c r="M179" s="20"/>
      <c r="N179" s="20"/>
    </row>
    <row r="180" spans="1:14" s="18" customFormat="1" x14ac:dyDescent="0.3">
      <c r="A180" s="20">
        <v>1</v>
      </c>
      <c r="B180" s="20" t="s">
        <v>19</v>
      </c>
      <c r="C180" s="20">
        <v>55</v>
      </c>
      <c r="D180" s="20">
        <v>3</v>
      </c>
      <c r="E180" s="20" t="s">
        <v>68</v>
      </c>
      <c r="F180" s="20" t="s">
        <v>77</v>
      </c>
      <c r="G180" s="25"/>
      <c r="H180" s="18" t="s">
        <v>86</v>
      </c>
      <c r="I180" s="20">
        <v>2</v>
      </c>
      <c r="L180" s="20"/>
      <c r="M180" s="20"/>
      <c r="N180" s="20"/>
    </row>
    <row r="181" spans="1:14" s="18" customFormat="1" x14ac:dyDescent="0.3">
      <c r="A181" s="20">
        <v>6</v>
      </c>
      <c r="B181" s="20" t="s">
        <v>19</v>
      </c>
      <c r="C181" s="20">
        <v>50</v>
      </c>
      <c r="D181" s="20">
        <v>3</v>
      </c>
      <c r="E181" s="20" t="s">
        <v>68</v>
      </c>
      <c r="F181" s="20" t="s">
        <v>63</v>
      </c>
      <c r="G181" s="25"/>
      <c r="H181" s="18" t="s">
        <v>97</v>
      </c>
      <c r="I181" s="20">
        <v>1</v>
      </c>
      <c r="L181" s="20"/>
      <c r="M181" s="20"/>
      <c r="N181" s="20"/>
    </row>
    <row r="182" spans="1:14" s="18" customFormat="1" x14ac:dyDescent="0.3">
      <c r="A182" s="20">
        <v>1</v>
      </c>
      <c r="B182" s="20" t="s">
        <v>19</v>
      </c>
      <c r="C182" s="20">
        <v>60</v>
      </c>
      <c r="D182" s="20">
        <v>3</v>
      </c>
      <c r="E182" s="20" t="s">
        <v>68</v>
      </c>
      <c r="F182" s="20" t="s">
        <v>172</v>
      </c>
      <c r="G182" s="25"/>
      <c r="H182" s="18" t="s">
        <v>97</v>
      </c>
      <c r="I182" s="20">
        <v>1</v>
      </c>
      <c r="L182" s="20"/>
      <c r="M182" s="20"/>
      <c r="N182" s="20"/>
    </row>
    <row r="183" spans="1:14" s="18" customFormat="1" x14ac:dyDescent="0.3">
      <c r="A183" s="20">
        <v>1</v>
      </c>
      <c r="B183" s="20" t="s">
        <v>85</v>
      </c>
      <c r="C183" s="20">
        <v>50</v>
      </c>
      <c r="D183" s="20">
        <v>3</v>
      </c>
      <c r="E183" s="20" t="s">
        <v>68</v>
      </c>
      <c r="F183" s="20" t="s">
        <v>77</v>
      </c>
      <c r="G183" s="25"/>
      <c r="H183" s="18" t="s">
        <v>97</v>
      </c>
      <c r="I183" s="20">
        <v>1</v>
      </c>
      <c r="L183" s="20"/>
      <c r="M183" s="20"/>
      <c r="N183" s="20"/>
    </row>
    <row r="184" spans="1:14" s="18" customFormat="1" x14ac:dyDescent="0.3">
      <c r="A184" s="20">
        <v>25</v>
      </c>
      <c r="B184" s="20" t="s">
        <v>85</v>
      </c>
      <c r="C184" s="20">
        <v>55</v>
      </c>
      <c r="D184" s="20">
        <v>3</v>
      </c>
      <c r="E184" s="20" t="s">
        <v>68</v>
      </c>
      <c r="F184" s="20" t="s">
        <v>77</v>
      </c>
      <c r="G184" s="25"/>
      <c r="H184" s="18" t="s">
        <v>86</v>
      </c>
      <c r="I184" s="20">
        <v>1</v>
      </c>
      <c r="L184" s="20"/>
      <c r="M184" s="20"/>
      <c r="N184" s="20"/>
    </row>
    <row r="185" spans="1:14" s="18" customFormat="1" x14ac:dyDescent="0.3">
      <c r="A185" s="20">
        <v>1</v>
      </c>
      <c r="B185" s="20" t="s">
        <v>19</v>
      </c>
      <c r="C185" s="20">
        <v>80</v>
      </c>
      <c r="D185" s="20">
        <v>3</v>
      </c>
      <c r="E185" s="20" t="s">
        <v>68</v>
      </c>
      <c r="F185" s="20" t="s">
        <v>77</v>
      </c>
      <c r="G185" s="25"/>
      <c r="H185" s="18" t="s">
        <v>97</v>
      </c>
      <c r="I185" s="20">
        <v>1</v>
      </c>
      <c r="L185" s="20"/>
      <c r="M185" s="20"/>
      <c r="N185" s="20"/>
    </row>
    <row r="186" spans="1:14" s="18" customFormat="1" x14ac:dyDescent="0.3">
      <c r="A186" s="20">
        <v>35</v>
      </c>
      <c r="B186" s="20" t="s">
        <v>19</v>
      </c>
      <c r="C186" s="20">
        <v>50</v>
      </c>
      <c r="D186" s="20">
        <v>3</v>
      </c>
      <c r="E186" s="20" t="s">
        <v>68</v>
      </c>
      <c r="F186" s="20" t="s">
        <v>77</v>
      </c>
      <c r="G186" s="25"/>
      <c r="H186" s="18" t="s">
        <v>97</v>
      </c>
      <c r="I186" s="20">
        <v>1</v>
      </c>
      <c r="L186" s="20"/>
      <c r="M186" s="20"/>
      <c r="N186" s="20"/>
    </row>
    <row r="187" spans="1:14" s="18" customFormat="1" x14ac:dyDescent="0.3">
      <c r="A187" s="20">
        <v>20</v>
      </c>
      <c r="B187" s="20" t="s">
        <v>19</v>
      </c>
      <c r="C187" s="20">
        <v>60</v>
      </c>
      <c r="D187" s="20">
        <v>3</v>
      </c>
      <c r="E187" s="20" t="s">
        <v>68</v>
      </c>
      <c r="F187" s="20" t="s">
        <v>77</v>
      </c>
      <c r="G187" s="25"/>
      <c r="H187" s="18" t="s">
        <v>97</v>
      </c>
      <c r="I187" s="20">
        <v>1</v>
      </c>
      <c r="L187" s="20"/>
      <c r="M187" s="20"/>
      <c r="N187" s="20"/>
    </row>
    <row r="188" spans="1:14" s="18" customFormat="1" x14ac:dyDescent="0.3">
      <c r="A188" s="20">
        <v>1</v>
      </c>
      <c r="B188" s="20" t="s">
        <v>21</v>
      </c>
      <c r="C188" s="20">
        <v>100</v>
      </c>
      <c r="D188" s="20">
        <v>3</v>
      </c>
      <c r="E188" s="20" t="s">
        <v>68</v>
      </c>
      <c r="F188" s="20" t="s">
        <v>63</v>
      </c>
      <c r="G188" s="25"/>
      <c r="H188" s="18" t="s">
        <v>97</v>
      </c>
      <c r="I188" s="20">
        <v>1</v>
      </c>
      <c r="L188" s="20"/>
      <c r="M188" s="20"/>
      <c r="N188" s="20"/>
    </row>
    <row r="189" spans="1:14" s="18" customFormat="1" x14ac:dyDescent="0.3">
      <c r="A189" s="20">
        <v>2</v>
      </c>
      <c r="B189" s="20" t="s">
        <v>85</v>
      </c>
      <c r="C189" s="20">
        <v>50</v>
      </c>
      <c r="D189" s="20">
        <v>3</v>
      </c>
      <c r="E189" s="20" t="s">
        <v>68</v>
      </c>
      <c r="F189" s="20" t="s">
        <v>63</v>
      </c>
      <c r="G189" s="25"/>
      <c r="H189" s="18" t="s">
        <v>97</v>
      </c>
      <c r="I189" s="20">
        <v>1</v>
      </c>
      <c r="L189" s="20"/>
      <c r="M189" s="20"/>
      <c r="N189" s="20"/>
    </row>
    <row r="190" spans="1:14" x14ac:dyDescent="0.3">
      <c r="A190" s="3">
        <v>4</v>
      </c>
      <c r="B190" s="3" t="s">
        <v>21</v>
      </c>
      <c r="C190" s="3">
        <v>100</v>
      </c>
      <c r="D190" s="3">
        <v>3</v>
      </c>
      <c r="E190" s="3" t="s">
        <v>68</v>
      </c>
      <c r="F190" s="3" t="s">
        <v>63</v>
      </c>
      <c r="H190" s="5" t="s">
        <v>97</v>
      </c>
      <c r="I190" s="3">
        <v>1</v>
      </c>
      <c r="L190" s="20"/>
      <c r="M190" s="20"/>
      <c r="N190" s="20"/>
    </row>
    <row r="191" spans="1:14" x14ac:dyDescent="0.3">
      <c r="A191" s="3">
        <v>2</v>
      </c>
      <c r="B191" s="3" t="s">
        <v>21</v>
      </c>
      <c r="C191" s="3">
        <v>120</v>
      </c>
      <c r="D191" s="3">
        <v>3</v>
      </c>
      <c r="E191" s="3" t="s">
        <v>68</v>
      </c>
      <c r="F191" s="3" t="s">
        <v>63</v>
      </c>
      <c r="H191" s="5" t="s">
        <v>97</v>
      </c>
      <c r="I191" s="3">
        <v>1</v>
      </c>
      <c r="L191" s="20"/>
      <c r="M191" s="20"/>
      <c r="N191" s="20"/>
    </row>
    <row r="192" spans="1:14" x14ac:dyDescent="0.3">
      <c r="A192" s="3">
        <v>4</v>
      </c>
      <c r="B192" s="3" t="s">
        <v>19</v>
      </c>
      <c r="C192" s="3">
        <v>70</v>
      </c>
      <c r="D192" s="3">
        <v>3</v>
      </c>
      <c r="E192" s="3" t="s">
        <v>68</v>
      </c>
      <c r="F192" s="3" t="s">
        <v>63</v>
      </c>
      <c r="H192" s="5" t="s">
        <v>97</v>
      </c>
      <c r="I192" s="3">
        <v>1</v>
      </c>
      <c r="L192" s="20"/>
      <c r="M192" s="20"/>
      <c r="N192" s="20"/>
    </row>
    <row r="193" spans="1:14" x14ac:dyDescent="0.3">
      <c r="A193" s="3">
        <v>25</v>
      </c>
      <c r="B193" s="3" t="s">
        <v>19</v>
      </c>
      <c r="C193" s="3">
        <v>60</v>
      </c>
      <c r="D193" s="3">
        <v>3</v>
      </c>
      <c r="E193" s="3" t="s">
        <v>68</v>
      </c>
      <c r="F193" s="3" t="s">
        <v>63</v>
      </c>
      <c r="H193" s="5" t="s">
        <v>97</v>
      </c>
      <c r="I193" s="3">
        <v>1</v>
      </c>
      <c r="L193" s="20"/>
      <c r="M193" s="20"/>
      <c r="N193" s="20"/>
    </row>
    <row r="194" spans="1:14" x14ac:dyDescent="0.3">
      <c r="A194" s="3">
        <v>12</v>
      </c>
      <c r="B194" s="3" t="s">
        <v>19</v>
      </c>
      <c r="C194" s="3">
        <v>50</v>
      </c>
      <c r="D194" s="3">
        <v>3</v>
      </c>
      <c r="E194" s="3" t="s">
        <v>68</v>
      </c>
      <c r="F194" s="3" t="s">
        <v>63</v>
      </c>
      <c r="H194" s="5" t="s">
        <v>97</v>
      </c>
      <c r="I194" s="3">
        <v>1</v>
      </c>
      <c r="L194" s="20"/>
      <c r="M194" s="20"/>
      <c r="N194" s="20"/>
    </row>
    <row r="195" spans="1:14" x14ac:dyDescent="0.3">
      <c r="A195" s="3">
        <v>1</v>
      </c>
      <c r="B195" s="3" t="s">
        <v>21</v>
      </c>
      <c r="C195" s="3">
        <v>160</v>
      </c>
      <c r="D195" s="3">
        <v>3</v>
      </c>
      <c r="E195" s="3" t="s">
        <v>68</v>
      </c>
      <c r="F195" s="3" t="s">
        <v>63</v>
      </c>
      <c r="H195" s="5" t="s">
        <v>97</v>
      </c>
      <c r="I195" s="3">
        <v>1</v>
      </c>
      <c r="L195" s="20"/>
      <c r="M195" s="20"/>
      <c r="N195" s="20"/>
    </row>
    <row r="196" spans="1:14" x14ac:dyDescent="0.3">
      <c r="A196" s="3">
        <v>6</v>
      </c>
      <c r="B196" s="3" t="s">
        <v>19</v>
      </c>
      <c r="C196" s="3">
        <v>80</v>
      </c>
      <c r="D196" s="3">
        <v>3</v>
      </c>
      <c r="E196" s="3" t="s">
        <v>68</v>
      </c>
      <c r="F196" s="3" t="s">
        <v>63</v>
      </c>
      <c r="H196" s="5" t="s">
        <v>97</v>
      </c>
      <c r="I196" s="3">
        <v>1</v>
      </c>
      <c r="L196" s="20"/>
      <c r="M196" s="20"/>
      <c r="N196" s="20"/>
    </row>
    <row r="197" spans="1:14" x14ac:dyDescent="0.3">
      <c r="A197" s="3">
        <v>6</v>
      </c>
      <c r="B197" s="3" t="s">
        <v>21</v>
      </c>
      <c r="C197" s="3">
        <v>50</v>
      </c>
      <c r="D197" s="3">
        <v>3</v>
      </c>
      <c r="E197" s="3" t="s">
        <v>68</v>
      </c>
      <c r="F197" s="3" t="s">
        <v>77</v>
      </c>
      <c r="H197" s="5" t="s">
        <v>106</v>
      </c>
      <c r="I197" s="3">
        <v>1</v>
      </c>
      <c r="L197" s="20"/>
      <c r="M197" s="20"/>
      <c r="N197" s="20"/>
    </row>
    <row r="198" spans="1:14" x14ac:dyDescent="0.3">
      <c r="A198" s="3">
        <v>1</v>
      </c>
      <c r="B198" s="3" t="s">
        <v>19</v>
      </c>
      <c r="C198" s="3">
        <v>80</v>
      </c>
      <c r="D198" s="3">
        <v>3</v>
      </c>
      <c r="E198" s="3" t="s">
        <v>68</v>
      </c>
      <c r="F198" s="3" t="s">
        <v>77</v>
      </c>
      <c r="H198" s="5" t="s">
        <v>106</v>
      </c>
      <c r="I198" s="3">
        <v>1</v>
      </c>
      <c r="L198" s="20"/>
      <c r="M198" s="20"/>
      <c r="N198" s="20"/>
    </row>
    <row r="199" spans="1:14" x14ac:dyDescent="0.3">
      <c r="A199" s="3">
        <v>1</v>
      </c>
      <c r="B199" s="3" t="s">
        <v>21</v>
      </c>
      <c r="C199" s="3">
        <v>90</v>
      </c>
      <c r="D199" s="3">
        <v>3</v>
      </c>
      <c r="E199" s="3" t="s">
        <v>68</v>
      </c>
      <c r="F199" s="3" t="s">
        <v>73</v>
      </c>
      <c r="H199" s="5" t="s">
        <v>97</v>
      </c>
      <c r="I199" s="3">
        <v>1</v>
      </c>
      <c r="L199" s="20"/>
      <c r="M199" s="20"/>
      <c r="N199" s="20"/>
    </row>
    <row r="200" spans="1:14" x14ac:dyDescent="0.3">
      <c r="A200" s="3">
        <v>6</v>
      </c>
      <c r="B200" s="3" t="s">
        <v>19</v>
      </c>
      <c r="C200" s="3">
        <v>50</v>
      </c>
      <c r="D200" s="3">
        <v>3</v>
      </c>
      <c r="E200" s="3" t="s">
        <v>68</v>
      </c>
      <c r="F200" s="3" t="s">
        <v>73</v>
      </c>
      <c r="H200" s="5" t="s">
        <v>97</v>
      </c>
      <c r="I200" s="3">
        <v>1</v>
      </c>
      <c r="L200" s="20"/>
      <c r="M200" s="20"/>
      <c r="N200" s="20"/>
    </row>
    <row r="201" spans="1:14" x14ac:dyDescent="0.3">
      <c r="A201" s="3">
        <v>3</v>
      </c>
      <c r="B201" s="3" t="s">
        <v>21</v>
      </c>
      <c r="C201" s="3">
        <v>110</v>
      </c>
      <c r="D201" s="3">
        <v>3</v>
      </c>
      <c r="E201" s="3" t="s">
        <v>68</v>
      </c>
      <c r="F201" s="3" t="s">
        <v>73</v>
      </c>
      <c r="H201" s="5" t="s">
        <v>97</v>
      </c>
      <c r="I201" s="3">
        <v>1</v>
      </c>
      <c r="L201" s="20"/>
      <c r="M201" s="20"/>
      <c r="N201" s="20"/>
    </row>
    <row r="202" spans="1:14" x14ac:dyDescent="0.3">
      <c r="A202" s="3">
        <v>1</v>
      </c>
      <c r="B202" s="3" t="s">
        <v>21</v>
      </c>
      <c r="C202" s="3">
        <v>130</v>
      </c>
      <c r="D202" s="3">
        <v>3</v>
      </c>
      <c r="E202" s="3" t="s">
        <v>68</v>
      </c>
      <c r="F202" s="3" t="s">
        <v>73</v>
      </c>
      <c r="H202" s="5" t="s">
        <v>97</v>
      </c>
      <c r="I202" s="3">
        <v>1</v>
      </c>
    </row>
    <row r="203" spans="1:14" x14ac:dyDescent="0.3">
      <c r="A203" s="3">
        <v>1</v>
      </c>
      <c r="B203" s="3" t="s">
        <v>19</v>
      </c>
      <c r="C203" s="3">
        <v>80</v>
      </c>
      <c r="D203" s="3">
        <v>3</v>
      </c>
      <c r="E203" s="3" t="s">
        <v>68</v>
      </c>
      <c r="F203" s="3" t="s">
        <v>73</v>
      </c>
      <c r="H203" s="5" t="s">
        <v>97</v>
      </c>
      <c r="I203" s="3">
        <v>1</v>
      </c>
    </row>
    <row r="204" spans="1:14" x14ac:dyDescent="0.3">
      <c r="A204" s="3">
        <v>2</v>
      </c>
      <c r="B204" s="3" t="s">
        <v>21</v>
      </c>
      <c r="C204" s="3">
        <v>90</v>
      </c>
      <c r="D204" s="3">
        <v>3</v>
      </c>
      <c r="E204" s="3" t="s">
        <v>68</v>
      </c>
      <c r="F204" s="3" t="s">
        <v>73</v>
      </c>
      <c r="H204" s="5" t="s">
        <v>97</v>
      </c>
      <c r="I204" s="3">
        <v>1</v>
      </c>
    </row>
    <row r="205" spans="1:14" x14ac:dyDescent="0.3">
      <c r="A205" s="3">
        <v>3</v>
      </c>
      <c r="B205" s="3" t="s">
        <v>19</v>
      </c>
      <c r="C205" s="3">
        <v>70</v>
      </c>
      <c r="D205" s="3">
        <v>3</v>
      </c>
      <c r="E205" s="3" t="s">
        <v>68</v>
      </c>
      <c r="F205" s="3" t="s">
        <v>73</v>
      </c>
      <c r="H205" s="5" t="s">
        <v>106</v>
      </c>
      <c r="I205" s="3">
        <v>2</v>
      </c>
    </row>
    <row r="206" spans="1:14" x14ac:dyDescent="0.3">
      <c r="A206" s="3">
        <v>5</v>
      </c>
      <c r="B206" s="3" t="s">
        <v>19</v>
      </c>
      <c r="C206" s="3">
        <v>50</v>
      </c>
      <c r="D206" s="3">
        <v>3</v>
      </c>
      <c r="E206" s="3" t="s">
        <v>68</v>
      </c>
      <c r="F206" s="3" t="s">
        <v>77</v>
      </c>
      <c r="H206" s="5" t="s">
        <v>97</v>
      </c>
      <c r="I206" s="3">
        <v>1</v>
      </c>
    </row>
    <row r="207" spans="1:14" x14ac:dyDescent="0.3">
      <c r="A207" s="3">
        <v>1</v>
      </c>
      <c r="B207" s="3" t="s">
        <v>21</v>
      </c>
      <c r="C207" s="3">
        <v>120</v>
      </c>
      <c r="D207" s="3">
        <v>3</v>
      </c>
      <c r="E207" s="3" t="s">
        <v>68</v>
      </c>
      <c r="F207" s="3" t="s">
        <v>77</v>
      </c>
      <c r="H207" s="5" t="s">
        <v>97</v>
      </c>
      <c r="I207" s="3">
        <v>1</v>
      </c>
    </row>
    <row r="208" spans="1:14" x14ac:dyDescent="0.3">
      <c r="A208" s="3">
        <v>3</v>
      </c>
      <c r="B208" s="3" t="s">
        <v>21</v>
      </c>
      <c r="C208" s="3">
        <v>100</v>
      </c>
      <c r="D208" s="3">
        <v>3</v>
      </c>
      <c r="E208" s="3" t="s">
        <v>68</v>
      </c>
      <c r="F208" s="3" t="s">
        <v>73</v>
      </c>
      <c r="H208" s="5" t="s">
        <v>97</v>
      </c>
      <c r="I208" s="3">
        <v>1</v>
      </c>
    </row>
    <row r="209" spans="1:9" x14ac:dyDescent="0.3">
      <c r="A209" s="3">
        <v>4</v>
      </c>
      <c r="B209" s="3" t="s">
        <v>19</v>
      </c>
      <c r="C209" s="3">
        <v>50</v>
      </c>
      <c r="D209" s="3">
        <v>3</v>
      </c>
      <c r="E209" s="3" t="s">
        <v>68</v>
      </c>
      <c r="F209" s="3" t="s">
        <v>73</v>
      </c>
      <c r="H209" s="5" t="s">
        <v>97</v>
      </c>
      <c r="I209" s="3">
        <v>1</v>
      </c>
    </row>
    <row r="210" spans="1:9" x14ac:dyDescent="0.3">
      <c r="A210" s="3">
        <v>1</v>
      </c>
      <c r="B210" s="3" t="s">
        <v>19</v>
      </c>
      <c r="C210" s="3">
        <v>70</v>
      </c>
      <c r="D210" s="3">
        <v>3</v>
      </c>
      <c r="E210" s="3" t="s">
        <v>68</v>
      </c>
      <c r="F210" s="3" t="s">
        <v>77</v>
      </c>
      <c r="H210" s="5" t="s">
        <v>97</v>
      </c>
      <c r="I210" s="3">
        <v>1</v>
      </c>
    </row>
    <row r="211" spans="1:9" x14ac:dyDescent="0.3">
      <c r="A211" s="3">
        <v>1</v>
      </c>
      <c r="B211" s="3" t="s">
        <v>68</v>
      </c>
      <c r="C211" s="3">
        <v>50</v>
      </c>
      <c r="D211" s="3">
        <v>3</v>
      </c>
      <c r="E211" s="3" t="s">
        <v>68</v>
      </c>
      <c r="F211" s="3" t="s">
        <v>77</v>
      </c>
      <c r="H211" s="5" t="s">
        <v>97</v>
      </c>
      <c r="I211" s="3">
        <v>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212</v>
      </c>
      <c r="E2" s="4"/>
    </row>
    <row r="3" spans="1:14" x14ac:dyDescent="0.3">
      <c r="A3" s="6" t="s">
        <v>2</v>
      </c>
      <c r="B3" s="21" t="s">
        <v>222</v>
      </c>
      <c r="E3" s="4"/>
    </row>
    <row r="4" spans="1:14" x14ac:dyDescent="0.3">
      <c r="A4" s="6" t="s">
        <v>3</v>
      </c>
      <c r="B4" s="8">
        <v>42948</v>
      </c>
      <c r="E4" s="4"/>
    </row>
    <row r="5" spans="1:14" x14ac:dyDescent="0.3">
      <c r="A5" s="6" t="s">
        <v>4</v>
      </c>
      <c r="B5" s="7">
        <v>11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213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21</v>
      </c>
      <c r="C10" s="16">
        <v>80</v>
      </c>
      <c r="D10" s="16">
        <v>1</v>
      </c>
      <c r="E10" s="16" t="s">
        <v>65</v>
      </c>
      <c r="F10" s="16" t="s">
        <v>63</v>
      </c>
      <c r="G10" s="24"/>
      <c r="H10" s="17" t="s">
        <v>99</v>
      </c>
      <c r="I10" s="16">
        <v>1</v>
      </c>
      <c r="J10" s="17"/>
      <c r="L10" s="19">
        <f>SUMIFS($A$10:$A$400,$B$10:$B$400,"CH",$D$10:$D$400,"1")</f>
        <v>1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19</v>
      </c>
      <c r="C11" s="16">
        <v>50</v>
      </c>
      <c r="D11" s="16">
        <v>1</v>
      </c>
      <c r="E11" s="16" t="s">
        <v>65</v>
      </c>
      <c r="F11" s="16" t="s">
        <v>63</v>
      </c>
      <c r="G11" s="24"/>
      <c r="H11" s="17" t="s">
        <v>99</v>
      </c>
      <c r="I11" s="16">
        <v>1</v>
      </c>
      <c r="J11" s="17"/>
      <c r="L11" s="19">
        <f>SUMIFS($A$10:$A$400,$B$10:$B$400,"CH",$D$10:$D$400,"2")</f>
        <v>42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19</v>
      </c>
      <c r="C12" s="16">
        <v>40</v>
      </c>
      <c r="D12" s="16">
        <v>2</v>
      </c>
      <c r="E12" s="16" t="s">
        <v>214</v>
      </c>
      <c r="F12" s="16" t="s">
        <v>63</v>
      </c>
      <c r="G12" s="24"/>
      <c r="H12" s="17" t="s">
        <v>99</v>
      </c>
      <c r="I12" s="16">
        <v>1</v>
      </c>
      <c r="J12" s="17"/>
      <c r="L12" s="19">
        <f>SUMIFS($A$10:$A$400,$B$10:$B$400,"CH",$D$10:$D$400,"3")</f>
        <v>1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19</v>
      </c>
      <c r="C13" s="16">
        <v>20</v>
      </c>
      <c r="D13" s="16">
        <v>2</v>
      </c>
      <c r="E13" s="16" t="s">
        <v>214</v>
      </c>
      <c r="F13" s="16" t="s">
        <v>63</v>
      </c>
      <c r="G13" s="24"/>
      <c r="H13" s="17" t="s">
        <v>99</v>
      </c>
      <c r="I13" s="16">
        <v>1</v>
      </c>
      <c r="J13" s="17"/>
      <c r="L13" s="19">
        <f>SUMIFS($A$10:$A$400,$B$10:$B$400,"CH",$D$10:$D$400,"4")</f>
        <v>55</v>
      </c>
      <c r="M13" s="19" t="s">
        <v>19</v>
      </c>
      <c r="N13" s="19" t="s">
        <v>26</v>
      </c>
    </row>
    <row r="14" spans="1:14" s="18" customFormat="1" x14ac:dyDescent="0.3">
      <c r="A14" s="16">
        <v>5</v>
      </c>
      <c r="B14" s="16" t="s">
        <v>19</v>
      </c>
      <c r="C14" s="16">
        <v>70</v>
      </c>
      <c r="D14" s="16">
        <v>2</v>
      </c>
      <c r="E14" s="16" t="s">
        <v>214</v>
      </c>
      <c r="F14" s="16" t="s">
        <v>63</v>
      </c>
      <c r="G14" s="24"/>
      <c r="H14" s="17" t="s">
        <v>99</v>
      </c>
      <c r="I14" s="16">
        <v>1</v>
      </c>
      <c r="J14" s="17"/>
      <c r="L14" s="19">
        <f>SUMIFS($A$10:$A$400,$B$10:$B$400,"CH",$D$10:$D$400,"5")</f>
        <v>1</v>
      </c>
      <c r="M14" s="19" t="s">
        <v>19</v>
      </c>
      <c r="N14" s="19" t="s">
        <v>27</v>
      </c>
    </row>
    <row r="15" spans="1:14" s="18" customFormat="1" x14ac:dyDescent="0.3">
      <c r="A15" s="16">
        <v>4</v>
      </c>
      <c r="B15" s="16" t="s">
        <v>19</v>
      </c>
      <c r="C15" s="16">
        <v>50</v>
      </c>
      <c r="D15" s="16">
        <v>2</v>
      </c>
      <c r="E15" s="16" t="s">
        <v>214</v>
      </c>
      <c r="F15" s="16" t="s">
        <v>63</v>
      </c>
      <c r="G15" s="24"/>
      <c r="H15" s="17" t="s">
        <v>99</v>
      </c>
      <c r="I15" s="16">
        <v>1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19</v>
      </c>
      <c r="C16" s="16">
        <v>30</v>
      </c>
      <c r="D16" s="16">
        <v>2</v>
      </c>
      <c r="E16" s="16" t="s">
        <v>214</v>
      </c>
      <c r="F16" s="16" t="s">
        <v>63</v>
      </c>
      <c r="G16" s="24"/>
      <c r="H16" s="17" t="s">
        <v>99</v>
      </c>
      <c r="I16" s="16">
        <v>1</v>
      </c>
      <c r="J16" s="17"/>
      <c r="L16" s="19">
        <f>SUMIFS($A$10:$A$400,$B$10:$B$400,"CH",$D$10:$D$400,"7")</f>
        <v>3</v>
      </c>
      <c r="M16" s="19" t="s">
        <v>19</v>
      </c>
      <c r="N16" s="19" t="s">
        <v>29</v>
      </c>
    </row>
    <row r="17" spans="1:14" s="18" customFormat="1" x14ac:dyDescent="0.3">
      <c r="A17" s="16">
        <v>20</v>
      </c>
      <c r="B17" s="16" t="s">
        <v>85</v>
      </c>
      <c r="C17" s="16">
        <v>30</v>
      </c>
      <c r="D17" s="16">
        <v>2</v>
      </c>
      <c r="E17" s="16" t="s">
        <v>214</v>
      </c>
      <c r="F17" s="16" t="s">
        <v>209</v>
      </c>
      <c r="G17" s="24"/>
      <c r="H17" s="17" t="s">
        <v>99</v>
      </c>
      <c r="I17" s="16">
        <v>1</v>
      </c>
      <c r="J17" s="17"/>
      <c r="L17" s="19">
        <f>SUMIFS($A$10:$A$400,$B$10:$B$400,"CH",$D$10:$D$400,"8")</f>
        <v>4</v>
      </c>
      <c r="M17" s="19" t="s">
        <v>19</v>
      </c>
      <c r="N17" s="19" t="s">
        <v>30</v>
      </c>
    </row>
    <row r="18" spans="1:14" s="18" customFormat="1" x14ac:dyDescent="0.3">
      <c r="A18" s="16">
        <v>2</v>
      </c>
      <c r="B18" s="16" t="s">
        <v>21</v>
      </c>
      <c r="C18" s="16">
        <v>50</v>
      </c>
      <c r="D18" s="16">
        <v>2</v>
      </c>
      <c r="E18" s="16" t="s">
        <v>214</v>
      </c>
      <c r="F18" s="16" t="s">
        <v>63</v>
      </c>
      <c r="G18" s="24"/>
      <c r="H18" s="17" t="s">
        <v>99</v>
      </c>
      <c r="I18" s="16">
        <v>1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30</v>
      </c>
      <c r="B19" s="16" t="s">
        <v>85</v>
      </c>
      <c r="C19" s="16">
        <v>40</v>
      </c>
      <c r="D19" s="16">
        <v>2</v>
      </c>
      <c r="E19" s="16" t="s">
        <v>214</v>
      </c>
      <c r="F19" s="16" t="s">
        <v>209</v>
      </c>
      <c r="G19" s="24"/>
      <c r="H19" s="17" t="s">
        <v>99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30</v>
      </c>
      <c r="B20" s="16" t="s">
        <v>19</v>
      </c>
      <c r="C20" s="16">
        <v>50</v>
      </c>
      <c r="D20" s="16">
        <v>2</v>
      </c>
      <c r="E20" s="16" t="s">
        <v>214</v>
      </c>
      <c r="F20" s="16" t="s">
        <v>63</v>
      </c>
      <c r="G20" s="24"/>
      <c r="H20" s="17" t="s">
        <v>99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4</v>
      </c>
      <c r="B21" s="16" t="s">
        <v>21</v>
      </c>
      <c r="C21" s="16">
        <v>35</v>
      </c>
      <c r="D21" s="16">
        <v>2</v>
      </c>
      <c r="E21" s="16" t="s">
        <v>214</v>
      </c>
      <c r="F21" s="16" t="s">
        <v>63</v>
      </c>
      <c r="G21" s="24"/>
      <c r="H21" s="17" t="s">
        <v>99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12</v>
      </c>
      <c r="B22" s="16" t="s">
        <v>85</v>
      </c>
      <c r="C22" s="16">
        <v>30</v>
      </c>
      <c r="D22" s="16">
        <v>2</v>
      </c>
      <c r="E22" s="16" t="s">
        <v>214</v>
      </c>
      <c r="F22" s="16" t="s">
        <v>209</v>
      </c>
      <c r="G22" s="24"/>
      <c r="H22" s="17" t="s">
        <v>99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20</v>
      </c>
      <c r="B23" s="16" t="s">
        <v>21</v>
      </c>
      <c r="C23" s="16">
        <v>50</v>
      </c>
      <c r="D23" s="16">
        <v>2</v>
      </c>
      <c r="E23" s="16" t="s">
        <v>214</v>
      </c>
      <c r="F23" s="16" t="s">
        <v>209</v>
      </c>
      <c r="G23" s="24"/>
      <c r="H23" s="17" t="s">
        <v>99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15</v>
      </c>
      <c r="B24" s="16" t="s">
        <v>21</v>
      </c>
      <c r="C24" s="16">
        <v>75</v>
      </c>
      <c r="D24" s="16">
        <v>2</v>
      </c>
      <c r="E24" s="16" t="s">
        <v>214</v>
      </c>
      <c r="F24" s="16" t="s">
        <v>63</v>
      </c>
      <c r="G24" s="24"/>
      <c r="H24" s="17" t="s">
        <v>99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85</v>
      </c>
      <c r="C25" s="16">
        <v>50</v>
      </c>
      <c r="D25" s="16">
        <v>3</v>
      </c>
      <c r="E25" s="16" t="s">
        <v>93</v>
      </c>
      <c r="F25" s="16" t="s">
        <v>209</v>
      </c>
      <c r="G25" s="24"/>
      <c r="H25" s="17" t="s">
        <v>84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85</v>
      </c>
      <c r="C26" s="16">
        <v>25</v>
      </c>
      <c r="D26" s="16">
        <v>3</v>
      </c>
      <c r="E26" s="16" t="s">
        <v>93</v>
      </c>
      <c r="F26" s="16" t="s">
        <v>209</v>
      </c>
      <c r="G26" s="24"/>
      <c r="H26" s="17" t="s">
        <v>84</v>
      </c>
      <c r="I26" s="16">
        <v>2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215</v>
      </c>
      <c r="C27" s="16">
        <v>50</v>
      </c>
      <c r="D27" s="16">
        <v>3</v>
      </c>
      <c r="E27" s="16" t="s">
        <v>93</v>
      </c>
      <c r="F27" s="16" t="s">
        <v>209</v>
      </c>
      <c r="G27" s="24"/>
      <c r="H27" s="17" t="s">
        <v>84</v>
      </c>
      <c r="I27" s="16">
        <v>2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50</v>
      </c>
      <c r="B28" s="16" t="s">
        <v>85</v>
      </c>
      <c r="C28" s="16">
        <v>40</v>
      </c>
      <c r="D28" s="16">
        <v>3</v>
      </c>
      <c r="E28" s="16" t="s">
        <v>93</v>
      </c>
      <c r="F28" s="16" t="s">
        <v>209</v>
      </c>
      <c r="G28" s="24"/>
      <c r="H28" s="17" t="s">
        <v>99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150</v>
      </c>
      <c r="B29" s="16" t="s">
        <v>85</v>
      </c>
      <c r="C29" s="16">
        <v>30</v>
      </c>
      <c r="D29" s="16">
        <v>3</v>
      </c>
      <c r="E29" s="16" t="s">
        <v>93</v>
      </c>
      <c r="F29" s="16" t="s">
        <v>209</v>
      </c>
      <c r="G29" s="24"/>
      <c r="H29" s="17" t="s">
        <v>99</v>
      </c>
      <c r="I29" s="16">
        <v>1</v>
      </c>
      <c r="J29" s="17" t="s">
        <v>216</v>
      </c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20</v>
      </c>
      <c r="B30" s="16" t="s">
        <v>85</v>
      </c>
      <c r="C30" s="16">
        <v>25</v>
      </c>
      <c r="D30" s="16">
        <v>3</v>
      </c>
      <c r="E30" s="16" t="s">
        <v>93</v>
      </c>
      <c r="F30" s="16" t="s">
        <v>209</v>
      </c>
      <c r="G30" s="24"/>
      <c r="H30" s="17" t="s">
        <v>84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19</v>
      </c>
      <c r="C31" s="16">
        <v>40</v>
      </c>
      <c r="D31" s="16">
        <v>3</v>
      </c>
      <c r="E31" s="16" t="s">
        <v>93</v>
      </c>
      <c r="F31" s="16" t="s">
        <v>209</v>
      </c>
      <c r="G31" s="24"/>
      <c r="H31" s="17" t="s">
        <v>84</v>
      </c>
      <c r="I31" s="16">
        <v>2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50</v>
      </c>
      <c r="B32" s="16" t="s">
        <v>85</v>
      </c>
      <c r="C32" s="16">
        <v>50</v>
      </c>
      <c r="D32" s="16">
        <v>4</v>
      </c>
      <c r="E32" s="16" t="s">
        <v>214</v>
      </c>
      <c r="F32" s="16" t="s">
        <v>209</v>
      </c>
      <c r="G32" s="24"/>
      <c r="H32" s="17" t="s">
        <v>84</v>
      </c>
      <c r="I32" s="16">
        <v>2</v>
      </c>
      <c r="J32" s="17" t="s">
        <v>217</v>
      </c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21</v>
      </c>
      <c r="C33" s="16">
        <v>75</v>
      </c>
      <c r="D33" s="16">
        <v>4</v>
      </c>
      <c r="E33" s="16" t="s">
        <v>214</v>
      </c>
      <c r="F33" s="16" t="s">
        <v>209</v>
      </c>
      <c r="G33" s="24"/>
      <c r="H33" s="17" t="s">
        <v>84</v>
      </c>
      <c r="I33" s="16">
        <v>2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1</v>
      </c>
      <c r="B34" s="16" t="s">
        <v>21</v>
      </c>
      <c r="C34" s="16">
        <v>50</v>
      </c>
      <c r="D34" s="16">
        <v>4</v>
      </c>
      <c r="E34" s="16" t="s">
        <v>214</v>
      </c>
      <c r="F34" s="16" t="s">
        <v>209</v>
      </c>
      <c r="G34" s="24"/>
      <c r="H34" s="17" t="s">
        <v>84</v>
      </c>
      <c r="I34" s="16">
        <v>2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8</v>
      </c>
      <c r="B35" s="16" t="s">
        <v>85</v>
      </c>
      <c r="C35" s="16">
        <v>30</v>
      </c>
      <c r="D35" s="16">
        <v>4</v>
      </c>
      <c r="E35" s="16" t="s">
        <v>214</v>
      </c>
      <c r="F35" s="16" t="s">
        <v>209</v>
      </c>
      <c r="G35" s="24"/>
      <c r="H35" s="17" t="s">
        <v>99</v>
      </c>
      <c r="I35" s="16">
        <v>1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50</v>
      </c>
      <c r="D36" s="16">
        <v>4</v>
      </c>
      <c r="E36" s="16" t="s">
        <v>214</v>
      </c>
      <c r="F36" s="16" t="s">
        <v>218</v>
      </c>
      <c r="G36" s="24"/>
      <c r="H36" s="17" t="s">
        <v>84</v>
      </c>
      <c r="I36" s="16">
        <v>2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2</v>
      </c>
      <c r="B37" s="16" t="s">
        <v>19</v>
      </c>
      <c r="C37" s="16">
        <v>75</v>
      </c>
      <c r="D37" s="16">
        <v>4</v>
      </c>
      <c r="E37" s="16" t="s">
        <v>214</v>
      </c>
      <c r="F37" s="16" t="s">
        <v>218</v>
      </c>
      <c r="G37" s="24"/>
      <c r="H37" s="17" t="s">
        <v>84</v>
      </c>
      <c r="I37" s="16">
        <v>2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19</v>
      </c>
      <c r="C38" s="16">
        <v>50</v>
      </c>
      <c r="D38" s="16">
        <v>4</v>
      </c>
      <c r="E38" s="16" t="s">
        <v>214</v>
      </c>
      <c r="F38" s="16" t="s">
        <v>218</v>
      </c>
      <c r="G38" s="24"/>
      <c r="H38" s="17" t="s">
        <v>84</v>
      </c>
      <c r="I38" s="16">
        <v>2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85</v>
      </c>
      <c r="C39" s="16">
        <v>20</v>
      </c>
      <c r="D39" s="16">
        <v>4</v>
      </c>
      <c r="E39" s="16" t="s">
        <v>214</v>
      </c>
      <c r="F39" s="16" t="s">
        <v>209</v>
      </c>
      <c r="G39" s="24"/>
      <c r="H39" s="17" t="s">
        <v>99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2</v>
      </c>
      <c r="B40" s="16" t="s">
        <v>19</v>
      </c>
      <c r="C40" s="16">
        <v>50</v>
      </c>
      <c r="D40" s="16">
        <v>4</v>
      </c>
      <c r="E40" s="16" t="s">
        <v>214</v>
      </c>
      <c r="F40" s="16" t="s">
        <v>63</v>
      </c>
      <c r="G40" s="24"/>
      <c r="H40" s="17" t="s">
        <v>84</v>
      </c>
      <c r="I40" s="16">
        <v>2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80</v>
      </c>
      <c r="B41" s="16" t="s">
        <v>85</v>
      </c>
      <c r="C41" s="16">
        <v>40</v>
      </c>
      <c r="D41" s="16">
        <v>4</v>
      </c>
      <c r="E41" s="16" t="s">
        <v>214</v>
      </c>
      <c r="F41" s="16" t="s">
        <v>63</v>
      </c>
      <c r="G41" s="24"/>
      <c r="H41" s="17" t="s">
        <v>99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2</v>
      </c>
      <c r="B42" s="16" t="s">
        <v>85</v>
      </c>
      <c r="C42" s="16">
        <v>50</v>
      </c>
      <c r="D42" s="16">
        <v>4</v>
      </c>
      <c r="E42" s="16" t="s">
        <v>214</v>
      </c>
      <c r="F42" s="16" t="s">
        <v>209</v>
      </c>
      <c r="G42" s="24"/>
      <c r="H42" s="17" t="s">
        <v>84</v>
      </c>
      <c r="I42" s="16">
        <v>2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3</v>
      </c>
      <c r="B43" s="16" t="s">
        <v>85</v>
      </c>
      <c r="C43" s="16">
        <v>20</v>
      </c>
      <c r="D43" s="16">
        <v>4</v>
      </c>
      <c r="E43" s="16" t="s">
        <v>214</v>
      </c>
      <c r="F43" s="16" t="s">
        <v>209</v>
      </c>
      <c r="G43" s="24"/>
      <c r="H43" s="17" t="s">
        <v>99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20</v>
      </c>
      <c r="B44" s="16" t="s">
        <v>19</v>
      </c>
      <c r="C44" s="16">
        <v>50</v>
      </c>
      <c r="D44" s="16">
        <v>4</v>
      </c>
      <c r="E44" s="16" t="s">
        <v>214</v>
      </c>
      <c r="F44" s="16" t="s">
        <v>63</v>
      </c>
      <c r="G44" s="24"/>
      <c r="H44" s="17" t="s">
        <v>99</v>
      </c>
      <c r="I44" s="16">
        <v>1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2</v>
      </c>
      <c r="B45" s="16" t="s">
        <v>85</v>
      </c>
      <c r="C45" s="16">
        <v>20</v>
      </c>
      <c r="D45" s="16">
        <v>4</v>
      </c>
      <c r="E45" s="16" t="s">
        <v>214</v>
      </c>
      <c r="F45" s="16" t="s">
        <v>209</v>
      </c>
      <c r="G45" s="24"/>
      <c r="H45" s="17" t="s">
        <v>99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4</v>
      </c>
      <c r="B46" s="16" t="s">
        <v>85</v>
      </c>
      <c r="C46" s="16">
        <v>50</v>
      </c>
      <c r="D46" s="16">
        <v>4</v>
      </c>
      <c r="E46" s="16" t="s">
        <v>214</v>
      </c>
      <c r="F46" s="16" t="s">
        <v>209</v>
      </c>
      <c r="G46" s="24"/>
      <c r="H46" s="17" t="s">
        <v>84</v>
      </c>
      <c r="I46" s="16">
        <v>2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7</v>
      </c>
      <c r="B47" s="16" t="s">
        <v>19</v>
      </c>
      <c r="C47" s="16">
        <v>75</v>
      </c>
      <c r="D47" s="16">
        <v>4</v>
      </c>
      <c r="E47" s="16" t="s">
        <v>214</v>
      </c>
      <c r="F47" s="16" t="s">
        <v>209</v>
      </c>
      <c r="G47" s="24"/>
      <c r="H47" s="17" t="s">
        <v>84</v>
      </c>
      <c r="I47" s="16">
        <v>2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3</v>
      </c>
      <c r="B48" s="16" t="s">
        <v>19</v>
      </c>
      <c r="C48" s="16">
        <v>50</v>
      </c>
      <c r="D48" s="16">
        <v>4</v>
      </c>
      <c r="E48" s="16" t="s">
        <v>214</v>
      </c>
      <c r="F48" s="16" t="s">
        <v>209</v>
      </c>
      <c r="G48" s="24"/>
      <c r="H48" s="17" t="s">
        <v>84</v>
      </c>
      <c r="I48" s="16">
        <v>2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20</v>
      </c>
      <c r="B49" s="16" t="s">
        <v>19</v>
      </c>
      <c r="C49" s="16">
        <v>40</v>
      </c>
      <c r="D49" s="16">
        <v>4</v>
      </c>
      <c r="E49" s="16" t="s">
        <v>214</v>
      </c>
      <c r="F49" s="16" t="s">
        <v>209</v>
      </c>
      <c r="G49" s="24"/>
      <c r="H49" s="17" t="s">
        <v>84</v>
      </c>
      <c r="I49" s="16">
        <v>2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85</v>
      </c>
      <c r="C50" s="16">
        <v>50</v>
      </c>
      <c r="D50" s="16">
        <v>4</v>
      </c>
      <c r="E50" s="16" t="s">
        <v>214</v>
      </c>
      <c r="F50" s="16" t="s">
        <v>209</v>
      </c>
      <c r="G50" s="24"/>
      <c r="H50" s="17" t="s">
        <v>84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1</v>
      </c>
      <c r="B51" s="16" t="s">
        <v>19</v>
      </c>
      <c r="C51" s="16">
        <v>50</v>
      </c>
      <c r="D51" s="16">
        <v>5</v>
      </c>
      <c r="E51" s="16" t="s">
        <v>102</v>
      </c>
      <c r="F51" s="16" t="s">
        <v>63</v>
      </c>
      <c r="G51" s="24"/>
      <c r="H51" s="17" t="s">
        <v>84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>
        <v>6</v>
      </c>
      <c r="E52" s="16" t="s">
        <v>93</v>
      </c>
      <c r="F52" s="16"/>
      <c r="G52" s="24"/>
      <c r="H52" s="17"/>
      <c r="I52" s="16"/>
      <c r="J52" s="17" t="s">
        <v>89</v>
      </c>
      <c r="L52" s="19">
        <f>SUM(L10:L51)</f>
        <v>107</v>
      </c>
      <c r="M52" s="19"/>
      <c r="N52" s="19"/>
    </row>
    <row r="53" spans="1:14" s="18" customFormat="1" x14ac:dyDescent="0.3">
      <c r="A53" s="16">
        <v>1</v>
      </c>
      <c r="B53" s="16" t="s">
        <v>19</v>
      </c>
      <c r="C53" s="16">
        <v>110</v>
      </c>
      <c r="D53" s="16">
        <v>7</v>
      </c>
      <c r="E53" s="16" t="s">
        <v>65</v>
      </c>
      <c r="F53" s="16" t="s">
        <v>209</v>
      </c>
      <c r="G53" s="24"/>
      <c r="H53" s="17" t="s">
        <v>84</v>
      </c>
      <c r="I53" s="16">
        <v>2</v>
      </c>
      <c r="J53" s="17"/>
      <c r="L53" s="19"/>
      <c r="M53" s="19"/>
      <c r="N53" s="19"/>
    </row>
    <row r="54" spans="1:14" s="18" customFormat="1" x14ac:dyDescent="0.3">
      <c r="A54" s="16">
        <v>2</v>
      </c>
      <c r="B54" s="16" t="s">
        <v>19</v>
      </c>
      <c r="C54" s="16">
        <v>75</v>
      </c>
      <c r="D54" s="16">
        <v>7</v>
      </c>
      <c r="E54" s="16" t="s">
        <v>65</v>
      </c>
      <c r="F54" s="16" t="s">
        <v>209</v>
      </c>
      <c r="G54" s="24"/>
      <c r="H54" s="17" t="s">
        <v>84</v>
      </c>
      <c r="I54" s="16">
        <v>2</v>
      </c>
      <c r="J54" s="17"/>
      <c r="L54" s="19">
        <f>SUMIFS($A$10:$A$400,$B$10:$B$400,"RT",$D$10:$D$400,"1")</f>
        <v>1</v>
      </c>
      <c r="M54" s="19" t="s">
        <v>21</v>
      </c>
      <c r="N54" s="19" t="s">
        <v>18</v>
      </c>
    </row>
    <row r="55" spans="1:14" s="18" customFormat="1" x14ac:dyDescent="0.3">
      <c r="A55" s="16">
        <v>1</v>
      </c>
      <c r="B55" s="16" t="s">
        <v>85</v>
      </c>
      <c r="C55" s="16">
        <v>50</v>
      </c>
      <c r="D55" s="16">
        <v>7</v>
      </c>
      <c r="E55" s="16" t="s">
        <v>65</v>
      </c>
      <c r="F55" s="16" t="s">
        <v>209</v>
      </c>
      <c r="G55" s="24"/>
      <c r="H55" s="17" t="s">
        <v>84</v>
      </c>
      <c r="I55" s="16">
        <v>2</v>
      </c>
      <c r="J55" s="17"/>
      <c r="L55" s="19">
        <f>SUMIFS($A$10:$A$400,$B$10:$B$400,"RT",$D$10:$D$400,"2")</f>
        <v>41</v>
      </c>
      <c r="M55" s="19" t="s">
        <v>21</v>
      </c>
      <c r="N55" s="19" t="s">
        <v>22</v>
      </c>
    </row>
    <row r="56" spans="1:14" s="18" customFormat="1" x14ac:dyDescent="0.3">
      <c r="A56" s="16">
        <v>3</v>
      </c>
      <c r="B56" s="16" t="s">
        <v>19</v>
      </c>
      <c r="C56" s="16">
        <v>110</v>
      </c>
      <c r="D56" s="16">
        <v>8</v>
      </c>
      <c r="E56" s="16" t="s">
        <v>219</v>
      </c>
      <c r="F56" s="16" t="s">
        <v>63</v>
      </c>
      <c r="G56" s="24"/>
      <c r="H56" s="17" t="s">
        <v>84</v>
      </c>
      <c r="I56" s="16">
        <v>2</v>
      </c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21</v>
      </c>
      <c r="C57" s="16">
        <v>75</v>
      </c>
      <c r="D57" s="16">
        <v>8</v>
      </c>
      <c r="E57" s="16" t="s">
        <v>219</v>
      </c>
      <c r="F57" s="16" t="s">
        <v>63</v>
      </c>
      <c r="G57" s="24"/>
      <c r="H57" s="17" t="s">
        <v>99</v>
      </c>
      <c r="I57" s="16">
        <v>1</v>
      </c>
      <c r="J57" s="17"/>
      <c r="L57" s="19">
        <f>SUMIFS($A$10:$A$400,$B$10:$B$400,"RT",$D$10:$D$400,"4")</f>
        <v>3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21</v>
      </c>
      <c r="C58" s="16">
        <v>300</v>
      </c>
      <c r="D58" s="16">
        <v>8</v>
      </c>
      <c r="E58" s="16" t="s">
        <v>219</v>
      </c>
      <c r="F58" s="16" t="s">
        <v>63</v>
      </c>
      <c r="G58" s="24"/>
      <c r="H58" s="17" t="s">
        <v>84</v>
      </c>
      <c r="I58" s="16">
        <v>2</v>
      </c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19</v>
      </c>
      <c r="C59" s="16">
        <v>50</v>
      </c>
      <c r="D59" s="16">
        <v>8</v>
      </c>
      <c r="E59" s="16" t="s">
        <v>219</v>
      </c>
      <c r="F59" s="16" t="s">
        <v>63</v>
      </c>
      <c r="G59" s="24"/>
      <c r="H59" s="17" t="s">
        <v>84</v>
      </c>
      <c r="I59" s="16">
        <v>2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>
        <v>1</v>
      </c>
      <c r="B60" s="16" t="s">
        <v>85</v>
      </c>
      <c r="C60" s="16">
        <v>25</v>
      </c>
      <c r="D60" s="16">
        <v>9</v>
      </c>
      <c r="E60" s="16" t="s">
        <v>65</v>
      </c>
      <c r="F60" s="16" t="s">
        <v>209</v>
      </c>
      <c r="G60" s="24"/>
      <c r="H60" s="17" t="s">
        <v>84</v>
      </c>
      <c r="I60" s="16">
        <v>2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2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47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7" t="s">
        <v>86</v>
      </c>
      <c r="E2" s="4"/>
    </row>
    <row r="3" spans="1:14" x14ac:dyDescent="0.3">
      <c r="A3" s="6" t="s">
        <v>2</v>
      </c>
      <c r="B3" s="7">
        <v>213</v>
      </c>
      <c r="E3" s="4"/>
    </row>
    <row r="4" spans="1:14" x14ac:dyDescent="0.3">
      <c r="A4" s="6" t="s">
        <v>3</v>
      </c>
      <c r="B4" s="8">
        <v>42999</v>
      </c>
      <c r="E4" s="4"/>
    </row>
    <row r="5" spans="1:14" x14ac:dyDescent="0.3">
      <c r="A5" s="6" t="s">
        <v>4</v>
      </c>
      <c r="B5" s="7" t="s">
        <v>191</v>
      </c>
      <c r="E5" s="4"/>
    </row>
    <row r="6" spans="1:14" x14ac:dyDescent="0.3">
      <c r="A6" s="9" t="s">
        <v>1</v>
      </c>
      <c r="B6" s="10">
        <v>2.5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65</v>
      </c>
      <c r="F10" s="16"/>
      <c r="G10" s="24">
        <v>1000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10</v>
      </c>
      <c r="B11" s="16" t="s">
        <v>21</v>
      </c>
      <c r="C11" s="16">
        <v>180</v>
      </c>
      <c r="D11" s="16">
        <v>2</v>
      </c>
      <c r="E11" s="16" t="s">
        <v>71</v>
      </c>
      <c r="F11" s="16" t="s">
        <v>77</v>
      </c>
      <c r="G11" s="24"/>
      <c r="H11" s="17" t="s">
        <v>96</v>
      </c>
      <c r="I11" s="16">
        <v>3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135</v>
      </c>
      <c r="B12" s="16" t="s">
        <v>85</v>
      </c>
      <c r="C12" s="16">
        <v>200</v>
      </c>
      <c r="D12" s="16">
        <v>2</v>
      </c>
      <c r="E12" s="16" t="s">
        <v>71</v>
      </c>
      <c r="F12" s="16" t="s">
        <v>77</v>
      </c>
      <c r="G12" s="24"/>
      <c r="H12" s="17" t="s">
        <v>96</v>
      </c>
      <c r="I12" s="16">
        <v>3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68</v>
      </c>
      <c r="C13" s="16">
        <v>30</v>
      </c>
      <c r="D13" s="16">
        <v>3</v>
      </c>
      <c r="E13" s="16" t="s">
        <v>72</v>
      </c>
      <c r="F13" s="16" t="s">
        <v>77</v>
      </c>
      <c r="G13" s="24"/>
      <c r="H13" s="17" t="s">
        <v>84</v>
      </c>
      <c r="I13" s="16">
        <v>1</v>
      </c>
      <c r="J13" s="17"/>
      <c r="L13" s="19">
        <f>SUMIFS($A$10:$A$400,$B$10:$B$400,"CH",$D$10:$D$400,"4")</f>
        <v>11</v>
      </c>
      <c r="M13" s="19" t="s">
        <v>19</v>
      </c>
      <c r="N13" s="19" t="s">
        <v>26</v>
      </c>
    </row>
    <row r="14" spans="1:14" s="18" customFormat="1" x14ac:dyDescent="0.3">
      <c r="A14" s="16">
        <v>6</v>
      </c>
      <c r="B14" s="16" t="s">
        <v>85</v>
      </c>
      <c r="C14" s="16">
        <v>150</v>
      </c>
      <c r="D14" s="16">
        <v>3</v>
      </c>
      <c r="E14" s="16" t="s">
        <v>72</v>
      </c>
      <c r="F14" s="16" t="s">
        <v>77</v>
      </c>
      <c r="G14" s="24"/>
      <c r="H14" s="17" t="s">
        <v>97</v>
      </c>
      <c r="I14" s="16">
        <v>4</v>
      </c>
      <c r="J14" s="17"/>
      <c r="L14" s="19">
        <f>SUMIFS($A$10:$A$400,$B$10:$B$400,"CH",$D$10:$D$400,"5")</f>
        <v>5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21</v>
      </c>
      <c r="C15" s="16">
        <v>280</v>
      </c>
      <c r="D15" s="16">
        <v>4</v>
      </c>
      <c r="E15" s="16" t="s">
        <v>65</v>
      </c>
      <c r="F15" s="16" t="s">
        <v>77</v>
      </c>
      <c r="G15" s="24"/>
      <c r="H15" s="17" t="s">
        <v>97</v>
      </c>
      <c r="I15" s="16">
        <v>4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68</v>
      </c>
      <c r="C16" s="16">
        <v>35</v>
      </c>
      <c r="D16" s="16">
        <v>4</v>
      </c>
      <c r="E16" s="16" t="s">
        <v>65</v>
      </c>
      <c r="F16" s="16" t="s">
        <v>73</v>
      </c>
      <c r="G16" s="24"/>
      <c r="H16" s="17" t="s">
        <v>84</v>
      </c>
      <c r="I16" s="16">
        <v>1</v>
      </c>
      <c r="J16" s="17"/>
      <c r="L16" s="19">
        <f>SUMIFS($A$10:$A$400,$B$10:$B$400,"CH",$D$10:$D$400,"7")</f>
        <v>3</v>
      </c>
      <c r="M16" s="19" t="s">
        <v>19</v>
      </c>
      <c r="N16" s="19" t="s">
        <v>29</v>
      </c>
    </row>
    <row r="17" spans="1:14" s="18" customFormat="1" x14ac:dyDescent="0.3">
      <c r="A17" s="16">
        <v>11</v>
      </c>
      <c r="B17" s="16" t="s">
        <v>19</v>
      </c>
      <c r="C17" s="16">
        <v>90</v>
      </c>
      <c r="D17" s="16">
        <v>4</v>
      </c>
      <c r="E17" s="16" t="s">
        <v>65</v>
      </c>
      <c r="F17" s="16" t="s">
        <v>73</v>
      </c>
      <c r="G17" s="24"/>
      <c r="H17" s="17" t="s">
        <v>97</v>
      </c>
      <c r="I17" s="16">
        <v>4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5</v>
      </c>
      <c r="B18" s="16" t="s">
        <v>19</v>
      </c>
      <c r="C18" s="16">
        <v>80</v>
      </c>
      <c r="D18" s="16">
        <v>5</v>
      </c>
      <c r="E18" s="16" t="s">
        <v>71</v>
      </c>
      <c r="F18" s="16" t="s">
        <v>77</v>
      </c>
      <c r="G18" s="24"/>
      <c r="H18" s="17" t="s">
        <v>97</v>
      </c>
      <c r="I18" s="16">
        <v>4</v>
      </c>
      <c r="J18" s="17"/>
      <c r="L18" s="19">
        <f>SUMIFS($A$10:$A$400,$B$10:$B$400,"CH",$D$10:$D$400,"9")</f>
        <v>52</v>
      </c>
      <c r="M18" s="19" t="s">
        <v>19</v>
      </c>
      <c r="N18" s="19" t="s">
        <v>31</v>
      </c>
    </row>
    <row r="19" spans="1:14" s="18" customFormat="1" x14ac:dyDescent="0.3">
      <c r="A19" s="16">
        <v>45</v>
      </c>
      <c r="B19" s="16" t="s">
        <v>85</v>
      </c>
      <c r="C19" s="16">
        <v>200</v>
      </c>
      <c r="D19" s="16">
        <v>5</v>
      </c>
      <c r="E19" s="16" t="s">
        <v>71</v>
      </c>
      <c r="F19" s="16" t="s">
        <v>77</v>
      </c>
      <c r="G19" s="24"/>
      <c r="H19" s="17" t="s">
        <v>96</v>
      </c>
      <c r="I19" s="16">
        <v>3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2</v>
      </c>
      <c r="B20" s="16" t="s">
        <v>21</v>
      </c>
      <c r="C20" s="16">
        <v>180</v>
      </c>
      <c r="D20" s="16">
        <v>5</v>
      </c>
      <c r="E20" s="16" t="s">
        <v>71</v>
      </c>
      <c r="F20" s="16" t="s">
        <v>77</v>
      </c>
      <c r="G20" s="24"/>
      <c r="H20" s="17" t="s">
        <v>96</v>
      </c>
      <c r="I20" s="16">
        <v>3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3</v>
      </c>
      <c r="B21" s="16" t="s">
        <v>85</v>
      </c>
      <c r="C21" s="16">
        <v>150</v>
      </c>
      <c r="D21" s="16">
        <v>6</v>
      </c>
      <c r="E21" s="16" t="s">
        <v>72</v>
      </c>
      <c r="F21" s="16" t="s">
        <v>77</v>
      </c>
      <c r="G21" s="24"/>
      <c r="H21" s="17" t="s">
        <v>96</v>
      </c>
      <c r="I21" s="16">
        <v>2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/>
      <c r="B22" s="16"/>
      <c r="C22" s="16"/>
      <c r="D22" s="16">
        <v>8</v>
      </c>
      <c r="E22" s="16" t="s">
        <v>72</v>
      </c>
      <c r="F22" s="16"/>
      <c r="G22" s="24"/>
      <c r="H22" s="17"/>
      <c r="I22" s="16"/>
      <c r="J22" s="17" t="s">
        <v>89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67</v>
      </c>
      <c r="C23" s="16">
        <v>300</v>
      </c>
      <c r="D23" s="16">
        <v>6</v>
      </c>
      <c r="E23" s="16" t="s">
        <v>72</v>
      </c>
      <c r="F23" s="16" t="s">
        <v>73</v>
      </c>
      <c r="G23" s="24"/>
      <c r="H23" s="17" t="s">
        <v>84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68</v>
      </c>
      <c r="C24" s="16">
        <v>75</v>
      </c>
      <c r="D24" s="16">
        <v>6</v>
      </c>
      <c r="E24" s="16" t="s">
        <v>72</v>
      </c>
      <c r="F24" s="16" t="s">
        <v>77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21</v>
      </c>
      <c r="C25" s="16">
        <v>100</v>
      </c>
      <c r="D25" s="16">
        <v>7</v>
      </c>
      <c r="E25" s="16" t="s">
        <v>65</v>
      </c>
      <c r="F25" s="16" t="s">
        <v>77</v>
      </c>
      <c r="G25" s="24"/>
      <c r="H25" s="17" t="s">
        <v>96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3</v>
      </c>
      <c r="B26" s="16" t="s">
        <v>19</v>
      </c>
      <c r="C26" s="16">
        <v>50</v>
      </c>
      <c r="D26" s="16">
        <v>7</v>
      </c>
      <c r="E26" s="16" t="s">
        <v>65</v>
      </c>
      <c r="F26" s="16" t="s">
        <v>77</v>
      </c>
      <c r="G26" s="24"/>
      <c r="H26" s="17" t="s">
        <v>84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21</v>
      </c>
      <c r="C27" s="16">
        <v>110</v>
      </c>
      <c r="D27" s="16">
        <v>7</v>
      </c>
      <c r="E27" s="16" t="s">
        <v>65</v>
      </c>
      <c r="F27" s="16" t="s">
        <v>77</v>
      </c>
      <c r="G27" s="24"/>
      <c r="H27" s="17" t="s">
        <v>84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30</v>
      </c>
      <c r="B28" s="16" t="s">
        <v>19</v>
      </c>
      <c r="C28" s="16">
        <v>75</v>
      </c>
      <c r="D28" s="16">
        <v>9</v>
      </c>
      <c r="E28" s="16" t="s">
        <v>71</v>
      </c>
      <c r="F28" s="16" t="s">
        <v>77</v>
      </c>
      <c r="G28" s="24"/>
      <c r="H28" s="17" t="s">
        <v>84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20</v>
      </c>
      <c r="B29" s="16" t="s">
        <v>19</v>
      </c>
      <c r="C29" s="16">
        <v>50</v>
      </c>
      <c r="D29" s="16">
        <v>9</v>
      </c>
      <c r="E29" s="16" t="s">
        <v>71</v>
      </c>
      <c r="F29" s="16" t="s">
        <v>77</v>
      </c>
      <c r="G29" s="24"/>
      <c r="H29" s="17" t="s">
        <v>84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19</v>
      </c>
      <c r="C30" s="16">
        <v>50</v>
      </c>
      <c r="D30" s="16">
        <v>9</v>
      </c>
      <c r="E30" s="16" t="s">
        <v>71</v>
      </c>
      <c r="F30" s="16" t="s">
        <v>73</v>
      </c>
      <c r="G30" s="24"/>
      <c r="H30" s="17" t="s">
        <v>84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100</v>
      </c>
      <c r="B31" s="16" t="s">
        <v>85</v>
      </c>
      <c r="C31" s="16">
        <v>200</v>
      </c>
      <c r="D31" s="16">
        <v>9</v>
      </c>
      <c r="E31" s="16" t="s">
        <v>71</v>
      </c>
      <c r="F31" s="16" t="s">
        <v>77</v>
      </c>
      <c r="G31" s="24"/>
      <c r="H31" s="17" t="s">
        <v>96</v>
      </c>
      <c r="I31" s="16">
        <v>2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19</v>
      </c>
      <c r="C32" s="16">
        <v>30</v>
      </c>
      <c r="D32" s="16">
        <v>9</v>
      </c>
      <c r="E32" s="16" t="s">
        <v>71</v>
      </c>
      <c r="F32" s="16" t="s">
        <v>73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71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10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2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2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15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7" t="s">
        <v>98</v>
      </c>
      <c r="E2" s="4"/>
    </row>
    <row r="3" spans="1:14" x14ac:dyDescent="0.3">
      <c r="A3" s="6" t="s">
        <v>2</v>
      </c>
      <c r="B3" s="7">
        <v>218</v>
      </c>
      <c r="E3" s="4"/>
    </row>
    <row r="4" spans="1:14" x14ac:dyDescent="0.3">
      <c r="A4" s="6" t="s">
        <v>3</v>
      </c>
      <c r="B4" s="8">
        <v>42962</v>
      </c>
      <c r="E4" s="4"/>
    </row>
    <row r="5" spans="1:14" x14ac:dyDescent="0.3">
      <c r="A5" s="6" t="s">
        <v>4</v>
      </c>
      <c r="B5" s="7" t="s">
        <v>192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/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67</v>
      </c>
      <c r="C10" s="16">
        <v>210</v>
      </c>
      <c r="D10" s="16">
        <v>1</v>
      </c>
      <c r="E10" s="16" t="s">
        <v>71</v>
      </c>
      <c r="F10" s="16" t="s">
        <v>73</v>
      </c>
      <c r="G10" s="24">
        <v>1430</v>
      </c>
      <c r="H10" s="17" t="s">
        <v>84</v>
      </c>
      <c r="I10" s="16">
        <v>1</v>
      </c>
      <c r="J10" s="17"/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5</v>
      </c>
      <c r="B11" s="16" t="s">
        <v>85</v>
      </c>
      <c r="C11" s="16">
        <v>300</v>
      </c>
      <c r="D11" s="16">
        <v>1</v>
      </c>
      <c r="E11" s="16" t="s">
        <v>71</v>
      </c>
      <c r="F11" s="16" t="s">
        <v>77</v>
      </c>
      <c r="G11" s="24"/>
      <c r="H11" s="17" t="s">
        <v>96</v>
      </c>
      <c r="I11" s="16">
        <v>2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21</v>
      </c>
      <c r="C12" s="16">
        <v>100</v>
      </c>
      <c r="D12" s="16">
        <v>1</v>
      </c>
      <c r="E12" s="16" t="s">
        <v>71</v>
      </c>
      <c r="F12" s="16" t="s">
        <v>77</v>
      </c>
      <c r="G12" s="24"/>
      <c r="H12" s="17" t="s">
        <v>96</v>
      </c>
      <c r="I12" s="16">
        <v>2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67</v>
      </c>
      <c r="C13" s="16">
        <v>300</v>
      </c>
      <c r="D13" s="16">
        <v>1</v>
      </c>
      <c r="E13" s="16" t="s">
        <v>71</v>
      </c>
      <c r="F13" s="16" t="s">
        <v>77</v>
      </c>
      <c r="G13" s="24"/>
      <c r="H13" s="17" t="s">
        <v>84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3</v>
      </c>
      <c r="B14" s="16" t="s">
        <v>21</v>
      </c>
      <c r="C14" s="16">
        <v>100</v>
      </c>
      <c r="D14" s="16">
        <v>1</v>
      </c>
      <c r="E14" s="16" t="s">
        <v>71</v>
      </c>
      <c r="F14" s="16" t="s">
        <v>77</v>
      </c>
      <c r="G14" s="24"/>
      <c r="H14" s="17" t="s">
        <v>96</v>
      </c>
      <c r="I14" s="16">
        <v>2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21</v>
      </c>
      <c r="C15" s="16">
        <v>100</v>
      </c>
      <c r="D15" s="16">
        <v>1</v>
      </c>
      <c r="E15" s="16" t="s">
        <v>71</v>
      </c>
      <c r="F15" s="16" t="s">
        <v>77</v>
      </c>
      <c r="G15" s="24"/>
      <c r="H15" s="17" t="s">
        <v>96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67</v>
      </c>
      <c r="C16" s="16">
        <v>80</v>
      </c>
      <c r="D16" s="16">
        <v>1</v>
      </c>
      <c r="E16" s="16" t="s">
        <v>71</v>
      </c>
      <c r="F16" s="16" t="s">
        <v>77</v>
      </c>
      <c r="G16" s="24"/>
      <c r="H16" s="17" t="s">
        <v>96</v>
      </c>
      <c r="I16" s="16">
        <v>2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67</v>
      </c>
      <c r="C17" s="16">
        <v>90</v>
      </c>
      <c r="D17" s="16">
        <v>1</v>
      </c>
      <c r="E17" s="16" t="s">
        <v>71</v>
      </c>
      <c r="F17" s="16" t="s">
        <v>77</v>
      </c>
      <c r="G17" s="24"/>
      <c r="H17" s="17" t="s">
        <v>96</v>
      </c>
      <c r="I17" s="16">
        <v>2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2</v>
      </c>
      <c r="B18" s="16" t="s">
        <v>21</v>
      </c>
      <c r="C18" s="16">
        <v>90</v>
      </c>
      <c r="D18" s="16">
        <v>2</v>
      </c>
      <c r="E18" s="16" t="s">
        <v>72</v>
      </c>
      <c r="F18" s="16" t="s">
        <v>62</v>
      </c>
      <c r="G18" s="24"/>
      <c r="H18" s="17" t="s">
        <v>96</v>
      </c>
      <c r="I18" s="16">
        <v>2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67</v>
      </c>
      <c r="C19" s="16">
        <v>75</v>
      </c>
      <c r="D19" s="16">
        <v>2</v>
      </c>
      <c r="E19" s="16" t="s">
        <v>72</v>
      </c>
      <c r="F19" s="16" t="s">
        <v>73</v>
      </c>
      <c r="G19" s="24"/>
      <c r="H19" s="17" t="s">
        <v>84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21</v>
      </c>
      <c r="C20" s="16">
        <v>100</v>
      </c>
      <c r="D20" s="16">
        <v>2</v>
      </c>
      <c r="E20" s="16" t="s">
        <v>72</v>
      </c>
      <c r="F20" s="16" t="s">
        <v>77</v>
      </c>
      <c r="G20" s="24"/>
      <c r="H20" s="17" t="s">
        <v>96</v>
      </c>
      <c r="I20" s="16">
        <v>2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67</v>
      </c>
      <c r="C21" s="16">
        <v>110</v>
      </c>
      <c r="D21" s="16">
        <v>3</v>
      </c>
      <c r="E21" s="16" t="s">
        <v>65</v>
      </c>
      <c r="F21" s="16" t="s">
        <v>73</v>
      </c>
      <c r="G21" s="24"/>
      <c r="H21" s="17" t="s">
        <v>96</v>
      </c>
      <c r="I21" s="16">
        <v>2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21</v>
      </c>
      <c r="C22" s="16">
        <v>75</v>
      </c>
      <c r="D22" s="16">
        <v>3</v>
      </c>
      <c r="E22" s="16" t="s">
        <v>65</v>
      </c>
      <c r="F22" s="16" t="s">
        <v>77</v>
      </c>
      <c r="G22" s="24"/>
      <c r="H22" s="17" t="s">
        <v>84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3</v>
      </c>
      <c r="B23" s="16" t="s">
        <v>21</v>
      </c>
      <c r="C23" s="16">
        <v>120</v>
      </c>
      <c r="D23" s="16">
        <v>3</v>
      </c>
      <c r="E23" s="16" t="s">
        <v>65</v>
      </c>
      <c r="F23" s="16" t="s">
        <v>73</v>
      </c>
      <c r="G23" s="24"/>
      <c r="H23" s="17" t="s">
        <v>96</v>
      </c>
      <c r="I23" s="16">
        <v>2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85</v>
      </c>
      <c r="C24" s="16">
        <v>300</v>
      </c>
      <c r="D24" s="16">
        <v>3</v>
      </c>
      <c r="E24" s="16" t="s">
        <v>65</v>
      </c>
      <c r="F24" s="16" t="s">
        <v>77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21</v>
      </c>
      <c r="C25" s="16">
        <v>100</v>
      </c>
      <c r="D25" s="16">
        <v>3</v>
      </c>
      <c r="E25" s="16" t="s">
        <v>65</v>
      </c>
      <c r="F25" s="16" t="s">
        <v>73</v>
      </c>
      <c r="G25" s="24"/>
      <c r="H25" s="17" t="s">
        <v>96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3</v>
      </c>
      <c r="B26" s="16" t="s">
        <v>21</v>
      </c>
      <c r="C26" s="16">
        <v>90</v>
      </c>
      <c r="D26" s="16">
        <v>3</v>
      </c>
      <c r="E26" s="16" t="s">
        <v>65</v>
      </c>
      <c r="F26" s="16" t="s">
        <v>77</v>
      </c>
      <c r="G26" s="24"/>
      <c r="H26" s="17" t="s">
        <v>96</v>
      </c>
      <c r="I26" s="16">
        <v>2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3</v>
      </c>
      <c r="B27" s="16" t="s">
        <v>21</v>
      </c>
      <c r="C27" s="16">
        <v>90</v>
      </c>
      <c r="D27" s="16">
        <v>3</v>
      </c>
      <c r="E27" s="16" t="s">
        <v>65</v>
      </c>
      <c r="F27" s="16" t="s">
        <v>77</v>
      </c>
      <c r="G27" s="24"/>
      <c r="H27" s="17" t="s">
        <v>96</v>
      </c>
      <c r="I27" s="16">
        <v>2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2</v>
      </c>
      <c r="B28" s="16" t="s">
        <v>85</v>
      </c>
      <c r="C28" s="16">
        <v>300</v>
      </c>
      <c r="D28" s="16">
        <v>3</v>
      </c>
      <c r="E28" s="16" t="s">
        <v>65</v>
      </c>
      <c r="F28" s="16" t="s">
        <v>77</v>
      </c>
      <c r="G28" s="24"/>
      <c r="H28" s="17" t="s">
        <v>96</v>
      </c>
      <c r="I28" s="16">
        <v>2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67</v>
      </c>
      <c r="C29" s="16">
        <v>110</v>
      </c>
      <c r="D29" s="16">
        <v>3</v>
      </c>
      <c r="E29" s="16" t="s">
        <v>65</v>
      </c>
      <c r="F29" s="16" t="s">
        <v>77</v>
      </c>
      <c r="G29" s="24"/>
      <c r="H29" s="17" t="s">
        <v>84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21</v>
      </c>
      <c r="C30" s="16">
        <v>120</v>
      </c>
      <c r="D30" s="16">
        <v>3</v>
      </c>
      <c r="E30" s="16" t="s">
        <v>65</v>
      </c>
      <c r="F30" s="16" t="s">
        <v>77</v>
      </c>
      <c r="G30" s="24"/>
      <c r="H30" s="17" t="s">
        <v>96</v>
      </c>
      <c r="I30" s="16">
        <v>2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68</v>
      </c>
      <c r="C31" s="16">
        <v>50</v>
      </c>
      <c r="D31" s="16">
        <v>4</v>
      </c>
      <c r="E31" s="16" t="s">
        <v>71</v>
      </c>
      <c r="F31" s="16" t="s">
        <v>77</v>
      </c>
      <c r="G31" s="24"/>
      <c r="H31" s="17" t="s">
        <v>84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21</v>
      </c>
      <c r="C32" s="16">
        <v>75</v>
      </c>
      <c r="D32" s="16">
        <v>4</v>
      </c>
      <c r="E32" s="16" t="s">
        <v>71</v>
      </c>
      <c r="F32" s="16" t="s">
        <v>77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21</v>
      </c>
      <c r="C33" s="16">
        <v>110</v>
      </c>
      <c r="D33" s="16">
        <v>4</v>
      </c>
      <c r="E33" s="16" t="s">
        <v>71</v>
      </c>
      <c r="F33" s="16" t="s">
        <v>77</v>
      </c>
      <c r="G33" s="24"/>
      <c r="H33" s="17" t="s">
        <v>84</v>
      </c>
      <c r="I33" s="16">
        <v>1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2</v>
      </c>
      <c r="B34" s="16" t="s">
        <v>21</v>
      </c>
      <c r="C34" s="16">
        <v>75</v>
      </c>
      <c r="D34" s="16">
        <v>4</v>
      </c>
      <c r="E34" s="16" t="s">
        <v>71</v>
      </c>
      <c r="F34" s="16" t="s">
        <v>77</v>
      </c>
      <c r="G34" s="24"/>
      <c r="H34" s="17" t="s">
        <v>84</v>
      </c>
      <c r="I34" s="16">
        <v>1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21</v>
      </c>
      <c r="C35" s="16">
        <v>300</v>
      </c>
      <c r="D35" s="16">
        <v>4</v>
      </c>
      <c r="E35" s="16" t="s">
        <v>71</v>
      </c>
      <c r="F35" s="16" t="s">
        <v>77</v>
      </c>
      <c r="G35" s="24"/>
      <c r="H35" s="17" t="s">
        <v>84</v>
      </c>
      <c r="I35" s="16">
        <v>1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21</v>
      </c>
      <c r="C36" s="16">
        <v>210</v>
      </c>
      <c r="D36" s="16">
        <v>4</v>
      </c>
      <c r="E36" s="16" t="s">
        <v>71</v>
      </c>
      <c r="F36" s="16" t="s">
        <v>77</v>
      </c>
      <c r="G36" s="24"/>
      <c r="H36" s="17" t="s">
        <v>84</v>
      </c>
      <c r="I36" s="16">
        <v>1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7</v>
      </c>
      <c r="B37" s="16" t="s">
        <v>21</v>
      </c>
      <c r="C37" s="16">
        <v>120</v>
      </c>
      <c r="D37" s="16">
        <v>4</v>
      </c>
      <c r="E37" s="16" t="s">
        <v>71</v>
      </c>
      <c r="F37" s="16" t="s">
        <v>77</v>
      </c>
      <c r="G37" s="24"/>
      <c r="H37" s="17" t="s">
        <v>96</v>
      </c>
      <c r="I37" s="16">
        <v>2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2</v>
      </c>
      <c r="B38" s="16" t="s">
        <v>21</v>
      </c>
      <c r="C38" s="16">
        <v>130</v>
      </c>
      <c r="D38" s="16">
        <v>4</v>
      </c>
      <c r="E38" s="16" t="s">
        <v>71</v>
      </c>
      <c r="F38" s="16" t="s">
        <v>77</v>
      </c>
      <c r="G38" s="24"/>
      <c r="H38" s="17" t="s">
        <v>96</v>
      </c>
      <c r="I38" s="16">
        <v>2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1</v>
      </c>
      <c r="B39" s="16" t="s">
        <v>85</v>
      </c>
      <c r="C39" s="16">
        <v>300</v>
      </c>
      <c r="D39" s="16">
        <v>4</v>
      </c>
      <c r="E39" s="16" t="s">
        <v>71</v>
      </c>
      <c r="F39" s="16" t="s">
        <v>77</v>
      </c>
      <c r="G39" s="24"/>
      <c r="H39" s="17" t="s">
        <v>96</v>
      </c>
      <c r="I39" s="16">
        <v>2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1</v>
      </c>
      <c r="B40" s="16" t="s">
        <v>21</v>
      </c>
      <c r="C40" s="16">
        <v>110</v>
      </c>
      <c r="D40" s="16">
        <v>4</v>
      </c>
      <c r="E40" s="16" t="s">
        <v>71</v>
      </c>
      <c r="F40" s="16" t="s">
        <v>77</v>
      </c>
      <c r="G40" s="24"/>
      <c r="H40" s="17" t="s">
        <v>84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2</v>
      </c>
      <c r="B41" s="16" t="s">
        <v>21</v>
      </c>
      <c r="C41" s="16">
        <v>35</v>
      </c>
      <c r="D41" s="16">
        <v>4</v>
      </c>
      <c r="E41" s="16" t="s">
        <v>71</v>
      </c>
      <c r="F41" s="16" t="s">
        <v>77</v>
      </c>
      <c r="G41" s="24"/>
      <c r="H41" s="17" t="s">
        <v>84</v>
      </c>
      <c r="I41" s="16">
        <v>1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4</v>
      </c>
      <c r="B42" s="16" t="s">
        <v>21</v>
      </c>
      <c r="C42" s="16">
        <v>110</v>
      </c>
      <c r="D42" s="16">
        <v>4</v>
      </c>
      <c r="E42" s="16" t="s">
        <v>71</v>
      </c>
      <c r="F42" s="16" t="s">
        <v>77</v>
      </c>
      <c r="G42" s="24"/>
      <c r="H42" s="17" t="s">
        <v>84</v>
      </c>
      <c r="I42" s="16">
        <v>1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21</v>
      </c>
      <c r="C43" s="16">
        <v>300</v>
      </c>
      <c r="D43" s="16">
        <v>4</v>
      </c>
      <c r="E43" s="16" t="s">
        <v>71</v>
      </c>
      <c r="F43" s="16" t="s">
        <v>73</v>
      </c>
      <c r="G43" s="24"/>
      <c r="H43" s="17" t="s">
        <v>84</v>
      </c>
      <c r="I43" s="16">
        <v>1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4</v>
      </c>
      <c r="B44" s="16" t="s">
        <v>21</v>
      </c>
      <c r="C44" s="16">
        <v>90</v>
      </c>
      <c r="D44" s="16">
        <v>5</v>
      </c>
      <c r="E44" s="16" t="s">
        <v>72</v>
      </c>
      <c r="F44" s="16" t="s">
        <v>77</v>
      </c>
      <c r="G44" s="24"/>
      <c r="H44" s="17" t="s">
        <v>96</v>
      </c>
      <c r="I44" s="16">
        <v>2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3</v>
      </c>
      <c r="B45" s="16" t="s">
        <v>21</v>
      </c>
      <c r="C45" s="16">
        <v>120</v>
      </c>
      <c r="D45" s="16">
        <v>5</v>
      </c>
      <c r="E45" s="16" t="s">
        <v>72</v>
      </c>
      <c r="F45" s="16" t="s">
        <v>77</v>
      </c>
      <c r="G45" s="24"/>
      <c r="H45" s="17" t="s">
        <v>96</v>
      </c>
      <c r="I45" s="16">
        <v>2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1</v>
      </c>
      <c r="B46" s="16" t="s">
        <v>21</v>
      </c>
      <c r="C46" s="16">
        <v>160</v>
      </c>
      <c r="D46" s="16">
        <v>5</v>
      </c>
      <c r="E46" s="16" t="s">
        <v>72</v>
      </c>
      <c r="F46" s="16" t="s">
        <v>77</v>
      </c>
      <c r="G46" s="24"/>
      <c r="H46" s="17" t="s">
        <v>96</v>
      </c>
      <c r="I46" s="16">
        <v>2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68</v>
      </c>
      <c r="C47" s="16">
        <v>40</v>
      </c>
      <c r="D47" s="16">
        <v>6</v>
      </c>
      <c r="E47" s="16" t="s">
        <v>65</v>
      </c>
      <c r="F47" s="16" t="s">
        <v>77</v>
      </c>
      <c r="G47" s="24"/>
      <c r="H47" s="17" t="s">
        <v>99</v>
      </c>
      <c r="I47" s="16">
        <v>2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67</v>
      </c>
      <c r="C48" s="16">
        <v>75</v>
      </c>
      <c r="D48" s="16">
        <v>6</v>
      </c>
      <c r="E48" s="16" t="s">
        <v>65</v>
      </c>
      <c r="F48" s="16" t="s">
        <v>77</v>
      </c>
      <c r="G48" s="24"/>
      <c r="H48" s="17" t="s">
        <v>84</v>
      </c>
      <c r="I48" s="16">
        <v>1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21</v>
      </c>
      <c r="C49" s="16">
        <v>110</v>
      </c>
      <c r="D49" s="16">
        <v>6</v>
      </c>
      <c r="E49" s="16" t="s">
        <v>65</v>
      </c>
      <c r="F49" s="16" t="s">
        <v>73</v>
      </c>
      <c r="G49" s="24"/>
      <c r="H49" s="17" t="s">
        <v>84</v>
      </c>
      <c r="I49" s="16">
        <v>1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68</v>
      </c>
      <c r="C50" s="16">
        <v>30</v>
      </c>
      <c r="D50" s="16">
        <v>6</v>
      </c>
      <c r="E50" s="16" t="s">
        <v>65</v>
      </c>
      <c r="F50" s="16" t="s">
        <v>77</v>
      </c>
      <c r="G50" s="24"/>
      <c r="H50" s="17" t="s">
        <v>99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2</v>
      </c>
      <c r="B51" s="16" t="s">
        <v>21</v>
      </c>
      <c r="C51" s="16">
        <v>110</v>
      </c>
      <c r="D51" s="16">
        <v>7</v>
      </c>
      <c r="E51" s="16" t="s">
        <v>71</v>
      </c>
      <c r="F51" s="16" t="s">
        <v>77</v>
      </c>
      <c r="G51" s="24"/>
      <c r="H51" s="17" t="s">
        <v>84</v>
      </c>
      <c r="I51" s="16">
        <v>1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3</v>
      </c>
      <c r="B52" s="16" t="s">
        <v>21</v>
      </c>
      <c r="C52" s="16">
        <v>210</v>
      </c>
      <c r="D52" s="16">
        <v>7</v>
      </c>
      <c r="E52" s="16" t="s">
        <v>71</v>
      </c>
      <c r="F52" s="16" t="s">
        <v>77</v>
      </c>
      <c r="G52" s="24"/>
      <c r="H52" s="17" t="s">
        <v>84</v>
      </c>
      <c r="I52" s="16">
        <v>1</v>
      </c>
      <c r="J52" s="17"/>
      <c r="L52" s="19">
        <f>SUM(L10:L51)</f>
        <v>0</v>
      </c>
      <c r="M52" s="19"/>
      <c r="N52" s="19"/>
    </row>
    <row r="53" spans="1:14" s="18" customFormat="1" x14ac:dyDescent="0.3">
      <c r="A53" s="16">
        <v>2</v>
      </c>
      <c r="B53" s="16" t="s">
        <v>21</v>
      </c>
      <c r="C53" s="16">
        <v>160</v>
      </c>
      <c r="D53" s="16">
        <v>7</v>
      </c>
      <c r="E53" s="16" t="s">
        <v>71</v>
      </c>
      <c r="F53" s="16" t="s">
        <v>77</v>
      </c>
      <c r="G53" s="24"/>
      <c r="H53" s="17" t="s">
        <v>96</v>
      </c>
      <c r="I53" s="16">
        <v>2</v>
      </c>
      <c r="J53" s="17"/>
      <c r="L53" s="19"/>
      <c r="M53" s="19"/>
      <c r="N53" s="19"/>
    </row>
    <row r="54" spans="1:14" s="18" customFormat="1" x14ac:dyDescent="0.3">
      <c r="A54" s="16">
        <v>4</v>
      </c>
      <c r="B54" s="16" t="s">
        <v>21</v>
      </c>
      <c r="C54" s="16">
        <v>120</v>
      </c>
      <c r="D54" s="16">
        <v>7</v>
      </c>
      <c r="E54" s="16" t="s">
        <v>71</v>
      </c>
      <c r="F54" s="16" t="s">
        <v>77</v>
      </c>
      <c r="G54" s="24"/>
      <c r="H54" s="17" t="s">
        <v>96</v>
      </c>
      <c r="I54" s="16">
        <v>2</v>
      </c>
      <c r="J54" s="17"/>
      <c r="L54" s="19">
        <f>SUMIFS($A$10:$A$400,$B$10:$B$400,"RT",$D$10:$D$400,"1")</f>
        <v>5</v>
      </c>
      <c r="M54" s="19" t="s">
        <v>21</v>
      </c>
      <c r="N54" s="19" t="s">
        <v>18</v>
      </c>
    </row>
    <row r="55" spans="1:14" s="18" customFormat="1" x14ac:dyDescent="0.3">
      <c r="A55" s="16">
        <v>8</v>
      </c>
      <c r="B55" s="16" t="s">
        <v>21</v>
      </c>
      <c r="C55" s="16">
        <v>90</v>
      </c>
      <c r="D55" s="16">
        <v>7</v>
      </c>
      <c r="E55" s="16" t="s">
        <v>71</v>
      </c>
      <c r="F55" s="16" t="s">
        <v>77</v>
      </c>
      <c r="G55" s="24"/>
      <c r="H55" s="17" t="s">
        <v>96</v>
      </c>
      <c r="I55" s="16">
        <v>2</v>
      </c>
      <c r="J55" s="17"/>
      <c r="L55" s="19">
        <f>SUMIFS($A$10:$A$400,$B$10:$B$400,"RT",$D$10:$D$400,"2")</f>
        <v>3</v>
      </c>
      <c r="M55" s="19" t="s">
        <v>21</v>
      </c>
      <c r="N55" s="19" t="s">
        <v>22</v>
      </c>
    </row>
    <row r="56" spans="1:14" s="18" customFormat="1" x14ac:dyDescent="0.3">
      <c r="A56" s="16">
        <v>2</v>
      </c>
      <c r="B56" s="16" t="s">
        <v>85</v>
      </c>
      <c r="C56" s="16">
        <v>180</v>
      </c>
      <c r="D56" s="16">
        <v>7</v>
      </c>
      <c r="E56" s="16" t="s">
        <v>71</v>
      </c>
      <c r="F56" s="16" t="s">
        <v>77</v>
      </c>
      <c r="G56" s="24"/>
      <c r="H56" s="17" t="s">
        <v>96</v>
      </c>
      <c r="I56" s="16">
        <v>2</v>
      </c>
      <c r="J56" s="17"/>
      <c r="L56" s="19">
        <f>SUMIFS($A$10:$A$400,$B$10:$B$400,"RT",$D$10:$D$400,"3")</f>
        <v>12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64</v>
      </c>
      <c r="C57" s="16">
        <v>100</v>
      </c>
      <c r="D57" s="16">
        <v>7</v>
      </c>
      <c r="E57" s="16" t="s">
        <v>71</v>
      </c>
      <c r="F57" s="16" t="s">
        <v>77</v>
      </c>
      <c r="G57" s="24"/>
      <c r="H57" s="17" t="s">
        <v>96</v>
      </c>
      <c r="I57" s="16">
        <v>2</v>
      </c>
      <c r="J57" s="17"/>
      <c r="L57" s="19">
        <f>SUMIFS($A$10:$A$400,$B$10:$B$400,"RT",$D$10:$D$400,"4")</f>
        <v>23</v>
      </c>
      <c r="M57" s="19" t="s">
        <v>21</v>
      </c>
      <c r="N57" s="19" t="s">
        <v>26</v>
      </c>
    </row>
    <row r="58" spans="1:14" s="18" customFormat="1" x14ac:dyDescent="0.3">
      <c r="A58" s="16">
        <v>3</v>
      </c>
      <c r="B58" s="16" t="s">
        <v>21</v>
      </c>
      <c r="C58" s="16">
        <v>100</v>
      </c>
      <c r="D58" s="16">
        <v>7</v>
      </c>
      <c r="E58" s="16" t="s">
        <v>71</v>
      </c>
      <c r="F58" s="16" t="s">
        <v>77</v>
      </c>
      <c r="G58" s="24"/>
      <c r="H58" s="17" t="s">
        <v>96</v>
      </c>
      <c r="I58" s="16">
        <v>2</v>
      </c>
      <c r="J58" s="17"/>
      <c r="L58" s="19">
        <f>SUMIFS($A$10:$A$400,$B$10:$B$400,"RT",$D$10:$D$400,"5")</f>
        <v>8</v>
      </c>
      <c r="M58" s="19" t="s">
        <v>21</v>
      </c>
      <c r="N58" s="19" t="s">
        <v>27</v>
      </c>
    </row>
    <row r="59" spans="1:14" s="18" customFormat="1" x14ac:dyDescent="0.3">
      <c r="A59" s="16">
        <v>1</v>
      </c>
      <c r="B59" s="16" t="s">
        <v>85</v>
      </c>
      <c r="C59" s="16">
        <v>300</v>
      </c>
      <c r="D59" s="16">
        <v>7</v>
      </c>
      <c r="E59" s="16" t="s">
        <v>71</v>
      </c>
      <c r="F59" s="16" t="s">
        <v>77</v>
      </c>
      <c r="G59" s="24"/>
      <c r="H59" s="17" t="s">
        <v>96</v>
      </c>
      <c r="I59" s="16">
        <v>2</v>
      </c>
      <c r="J59" s="17"/>
      <c r="L59" s="19">
        <f>SUMIFS($A$10:$A$400,$B$10:$B$400,"RT",$D$10:$D$400,"6")</f>
        <v>1</v>
      </c>
      <c r="M59" s="19" t="s">
        <v>21</v>
      </c>
      <c r="N59" s="19" t="s">
        <v>28</v>
      </c>
    </row>
    <row r="60" spans="1:14" s="18" customFormat="1" x14ac:dyDescent="0.3">
      <c r="A60" s="16">
        <v>2</v>
      </c>
      <c r="B60" s="16" t="s">
        <v>67</v>
      </c>
      <c r="C60" s="16">
        <v>110</v>
      </c>
      <c r="D60" s="16">
        <v>8</v>
      </c>
      <c r="E60" s="16" t="s">
        <v>72</v>
      </c>
      <c r="F60" s="16" t="s">
        <v>77</v>
      </c>
      <c r="G60" s="24"/>
      <c r="H60" s="17" t="s">
        <v>84</v>
      </c>
      <c r="I60" s="16">
        <v>1</v>
      </c>
      <c r="J60" s="17"/>
      <c r="L60" s="19">
        <f>SUMIFS($A$10:$A$400,$B$10:$B$400,"RT",$D$10:$D$400,"7")</f>
        <v>22</v>
      </c>
      <c r="M60" s="19" t="s">
        <v>21</v>
      </c>
      <c r="N60" s="19" t="s">
        <v>29</v>
      </c>
    </row>
    <row r="61" spans="1:14" s="18" customFormat="1" x14ac:dyDescent="0.3">
      <c r="A61" s="16">
        <v>4</v>
      </c>
      <c r="B61" s="16" t="s">
        <v>21</v>
      </c>
      <c r="C61" s="16">
        <v>80</v>
      </c>
      <c r="D61" s="16">
        <v>9</v>
      </c>
      <c r="E61" s="16" t="s">
        <v>71</v>
      </c>
      <c r="F61" s="16" t="s">
        <v>77</v>
      </c>
      <c r="G61" s="24"/>
      <c r="H61" s="17" t="s">
        <v>99</v>
      </c>
      <c r="I61" s="16">
        <v>1</v>
      </c>
      <c r="J61" s="17"/>
      <c r="L61" s="19">
        <f>SUMIFS($A$10:$A$400,$B$10:$B$400,"RT",$D$10:$D$400,"8")</f>
        <v>2</v>
      </c>
      <c r="M61" s="19" t="s">
        <v>21</v>
      </c>
      <c r="N61" s="19" t="s">
        <v>30</v>
      </c>
    </row>
    <row r="62" spans="1:14" s="18" customFormat="1" x14ac:dyDescent="0.3">
      <c r="A62" s="16">
        <v>3</v>
      </c>
      <c r="B62" s="16" t="s">
        <v>21</v>
      </c>
      <c r="C62" s="16">
        <v>120</v>
      </c>
      <c r="D62" s="16">
        <v>9</v>
      </c>
      <c r="E62" s="16" t="s">
        <v>71</v>
      </c>
      <c r="F62" s="16" t="s">
        <v>77</v>
      </c>
      <c r="G62" s="24"/>
      <c r="H62" s="17" t="s">
        <v>99</v>
      </c>
      <c r="I62" s="16">
        <v>1</v>
      </c>
      <c r="J62" s="17"/>
      <c r="L62" s="19">
        <f>SUMIFS($A$10:$A$400,$B$10:$B$400,"RT",$D$10:$D$400,"9")</f>
        <v>7</v>
      </c>
      <c r="M62" s="19" t="s">
        <v>21</v>
      </c>
      <c r="N62" s="19" t="s">
        <v>31</v>
      </c>
    </row>
    <row r="63" spans="1:14" s="18" customFormat="1" x14ac:dyDescent="0.3">
      <c r="A63" s="16">
        <v>1</v>
      </c>
      <c r="B63" s="16" t="s">
        <v>21</v>
      </c>
      <c r="C63" s="16">
        <v>110</v>
      </c>
      <c r="D63" s="16">
        <v>8</v>
      </c>
      <c r="E63" s="16" t="s">
        <v>72</v>
      </c>
      <c r="F63" s="16" t="s">
        <v>73</v>
      </c>
      <c r="G63" s="24"/>
      <c r="H63" s="17" t="s">
        <v>84</v>
      </c>
      <c r="I63" s="16">
        <v>1</v>
      </c>
      <c r="J63" s="17"/>
      <c r="L63" s="19">
        <f>SUMIFS($A$10:$A$400,$B$10:$B$400,"RT",$D$10:$D$400,"10")</f>
        <v>15</v>
      </c>
      <c r="M63" s="19" t="s">
        <v>21</v>
      </c>
      <c r="N63" s="19" t="s">
        <v>20</v>
      </c>
    </row>
    <row r="64" spans="1:14" s="18" customFormat="1" x14ac:dyDescent="0.3">
      <c r="A64" s="16">
        <v>1</v>
      </c>
      <c r="B64" s="16" t="s">
        <v>21</v>
      </c>
      <c r="C64" s="16">
        <v>25</v>
      </c>
      <c r="D64" s="16">
        <v>8</v>
      </c>
      <c r="E64" s="16" t="s">
        <v>72</v>
      </c>
      <c r="F64" s="16" t="s">
        <v>73</v>
      </c>
      <c r="G64" s="24"/>
      <c r="H64" s="17" t="s">
        <v>84</v>
      </c>
      <c r="I64" s="16">
        <v>1</v>
      </c>
      <c r="J64" s="17"/>
      <c r="L64" s="19">
        <f>SUMIFS($A$10:$A$400,$B$10:$B$400,"RT",$D$10:$D$400,"11")</f>
        <v>9</v>
      </c>
      <c r="M64" s="19" t="s">
        <v>21</v>
      </c>
      <c r="N64" s="19" t="s">
        <v>23</v>
      </c>
    </row>
    <row r="65" spans="1:14" s="18" customFormat="1" x14ac:dyDescent="0.3">
      <c r="A65" s="16">
        <v>5</v>
      </c>
      <c r="B65" s="16" t="s">
        <v>21</v>
      </c>
      <c r="C65" s="16">
        <v>90</v>
      </c>
      <c r="D65" s="16">
        <v>10</v>
      </c>
      <c r="E65" s="16" t="s">
        <v>100</v>
      </c>
      <c r="F65" s="16" t="s">
        <v>77</v>
      </c>
      <c r="G65" s="24"/>
      <c r="H65" s="17" t="s">
        <v>96</v>
      </c>
      <c r="I65" s="16">
        <v>1</v>
      </c>
      <c r="J65" s="17" t="s">
        <v>101</v>
      </c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>
        <v>2</v>
      </c>
      <c r="B66" s="16" t="s">
        <v>21</v>
      </c>
      <c r="C66" s="16">
        <v>130</v>
      </c>
      <c r="D66" s="16">
        <v>10</v>
      </c>
      <c r="E66" s="16" t="s">
        <v>100</v>
      </c>
      <c r="F66" s="16" t="s">
        <v>77</v>
      </c>
      <c r="G66" s="24"/>
      <c r="H66" s="17" t="s">
        <v>96</v>
      </c>
      <c r="I66" s="16">
        <v>1</v>
      </c>
      <c r="J66" s="17" t="s">
        <v>101</v>
      </c>
      <c r="L66" s="19">
        <f>SUMIFS($A$10:$A$400,$B$10:$B$400,"RT",$D$10:$D$400,"13")</f>
        <v>19</v>
      </c>
      <c r="M66" s="19" t="s">
        <v>21</v>
      </c>
      <c r="N66" s="19" t="s">
        <v>33</v>
      </c>
    </row>
    <row r="67" spans="1:14" s="18" customFormat="1" x14ac:dyDescent="0.3">
      <c r="A67" s="16">
        <v>2</v>
      </c>
      <c r="B67" s="16" t="s">
        <v>21</v>
      </c>
      <c r="C67" s="16">
        <v>80</v>
      </c>
      <c r="D67" s="16">
        <v>10</v>
      </c>
      <c r="E67" s="16" t="s">
        <v>100</v>
      </c>
      <c r="F67" s="16" t="s">
        <v>77</v>
      </c>
      <c r="G67" s="24"/>
      <c r="H67" s="17" t="s">
        <v>96</v>
      </c>
      <c r="I67" s="16">
        <v>1</v>
      </c>
      <c r="J67" s="17" t="s">
        <v>101</v>
      </c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2</v>
      </c>
      <c r="B68" s="16" t="s">
        <v>21</v>
      </c>
      <c r="C68" s="16">
        <v>90</v>
      </c>
      <c r="D68" s="16">
        <v>10</v>
      </c>
      <c r="E68" s="16" t="s">
        <v>100</v>
      </c>
      <c r="F68" s="16" t="s">
        <v>77</v>
      </c>
      <c r="G68" s="24"/>
      <c r="H68" s="17" t="s">
        <v>96</v>
      </c>
      <c r="I68" s="16">
        <v>1</v>
      </c>
      <c r="J68" s="17" t="s">
        <v>101</v>
      </c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>
        <v>2</v>
      </c>
      <c r="B69" s="16" t="s">
        <v>21</v>
      </c>
      <c r="C69" s="16">
        <v>120</v>
      </c>
      <c r="D69" s="16">
        <v>10</v>
      </c>
      <c r="E69" s="16" t="s">
        <v>100</v>
      </c>
      <c r="F69" s="16" t="s">
        <v>77</v>
      </c>
      <c r="G69" s="24"/>
      <c r="H69" s="17" t="s">
        <v>96</v>
      </c>
      <c r="I69" s="16">
        <v>1</v>
      </c>
      <c r="J69" s="17" t="s">
        <v>101</v>
      </c>
      <c r="L69" s="19">
        <f>SUMIFS($A$10:$A$400,$B$10:$B$400,"RT",$D$10:$D$400,"16")</f>
        <v>3</v>
      </c>
      <c r="M69" s="19" t="s">
        <v>21</v>
      </c>
      <c r="N69" s="19" t="s">
        <v>36</v>
      </c>
    </row>
    <row r="70" spans="1:14" s="18" customFormat="1" x14ac:dyDescent="0.3">
      <c r="A70" s="16">
        <v>2</v>
      </c>
      <c r="B70" s="16" t="s">
        <v>21</v>
      </c>
      <c r="C70" s="16">
        <v>50</v>
      </c>
      <c r="D70" s="16">
        <v>10</v>
      </c>
      <c r="E70" s="16" t="s">
        <v>100</v>
      </c>
      <c r="F70" s="16" t="s">
        <v>77</v>
      </c>
      <c r="G70" s="24"/>
      <c r="H70" s="17" t="s">
        <v>96</v>
      </c>
      <c r="I70" s="16">
        <v>1</v>
      </c>
      <c r="J70" s="17" t="s">
        <v>101</v>
      </c>
      <c r="L70" s="19">
        <f>SUMIFS($A$10:$A$400,$B$10:$B$400,"RT",$D$10:$D$400,"17")</f>
        <v>6</v>
      </c>
      <c r="M70" s="19" t="s">
        <v>21</v>
      </c>
      <c r="N70" s="19" t="s">
        <v>37</v>
      </c>
    </row>
    <row r="71" spans="1:14" s="18" customFormat="1" x14ac:dyDescent="0.3">
      <c r="A71" s="16">
        <v>3</v>
      </c>
      <c r="B71" s="16" t="s">
        <v>21</v>
      </c>
      <c r="C71" s="16">
        <v>75</v>
      </c>
      <c r="D71" s="16">
        <v>11</v>
      </c>
      <c r="E71" s="16" t="s">
        <v>71</v>
      </c>
      <c r="F71" s="16" t="s">
        <v>62</v>
      </c>
      <c r="G71" s="24"/>
      <c r="H71" s="17" t="s">
        <v>99</v>
      </c>
      <c r="I71" s="16">
        <v>1</v>
      </c>
      <c r="J71" s="17"/>
      <c r="L71" s="19">
        <f>SUMIFS($A$10:$A$400,$B$10:$B$400,"RT",$D$10:$D$400,"18")</f>
        <v>2</v>
      </c>
      <c r="M71" s="19" t="s">
        <v>21</v>
      </c>
      <c r="N71" s="19" t="s">
        <v>38</v>
      </c>
    </row>
    <row r="72" spans="1:14" s="18" customFormat="1" x14ac:dyDescent="0.3">
      <c r="A72" s="16">
        <v>4</v>
      </c>
      <c r="B72" s="16" t="s">
        <v>21</v>
      </c>
      <c r="C72" s="16">
        <v>120</v>
      </c>
      <c r="D72" s="16">
        <v>11</v>
      </c>
      <c r="E72" s="16" t="s">
        <v>71</v>
      </c>
      <c r="F72" s="16" t="s">
        <v>62</v>
      </c>
      <c r="G72" s="24"/>
      <c r="H72" s="17" t="s">
        <v>99</v>
      </c>
      <c r="I72" s="16">
        <v>1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2</v>
      </c>
      <c r="B73" s="16" t="s">
        <v>21</v>
      </c>
      <c r="C73" s="16">
        <v>220</v>
      </c>
      <c r="D73" s="16">
        <v>11</v>
      </c>
      <c r="E73" s="16" t="s">
        <v>71</v>
      </c>
      <c r="F73" s="16" t="s">
        <v>62</v>
      </c>
      <c r="G73" s="24"/>
      <c r="H73" s="17" t="s">
        <v>99</v>
      </c>
      <c r="I73" s="16">
        <v>1</v>
      </c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>
        <v>12</v>
      </c>
      <c r="E74" s="16" t="s">
        <v>71</v>
      </c>
      <c r="F74" s="16"/>
      <c r="G74" s="24"/>
      <c r="H74" s="17"/>
      <c r="I74" s="16"/>
      <c r="J74" s="17" t="s">
        <v>89</v>
      </c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>
        <v>5</v>
      </c>
      <c r="B75" s="16" t="s">
        <v>21</v>
      </c>
      <c r="C75" s="16">
        <v>100</v>
      </c>
      <c r="D75" s="16">
        <v>13</v>
      </c>
      <c r="E75" s="16" t="s">
        <v>65</v>
      </c>
      <c r="F75" s="16" t="s">
        <v>77</v>
      </c>
      <c r="G75" s="24"/>
      <c r="H75" s="17" t="s">
        <v>96</v>
      </c>
      <c r="I75" s="16">
        <v>2</v>
      </c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>
        <v>1</v>
      </c>
      <c r="B76" s="16" t="s">
        <v>21</v>
      </c>
      <c r="C76" s="16">
        <v>110</v>
      </c>
      <c r="D76" s="16">
        <v>13</v>
      </c>
      <c r="E76" s="16" t="s">
        <v>65</v>
      </c>
      <c r="F76" s="16" t="s">
        <v>77</v>
      </c>
      <c r="G76" s="24"/>
      <c r="H76" s="17" t="s">
        <v>96</v>
      </c>
      <c r="I76" s="16">
        <v>2</v>
      </c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3</v>
      </c>
      <c r="B77" s="16" t="s">
        <v>21</v>
      </c>
      <c r="C77" s="16">
        <v>90</v>
      </c>
      <c r="D77" s="16">
        <v>13</v>
      </c>
      <c r="E77" s="16" t="s">
        <v>65</v>
      </c>
      <c r="F77" s="16" t="s">
        <v>77</v>
      </c>
      <c r="G77" s="24"/>
      <c r="H77" s="17" t="s">
        <v>96</v>
      </c>
      <c r="I77" s="16">
        <v>2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1</v>
      </c>
      <c r="B78" s="16" t="s">
        <v>21</v>
      </c>
      <c r="C78" s="16">
        <v>90</v>
      </c>
      <c r="D78" s="16">
        <v>13</v>
      </c>
      <c r="E78" s="16" t="s">
        <v>65</v>
      </c>
      <c r="F78" s="16" t="s">
        <v>77</v>
      </c>
      <c r="G78" s="24"/>
      <c r="H78" s="17" t="s">
        <v>96</v>
      </c>
      <c r="I78" s="16">
        <v>2</v>
      </c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1</v>
      </c>
      <c r="B79" s="16" t="s">
        <v>21</v>
      </c>
      <c r="C79" s="16">
        <v>75</v>
      </c>
      <c r="D79" s="16">
        <v>13</v>
      </c>
      <c r="E79" s="16" t="s">
        <v>65</v>
      </c>
      <c r="F79" s="16" t="s">
        <v>73</v>
      </c>
      <c r="G79" s="24"/>
      <c r="H79" s="17" t="s">
        <v>96</v>
      </c>
      <c r="I79" s="16">
        <v>1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>
        <v>1</v>
      </c>
      <c r="B80" s="16" t="s">
        <v>21</v>
      </c>
      <c r="C80" s="16">
        <v>90</v>
      </c>
      <c r="D80" s="16">
        <v>13</v>
      </c>
      <c r="E80" s="16" t="s">
        <v>65</v>
      </c>
      <c r="F80" s="16" t="s">
        <v>73</v>
      </c>
      <c r="G80" s="24"/>
      <c r="H80" s="17" t="s">
        <v>96</v>
      </c>
      <c r="I80" s="16">
        <v>2</v>
      </c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>
        <v>1</v>
      </c>
      <c r="B81" s="16" t="s">
        <v>21</v>
      </c>
      <c r="C81" s="16">
        <v>100</v>
      </c>
      <c r="D81" s="16">
        <v>13</v>
      </c>
      <c r="E81" s="16" t="s">
        <v>65</v>
      </c>
      <c r="F81" s="16" t="s">
        <v>73</v>
      </c>
      <c r="G81" s="24"/>
      <c r="H81" s="17" t="s">
        <v>96</v>
      </c>
      <c r="I81" s="16">
        <v>2</v>
      </c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>
        <v>1</v>
      </c>
      <c r="B82" s="16" t="s">
        <v>67</v>
      </c>
      <c r="C82" s="16">
        <v>100</v>
      </c>
      <c r="D82" s="16">
        <v>13</v>
      </c>
      <c r="E82" s="16" t="s">
        <v>65</v>
      </c>
      <c r="F82" s="16" t="s">
        <v>73</v>
      </c>
      <c r="G82" s="24"/>
      <c r="H82" s="17" t="s">
        <v>96</v>
      </c>
      <c r="I82" s="16">
        <v>2</v>
      </c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>
        <v>5</v>
      </c>
      <c r="B83" s="16" t="s">
        <v>21</v>
      </c>
      <c r="C83" s="16">
        <v>100</v>
      </c>
      <c r="D83" s="16">
        <v>13</v>
      </c>
      <c r="E83" s="16" t="s">
        <v>65</v>
      </c>
      <c r="F83" s="16" t="s">
        <v>73</v>
      </c>
      <c r="G83" s="24"/>
      <c r="H83" s="17" t="s">
        <v>96</v>
      </c>
      <c r="I83" s="16">
        <v>2</v>
      </c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>
        <v>1</v>
      </c>
      <c r="B84" s="16" t="s">
        <v>21</v>
      </c>
      <c r="C84" s="16">
        <v>130</v>
      </c>
      <c r="D84" s="16">
        <v>13</v>
      </c>
      <c r="E84" s="16" t="s">
        <v>65</v>
      </c>
      <c r="F84" s="16" t="s">
        <v>73</v>
      </c>
      <c r="G84" s="24"/>
      <c r="H84" s="17" t="s">
        <v>96</v>
      </c>
      <c r="I84" s="16">
        <v>2</v>
      </c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>
        <v>1</v>
      </c>
      <c r="B85" s="16" t="s">
        <v>67</v>
      </c>
      <c r="C85" s="16">
        <v>130</v>
      </c>
      <c r="D85" s="16">
        <v>13</v>
      </c>
      <c r="E85" s="16" t="s">
        <v>65</v>
      </c>
      <c r="F85" s="16" t="s">
        <v>73</v>
      </c>
      <c r="G85" s="24"/>
      <c r="H85" s="17" t="s">
        <v>96</v>
      </c>
      <c r="I85" s="16">
        <v>2</v>
      </c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>
        <v>15</v>
      </c>
      <c r="E86" s="16"/>
      <c r="F86" s="16"/>
      <c r="G86" s="24"/>
      <c r="H86" s="17"/>
      <c r="I86" s="16"/>
      <c r="J86" s="17" t="s">
        <v>89</v>
      </c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>
        <v>3</v>
      </c>
      <c r="B87" s="16" t="s">
        <v>21</v>
      </c>
      <c r="C87" s="16">
        <v>100</v>
      </c>
      <c r="D87" s="16">
        <v>16</v>
      </c>
      <c r="E87" s="16" t="s">
        <v>102</v>
      </c>
      <c r="F87" s="16" t="s">
        <v>73</v>
      </c>
      <c r="G87" s="24"/>
      <c r="H87" s="17" t="s">
        <v>96</v>
      </c>
      <c r="I87" s="16">
        <v>1</v>
      </c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>
        <v>5</v>
      </c>
      <c r="B88" s="16" t="s">
        <v>21</v>
      </c>
      <c r="C88" s="16">
        <v>110</v>
      </c>
      <c r="D88" s="16">
        <v>17</v>
      </c>
      <c r="E88" s="16" t="s">
        <v>102</v>
      </c>
      <c r="F88" s="16" t="s">
        <v>103</v>
      </c>
      <c r="G88" s="24"/>
      <c r="H88" s="17" t="s">
        <v>96</v>
      </c>
      <c r="I88" s="16">
        <v>1</v>
      </c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>
        <v>1</v>
      </c>
      <c r="B89" s="16" t="s">
        <v>21</v>
      </c>
      <c r="C89" s="16">
        <v>50</v>
      </c>
      <c r="D89" s="16">
        <v>18</v>
      </c>
      <c r="E89" s="16" t="s">
        <v>102</v>
      </c>
      <c r="F89" s="16" t="s">
        <v>77</v>
      </c>
      <c r="G89" s="24"/>
      <c r="H89" s="17" t="s">
        <v>84</v>
      </c>
      <c r="I89" s="16">
        <v>1</v>
      </c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>
        <v>1</v>
      </c>
      <c r="B90" s="16" t="s">
        <v>21</v>
      </c>
      <c r="C90" s="16">
        <v>110</v>
      </c>
      <c r="D90" s="16">
        <v>18</v>
      </c>
      <c r="E90" s="16" t="s">
        <v>102</v>
      </c>
      <c r="F90" s="16" t="s">
        <v>73</v>
      </c>
      <c r="G90" s="24"/>
      <c r="H90" s="17" t="s">
        <v>84</v>
      </c>
      <c r="I90" s="16">
        <v>1</v>
      </c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>
        <v>1</v>
      </c>
      <c r="B91" s="16" t="s">
        <v>64</v>
      </c>
      <c r="C91" s="16">
        <v>120</v>
      </c>
      <c r="D91" s="16">
        <v>17</v>
      </c>
      <c r="E91" s="16" t="s">
        <v>102</v>
      </c>
      <c r="F91" s="16" t="s">
        <v>103</v>
      </c>
      <c r="G91" s="24"/>
      <c r="H91" s="17" t="s">
        <v>96</v>
      </c>
      <c r="I91" s="16">
        <v>1</v>
      </c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>
        <v>1</v>
      </c>
      <c r="B92" s="16" t="s">
        <v>21</v>
      </c>
      <c r="C92" s="16">
        <v>100</v>
      </c>
      <c r="D92" s="16">
        <v>17</v>
      </c>
      <c r="E92" s="16" t="s">
        <v>102</v>
      </c>
      <c r="F92" s="16" t="s">
        <v>103</v>
      </c>
      <c r="G92" s="24"/>
      <c r="H92" s="17" t="s">
        <v>96</v>
      </c>
      <c r="I92" s="16">
        <v>1</v>
      </c>
      <c r="J92" s="17" t="s">
        <v>104</v>
      </c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137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231</v>
      </c>
      <c r="E3" s="4"/>
    </row>
    <row r="4" spans="1:14" x14ac:dyDescent="0.3">
      <c r="A4" s="6" t="s">
        <v>3</v>
      </c>
      <c r="B4" s="8">
        <v>42985</v>
      </c>
      <c r="E4" s="4"/>
    </row>
    <row r="5" spans="1:14" x14ac:dyDescent="0.3">
      <c r="A5" s="6" t="s">
        <v>4</v>
      </c>
      <c r="B5" s="7" t="s">
        <v>193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2</v>
      </c>
      <c r="B10" s="16" t="s">
        <v>19</v>
      </c>
      <c r="C10" s="16">
        <v>50</v>
      </c>
      <c r="D10" s="16">
        <v>1</v>
      </c>
      <c r="E10" s="16" t="s">
        <v>71</v>
      </c>
      <c r="F10" s="16" t="s">
        <v>79</v>
      </c>
      <c r="G10" s="24">
        <v>1300</v>
      </c>
      <c r="H10" s="17" t="s">
        <v>99</v>
      </c>
      <c r="I10" s="16">
        <v>1</v>
      </c>
      <c r="J10" s="17"/>
      <c r="L10" s="19">
        <f>SUMIFS($A$10:$A$400,$B$10:$B$400,"CH",$D$10:$D$400,"1")</f>
        <v>88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68</v>
      </c>
      <c r="C11" s="16">
        <v>50</v>
      </c>
      <c r="D11" s="16">
        <v>1</v>
      </c>
      <c r="E11" s="16" t="s">
        <v>71</v>
      </c>
      <c r="F11" s="16" t="s">
        <v>77</v>
      </c>
      <c r="G11" s="24"/>
      <c r="H11" s="17" t="s">
        <v>84</v>
      </c>
      <c r="I11" s="16">
        <v>2</v>
      </c>
      <c r="J11" s="17"/>
      <c r="L11" s="19">
        <f>SUMIFS($A$10:$A$400,$B$10:$B$400,"CH",$D$10:$D$400,"2")</f>
        <v>49</v>
      </c>
      <c r="M11" s="19" t="s">
        <v>19</v>
      </c>
      <c r="N11" s="19" t="s">
        <v>22</v>
      </c>
    </row>
    <row r="12" spans="1:14" s="18" customFormat="1" x14ac:dyDescent="0.3">
      <c r="A12" s="16">
        <v>7</v>
      </c>
      <c r="B12" s="16" t="s">
        <v>19</v>
      </c>
      <c r="C12" s="16">
        <v>75</v>
      </c>
      <c r="D12" s="16">
        <v>1</v>
      </c>
      <c r="E12" s="16" t="s">
        <v>71</v>
      </c>
      <c r="F12" s="16" t="s">
        <v>79</v>
      </c>
      <c r="G12" s="24"/>
      <c r="H12" s="17" t="s">
        <v>84</v>
      </c>
      <c r="I12" s="16">
        <v>1</v>
      </c>
      <c r="J12" s="17"/>
      <c r="L12" s="19">
        <f>SUMIFS($A$10:$A$400,$B$10:$B$400,"CH",$D$10:$D$400,"3")</f>
        <v>21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19</v>
      </c>
      <c r="C13" s="16">
        <v>50</v>
      </c>
      <c r="D13" s="16">
        <v>1</v>
      </c>
      <c r="E13" s="16" t="s">
        <v>71</v>
      </c>
      <c r="F13" s="16" t="s">
        <v>79</v>
      </c>
      <c r="G13" s="24"/>
      <c r="H13" s="17" t="s">
        <v>86</v>
      </c>
      <c r="I13" s="16">
        <v>1</v>
      </c>
      <c r="J13" s="17"/>
      <c r="L13" s="19">
        <f>SUMIFS($A$10:$A$400,$B$10:$B$400,"CH",$D$10:$D$400,"4")</f>
        <v>54</v>
      </c>
      <c r="M13" s="19" t="s">
        <v>19</v>
      </c>
      <c r="N13" s="19" t="s">
        <v>26</v>
      </c>
    </row>
    <row r="14" spans="1:14" s="18" customFormat="1" x14ac:dyDescent="0.3">
      <c r="A14" s="16">
        <v>9</v>
      </c>
      <c r="B14" s="16" t="s">
        <v>19</v>
      </c>
      <c r="C14" s="16">
        <v>80</v>
      </c>
      <c r="D14" s="16">
        <v>1</v>
      </c>
      <c r="E14" s="16" t="s">
        <v>71</v>
      </c>
      <c r="F14" s="16" t="s">
        <v>62</v>
      </c>
      <c r="G14" s="24"/>
      <c r="H14" s="17" t="s">
        <v>86</v>
      </c>
      <c r="I14" s="16">
        <v>3</v>
      </c>
      <c r="J14" s="17"/>
      <c r="L14" s="19">
        <f>SUMIFS($A$10:$A$400,$B$10:$B$400,"CH",$D$10:$D$400,"5")</f>
        <v>22</v>
      </c>
      <c r="M14" s="19" t="s">
        <v>19</v>
      </c>
      <c r="N14" s="19" t="s">
        <v>27</v>
      </c>
    </row>
    <row r="15" spans="1:14" s="18" customFormat="1" x14ac:dyDescent="0.3">
      <c r="A15" s="16">
        <v>11</v>
      </c>
      <c r="B15" s="16" t="s">
        <v>19</v>
      </c>
      <c r="C15" s="16">
        <v>100</v>
      </c>
      <c r="D15" s="16">
        <v>1</v>
      </c>
      <c r="E15" s="16" t="s">
        <v>71</v>
      </c>
      <c r="F15" s="16" t="s">
        <v>62</v>
      </c>
      <c r="G15" s="24"/>
      <c r="H15" s="17" t="s">
        <v>84</v>
      </c>
      <c r="I15" s="16">
        <v>3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64</v>
      </c>
      <c r="C16" s="16">
        <v>110</v>
      </c>
      <c r="D16" s="16">
        <v>1</v>
      </c>
      <c r="E16" s="16" t="s">
        <v>71</v>
      </c>
      <c r="F16" s="16" t="s">
        <v>79</v>
      </c>
      <c r="G16" s="24"/>
      <c r="H16" s="17" t="s">
        <v>84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2</v>
      </c>
      <c r="B17" s="16" t="s">
        <v>19</v>
      </c>
      <c r="C17" s="16">
        <v>110</v>
      </c>
      <c r="D17" s="16">
        <v>1</v>
      </c>
      <c r="E17" s="16" t="s">
        <v>71</v>
      </c>
      <c r="F17" s="16" t="s">
        <v>79</v>
      </c>
      <c r="G17" s="24"/>
      <c r="H17" s="17" t="s">
        <v>84</v>
      </c>
      <c r="I17" s="16">
        <v>1</v>
      </c>
      <c r="J17" s="17"/>
      <c r="L17" s="19">
        <f>SUMIFS($A$10:$A$400,$B$10:$B$400,"CH",$D$10:$D$400,"8")</f>
        <v>31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19</v>
      </c>
      <c r="C18" s="16">
        <v>75</v>
      </c>
      <c r="D18" s="16">
        <v>1</v>
      </c>
      <c r="E18" s="16" t="s">
        <v>71</v>
      </c>
      <c r="F18" s="16" t="s">
        <v>79</v>
      </c>
      <c r="G18" s="24"/>
      <c r="H18" s="17" t="s">
        <v>84</v>
      </c>
      <c r="I18" s="16">
        <v>1</v>
      </c>
      <c r="J18" s="17"/>
      <c r="L18" s="19">
        <f>SUMIFS($A$10:$A$400,$B$10:$B$400,"CH",$D$10:$D$400,"9")</f>
        <v>49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68</v>
      </c>
      <c r="C19" s="16">
        <v>25</v>
      </c>
      <c r="D19" s="16">
        <v>1</v>
      </c>
      <c r="E19" s="16" t="s">
        <v>71</v>
      </c>
      <c r="F19" s="16" t="s">
        <v>63</v>
      </c>
      <c r="G19" s="24"/>
      <c r="H19" s="17" t="s">
        <v>84</v>
      </c>
      <c r="I19" s="16">
        <v>1</v>
      </c>
      <c r="J19" s="17"/>
      <c r="L19" s="19">
        <f>SUMIFS($A$10:$A$400,$B$10:$B$400,"CH",$D$10:$D$400,"10")</f>
        <v>5</v>
      </c>
      <c r="M19" s="19" t="s">
        <v>19</v>
      </c>
      <c r="N19" s="19" t="s">
        <v>20</v>
      </c>
    </row>
    <row r="20" spans="1:14" s="18" customFormat="1" x14ac:dyDescent="0.3">
      <c r="A20" s="16">
        <v>50</v>
      </c>
      <c r="B20" s="16" t="s">
        <v>19</v>
      </c>
      <c r="C20" s="16">
        <v>75</v>
      </c>
      <c r="D20" s="16">
        <v>1</v>
      </c>
      <c r="E20" s="16" t="s">
        <v>71</v>
      </c>
      <c r="F20" s="16" t="s">
        <v>63</v>
      </c>
      <c r="G20" s="24"/>
      <c r="H20" s="17" t="s">
        <v>84</v>
      </c>
      <c r="I20" s="16">
        <v>1</v>
      </c>
      <c r="J20" s="17"/>
      <c r="L20" s="19">
        <f>SUMIFS($A$10:$A$400,$B$10:$B$400,"CH",$D$10:$D$400,"11")</f>
        <v>1</v>
      </c>
      <c r="M20" s="19" t="s">
        <v>19</v>
      </c>
      <c r="N20" s="19" t="s">
        <v>23</v>
      </c>
    </row>
    <row r="21" spans="1:14" s="18" customFormat="1" x14ac:dyDescent="0.3">
      <c r="A21" s="16">
        <v>5</v>
      </c>
      <c r="B21" s="16" t="s">
        <v>19</v>
      </c>
      <c r="C21" s="16">
        <v>50</v>
      </c>
      <c r="D21" s="16">
        <v>1</v>
      </c>
      <c r="E21" s="16" t="s">
        <v>71</v>
      </c>
      <c r="F21" s="16" t="s">
        <v>63</v>
      </c>
      <c r="G21" s="24"/>
      <c r="H21" s="17" t="s">
        <v>84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18</v>
      </c>
      <c r="B22" s="16" t="s">
        <v>19</v>
      </c>
      <c r="C22" s="16">
        <v>50</v>
      </c>
      <c r="D22" s="16">
        <v>2</v>
      </c>
      <c r="E22" s="16" t="s">
        <v>71</v>
      </c>
      <c r="F22" s="16" t="s">
        <v>77</v>
      </c>
      <c r="G22" s="24"/>
      <c r="H22" s="17" t="s">
        <v>84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13</v>
      </c>
      <c r="B23" s="16" t="s">
        <v>19</v>
      </c>
      <c r="C23" s="16">
        <v>75</v>
      </c>
      <c r="D23" s="16">
        <v>2</v>
      </c>
      <c r="E23" s="16" t="s">
        <v>71</v>
      </c>
      <c r="F23" s="16" t="s">
        <v>77</v>
      </c>
      <c r="G23" s="24"/>
      <c r="H23" s="17" t="s">
        <v>84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12</v>
      </c>
      <c r="B24" s="16" t="s">
        <v>19</v>
      </c>
      <c r="C24" s="16">
        <v>35</v>
      </c>
      <c r="D24" s="16">
        <v>2</v>
      </c>
      <c r="E24" s="16" t="s">
        <v>71</v>
      </c>
      <c r="F24" s="16" t="s">
        <v>77</v>
      </c>
      <c r="G24" s="24"/>
      <c r="H24" s="17" t="s">
        <v>84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4</v>
      </c>
      <c r="B25" s="16" t="s">
        <v>19</v>
      </c>
      <c r="C25" s="16">
        <v>70</v>
      </c>
      <c r="D25" s="16">
        <v>2</v>
      </c>
      <c r="E25" s="16" t="s">
        <v>71</v>
      </c>
      <c r="F25" s="16" t="s">
        <v>77</v>
      </c>
      <c r="G25" s="24"/>
      <c r="H25" s="17" t="s">
        <v>99</v>
      </c>
      <c r="I25" s="16">
        <v>2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2</v>
      </c>
      <c r="B26" s="16" t="s">
        <v>19</v>
      </c>
      <c r="C26" s="16">
        <v>50</v>
      </c>
      <c r="D26" s="16">
        <v>2</v>
      </c>
      <c r="E26" s="16" t="s">
        <v>71</v>
      </c>
      <c r="F26" s="16" t="s">
        <v>77</v>
      </c>
      <c r="G26" s="24"/>
      <c r="H26" s="17" t="s">
        <v>99</v>
      </c>
      <c r="I26" s="16">
        <v>2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5</v>
      </c>
      <c r="B27" s="16" t="s">
        <v>19</v>
      </c>
      <c r="C27" s="16">
        <v>75</v>
      </c>
      <c r="D27" s="16">
        <v>3</v>
      </c>
      <c r="E27" s="16" t="s">
        <v>65</v>
      </c>
      <c r="F27" s="16" t="s">
        <v>77</v>
      </c>
      <c r="G27" s="24"/>
      <c r="H27" s="17" t="s">
        <v>99</v>
      </c>
      <c r="I27" s="16">
        <v>2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3</v>
      </c>
      <c r="B28" s="16" t="s">
        <v>19</v>
      </c>
      <c r="C28" s="16">
        <v>60</v>
      </c>
      <c r="D28" s="16">
        <v>3</v>
      </c>
      <c r="E28" s="16" t="s">
        <v>65</v>
      </c>
      <c r="F28" s="16" t="s">
        <v>77</v>
      </c>
      <c r="G28" s="24"/>
      <c r="H28" s="17" t="s">
        <v>99</v>
      </c>
      <c r="I28" s="16">
        <v>2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3</v>
      </c>
      <c r="B29" s="16" t="s">
        <v>19</v>
      </c>
      <c r="C29" s="16">
        <v>75</v>
      </c>
      <c r="D29" s="16">
        <v>3</v>
      </c>
      <c r="E29" s="16" t="s">
        <v>65</v>
      </c>
      <c r="F29" s="16" t="s">
        <v>62</v>
      </c>
      <c r="G29" s="24"/>
      <c r="H29" s="17" t="s">
        <v>84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2</v>
      </c>
      <c r="B30" s="16" t="s">
        <v>19</v>
      </c>
      <c r="C30" s="16">
        <v>50</v>
      </c>
      <c r="D30" s="16">
        <v>3</v>
      </c>
      <c r="E30" s="16" t="s">
        <v>65</v>
      </c>
      <c r="F30" s="16" t="s">
        <v>77</v>
      </c>
      <c r="G30" s="24"/>
      <c r="H30" s="17" t="s">
        <v>84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8</v>
      </c>
      <c r="B31" s="16" t="s">
        <v>19</v>
      </c>
      <c r="C31" s="16">
        <v>80</v>
      </c>
      <c r="D31" s="16">
        <v>3</v>
      </c>
      <c r="E31" s="16" t="s">
        <v>65</v>
      </c>
      <c r="F31" s="16" t="s">
        <v>73</v>
      </c>
      <c r="G31" s="24"/>
      <c r="H31" s="17" t="s">
        <v>86</v>
      </c>
      <c r="I31" s="16">
        <v>3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9</v>
      </c>
      <c r="B32" s="16" t="s">
        <v>19</v>
      </c>
      <c r="C32" s="16">
        <v>75</v>
      </c>
      <c r="D32" s="16">
        <v>4</v>
      </c>
      <c r="E32" s="16" t="s">
        <v>71</v>
      </c>
      <c r="F32" s="16" t="s">
        <v>77</v>
      </c>
      <c r="G32" s="24"/>
      <c r="H32" s="17" t="s">
        <v>84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3</v>
      </c>
      <c r="B33" s="16" t="s">
        <v>19</v>
      </c>
      <c r="C33" s="16">
        <v>50</v>
      </c>
      <c r="D33" s="16">
        <v>4</v>
      </c>
      <c r="E33" s="16" t="s">
        <v>71</v>
      </c>
      <c r="F33" s="16" t="s">
        <v>77</v>
      </c>
      <c r="G33" s="24"/>
      <c r="H33" s="17" t="s">
        <v>84</v>
      </c>
      <c r="I33" s="16">
        <v>1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5</v>
      </c>
      <c r="B34" s="16" t="s">
        <v>19</v>
      </c>
      <c r="C34" s="16">
        <v>100</v>
      </c>
      <c r="D34" s="16">
        <v>4</v>
      </c>
      <c r="E34" s="16" t="s">
        <v>71</v>
      </c>
      <c r="F34" s="16" t="s">
        <v>73</v>
      </c>
      <c r="G34" s="24"/>
      <c r="H34" s="17" t="s">
        <v>86</v>
      </c>
      <c r="I34" s="16">
        <v>2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4</v>
      </c>
      <c r="B35" s="16" t="s">
        <v>19</v>
      </c>
      <c r="C35" s="16">
        <v>80</v>
      </c>
      <c r="D35" s="16">
        <v>4</v>
      </c>
      <c r="E35" s="16" t="s">
        <v>71</v>
      </c>
      <c r="F35" s="16" t="s">
        <v>73</v>
      </c>
      <c r="G35" s="24"/>
      <c r="H35" s="17" t="s">
        <v>86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4</v>
      </c>
      <c r="B36" s="16" t="s">
        <v>19</v>
      </c>
      <c r="C36" s="16">
        <v>50</v>
      </c>
      <c r="D36" s="16">
        <v>4</v>
      </c>
      <c r="E36" s="16" t="s">
        <v>71</v>
      </c>
      <c r="F36" s="16" t="s">
        <v>73</v>
      </c>
      <c r="G36" s="24"/>
      <c r="H36" s="17" t="s">
        <v>86</v>
      </c>
      <c r="I36" s="16">
        <v>2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>
        <v>2</v>
      </c>
      <c r="B37" s="16" t="s">
        <v>19</v>
      </c>
      <c r="C37" s="16">
        <v>100</v>
      </c>
      <c r="D37" s="16">
        <v>4</v>
      </c>
      <c r="E37" s="16" t="s">
        <v>71</v>
      </c>
      <c r="F37" s="16" t="s">
        <v>73</v>
      </c>
      <c r="G37" s="24"/>
      <c r="H37" s="17" t="s">
        <v>86</v>
      </c>
      <c r="I37" s="16">
        <v>2</v>
      </c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>
        <v>1</v>
      </c>
      <c r="B38" s="16" t="s">
        <v>19</v>
      </c>
      <c r="C38" s="16">
        <v>50</v>
      </c>
      <c r="D38" s="16">
        <v>4</v>
      </c>
      <c r="E38" s="16" t="s">
        <v>71</v>
      </c>
      <c r="F38" s="16" t="s">
        <v>73</v>
      </c>
      <c r="G38" s="24"/>
      <c r="H38" s="17" t="s">
        <v>86</v>
      </c>
      <c r="I38" s="16">
        <v>2</v>
      </c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>
        <v>3</v>
      </c>
      <c r="B39" s="16" t="s">
        <v>19</v>
      </c>
      <c r="C39" s="16">
        <v>75</v>
      </c>
      <c r="D39" s="16">
        <v>4</v>
      </c>
      <c r="E39" s="16" t="s">
        <v>71</v>
      </c>
      <c r="F39" s="16" t="s">
        <v>77</v>
      </c>
      <c r="G39" s="24"/>
      <c r="H39" s="17" t="s">
        <v>84</v>
      </c>
      <c r="I39" s="16">
        <v>1</v>
      </c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>
        <v>2</v>
      </c>
      <c r="B40" s="16" t="s">
        <v>19</v>
      </c>
      <c r="C40" s="16">
        <v>50</v>
      </c>
      <c r="D40" s="16">
        <v>4</v>
      </c>
      <c r="E40" s="16" t="s">
        <v>71</v>
      </c>
      <c r="F40" s="16" t="s">
        <v>77</v>
      </c>
      <c r="G40" s="24"/>
      <c r="H40" s="17" t="s">
        <v>84</v>
      </c>
      <c r="I40" s="16">
        <v>1</v>
      </c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>
        <v>10</v>
      </c>
      <c r="B41" s="16" t="s">
        <v>19</v>
      </c>
      <c r="C41" s="16">
        <v>80</v>
      </c>
      <c r="D41" s="16">
        <v>4</v>
      </c>
      <c r="E41" s="16" t="s">
        <v>71</v>
      </c>
      <c r="F41" s="16" t="s">
        <v>73</v>
      </c>
      <c r="G41" s="24"/>
      <c r="H41" s="17" t="s">
        <v>86</v>
      </c>
      <c r="I41" s="16">
        <v>2</v>
      </c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>
        <v>11</v>
      </c>
      <c r="B42" s="16" t="s">
        <v>19</v>
      </c>
      <c r="C42" s="16">
        <v>50</v>
      </c>
      <c r="D42" s="16">
        <v>4</v>
      </c>
      <c r="E42" s="16" t="s">
        <v>71</v>
      </c>
      <c r="F42" s="16" t="s">
        <v>77</v>
      </c>
      <c r="G42" s="24"/>
      <c r="H42" s="17" t="s">
        <v>86</v>
      </c>
      <c r="I42" s="16">
        <v>2</v>
      </c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>
        <v>1</v>
      </c>
      <c r="B43" s="16" t="s">
        <v>64</v>
      </c>
      <c r="C43" s="16">
        <v>75</v>
      </c>
      <c r="D43" s="16">
        <v>5</v>
      </c>
      <c r="E43" s="16" t="s">
        <v>65</v>
      </c>
      <c r="F43" s="16" t="s">
        <v>73</v>
      </c>
      <c r="G43" s="24"/>
      <c r="H43" s="17" t="s">
        <v>84</v>
      </c>
      <c r="I43" s="16">
        <v>2</v>
      </c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>
        <v>1</v>
      </c>
      <c r="B44" s="16" t="s">
        <v>19</v>
      </c>
      <c r="C44" s="16">
        <v>50</v>
      </c>
      <c r="D44" s="16">
        <v>5</v>
      </c>
      <c r="E44" s="16" t="s">
        <v>65</v>
      </c>
      <c r="F44" s="16" t="s">
        <v>73</v>
      </c>
      <c r="G44" s="24"/>
      <c r="H44" s="17" t="s">
        <v>84</v>
      </c>
      <c r="I44" s="16">
        <v>2</v>
      </c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>
        <v>1</v>
      </c>
      <c r="B45" s="16" t="s">
        <v>85</v>
      </c>
      <c r="C45" s="16">
        <v>180</v>
      </c>
      <c r="D45" s="16">
        <v>5</v>
      </c>
      <c r="E45" s="16" t="s">
        <v>65</v>
      </c>
      <c r="F45" s="16" t="s">
        <v>77</v>
      </c>
      <c r="G45" s="24"/>
      <c r="H45" s="17" t="s">
        <v>86</v>
      </c>
      <c r="I45" s="16">
        <v>1</v>
      </c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>
        <v>20</v>
      </c>
      <c r="B46" s="16" t="s">
        <v>19</v>
      </c>
      <c r="C46" s="16">
        <v>80</v>
      </c>
      <c r="D46" s="16">
        <v>5</v>
      </c>
      <c r="E46" s="16" t="s">
        <v>65</v>
      </c>
      <c r="F46" s="16"/>
      <c r="G46" s="24"/>
      <c r="H46" s="17" t="s">
        <v>86</v>
      </c>
      <c r="I46" s="16">
        <v>1</v>
      </c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>
        <v>1</v>
      </c>
      <c r="B47" s="16" t="s">
        <v>19</v>
      </c>
      <c r="C47" s="16">
        <v>100</v>
      </c>
      <c r="D47" s="16">
        <v>5</v>
      </c>
      <c r="E47" s="16" t="s">
        <v>65</v>
      </c>
      <c r="F47" s="16"/>
      <c r="G47" s="24"/>
      <c r="H47" s="17" t="s">
        <v>86</v>
      </c>
      <c r="I47" s="16">
        <v>1</v>
      </c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>
        <v>1</v>
      </c>
      <c r="B48" s="16" t="s">
        <v>64</v>
      </c>
      <c r="C48" s="16">
        <v>110</v>
      </c>
      <c r="D48" s="16">
        <v>6</v>
      </c>
      <c r="E48" s="16" t="s">
        <v>72</v>
      </c>
      <c r="F48" s="16" t="s">
        <v>73</v>
      </c>
      <c r="G48" s="24"/>
      <c r="H48" s="17" t="s">
        <v>84</v>
      </c>
      <c r="I48" s="16">
        <v>2</v>
      </c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>
        <v>1</v>
      </c>
      <c r="B49" s="16" t="s">
        <v>67</v>
      </c>
      <c r="C49" s="16">
        <v>110</v>
      </c>
      <c r="D49" s="16">
        <v>7</v>
      </c>
      <c r="E49" s="16" t="s">
        <v>65</v>
      </c>
      <c r="F49" s="16" t="s">
        <v>77</v>
      </c>
      <c r="G49" s="24"/>
      <c r="H49" s="17" t="s">
        <v>84</v>
      </c>
      <c r="I49" s="16">
        <v>3</v>
      </c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>
        <v>1</v>
      </c>
      <c r="B50" s="16" t="s">
        <v>68</v>
      </c>
      <c r="C50" s="16">
        <v>25</v>
      </c>
      <c r="D50" s="16">
        <v>7</v>
      </c>
      <c r="E50" s="16" t="s">
        <v>65</v>
      </c>
      <c r="F50" s="16" t="s">
        <v>77</v>
      </c>
      <c r="G50" s="24"/>
      <c r="H50" s="17" t="s">
        <v>99</v>
      </c>
      <c r="I50" s="16">
        <v>2</v>
      </c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>
        <v>30</v>
      </c>
      <c r="B51" s="16" t="s">
        <v>21</v>
      </c>
      <c r="C51" s="16">
        <v>50</v>
      </c>
      <c r="D51" s="16">
        <v>8</v>
      </c>
      <c r="E51" s="16" t="s">
        <v>71</v>
      </c>
      <c r="F51" s="16" t="s">
        <v>77</v>
      </c>
      <c r="G51" s="24"/>
      <c r="H51" s="17" t="s">
        <v>99</v>
      </c>
      <c r="I51" s="16">
        <v>2</v>
      </c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>
        <v>20</v>
      </c>
      <c r="B52" s="16" t="s">
        <v>21</v>
      </c>
      <c r="C52" s="16">
        <v>75</v>
      </c>
      <c r="D52" s="16">
        <v>8</v>
      </c>
      <c r="E52" s="16" t="s">
        <v>71</v>
      </c>
      <c r="F52" s="16" t="s">
        <v>77</v>
      </c>
      <c r="G52" s="24"/>
      <c r="H52" s="17" t="s">
        <v>99</v>
      </c>
      <c r="I52" s="16">
        <v>2</v>
      </c>
      <c r="J52" s="17"/>
      <c r="L52" s="19">
        <f>SUM(L10:L51)</f>
        <v>320</v>
      </c>
      <c r="M52" s="19"/>
      <c r="N52" s="19"/>
    </row>
    <row r="53" spans="1:14" s="18" customFormat="1" x14ac:dyDescent="0.3">
      <c r="A53" s="16">
        <v>15</v>
      </c>
      <c r="B53" s="16" t="s">
        <v>21</v>
      </c>
      <c r="C53" s="16">
        <v>90</v>
      </c>
      <c r="D53" s="16">
        <v>8</v>
      </c>
      <c r="E53" s="16" t="s">
        <v>71</v>
      </c>
      <c r="F53" s="16" t="s">
        <v>77</v>
      </c>
      <c r="G53" s="24"/>
      <c r="H53" s="17" t="s">
        <v>99</v>
      </c>
      <c r="I53" s="16">
        <v>2</v>
      </c>
      <c r="J53" s="17"/>
      <c r="L53" s="19"/>
      <c r="M53" s="19"/>
      <c r="N53" s="19"/>
    </row>
    <row r="54" spans="1:14" s="18" customFormat="1" x14ac:dyDescent="0.3">
      <c r="A54" s="16">
        <v>4</v>
      </c>
      <c r="B54" s="16" t="s">
        <v>21</v>
      </c>
      <c r="C54" s="16">
        <v>50</v>
      </c>
      <c r="D54" s="16">
        <v>8</v>
      </c>
      <c r="E54" s="16" t="s">
        <v>71</v>
      </c>
      <c r="F54" s="16" t="s">
        <v>66</v>
      </c>
      <c r="G54" s="24"/>
      <c r="H54" s="17" t="s">
        <v>99</v>
      </c>
      <c r="I54" s="16">
        <v>2</v>
      </c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>
        <v>3</v>
      </c>
      <c r="B55" s="16" t="s">
        <v>21</v>
      </c>
      <c r="C55" s="16">
        <v>75</v>
      </c>
      <c r="D55" s="16">
        <v>8</v>
      </c>
      <c r="E55" s="16" t="s">
        <v>71</v>
      </c>
      <c r="F55" s="16" t="s">
        <v>66</v>
      </c>
      <c r="G55" s="24"/>
      <c r="H55" s="17" t="s">
        <v>99</v>
      </c>
      <c r="I55" s="16">
        <v>2</v>
      </c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>
        <v>1</v>
      </c>
      <c r="B56" s="16" t="s">
        <v>21</v>
      </c>
      <c r="C56" s="16">
        <v>90</v>
      </c>
      <c r="D56" s="16">
        <v>8</v>
      </c>
      <c r="E56" s="16" t="s">
        <v>71</v>
      </c>
      <c r="F56" s="16" t="s">
        <v>63</v>
      </c>
      <c r="G56" s="24"/>
      <c r="H56" s="17" t="s">
        <v>99</v>
      </c>
      <c r="I56" s="16">
        <v>2</v>
      </c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>
        <v>1</v>
      </c>
      <c r="B57" s="16" t="s">
        <v>68</v>
      </c>
      <c r="C57" s="16">
        <v>75</v>
      </c>
      <c r="D57" s="16">
        <v>8</v>
      </c>
      <c r="E57" s="16" t="s">
        <v>71</v>
      </c>
      <c r="F57" s="16" t="s">
        <v>77</v>
      </c>
      <c r="G57" s="24"/>
      <c r="H57" s="17" t="s">
        <v>99</v>
      </c>
      <c r="I57" s="16">
        <v>2</v>
      </c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>
        <v>1</v>
      </c>
      <c r="B58" s="16" t="s">
        <v>19</v>
      </c>
      <c r="C58" s="16">
        <v>50</v>
      </c>
      <c r="D58" s="16">
        <v>8</v>
      </c>
      <c r="E58" s="16" t="s">
        <v>71</v>
      </c>
      <c r="F58" s="16" t="s">
        <v>77</v>
      </c>
      <c r="G58" s="24"/>
      <c r="H58" s="17" t="s">
        <v>84</v>
      </c>
      <c r="I58" s="16">
        <v>3</v>
      </c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>
        <v>15</v>
      </c>
      <c r="B59" s="16" t="s">
        <v>19</v>
      </c>
      <c r="C59" s="16">
        <v>50</v>
      </c>
      <c r="D59" s="16">
        <v>8</v>
      </c>
      <c r="E59" s="16" t="s">
        <v>71</v>
      </c>
      <c r="F59" s="16" t="s">
        <v>77</v>
      </c>
      <c r="G59" s="24"/>
      <c r="H59" s="17" t="s">
        <v>99</v>
      </c>
      <c r="I59" s="16">
        <v>2</v>
      </c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>
        <v>12</v>
      </c>
      <c r="B60" s="16" t="s">
        <v>19</v>
      </c>
      <c r="C60" s="16">
        <v>75</v>
      </c>
      <c r="D60" s="16">
        <v>8</v>
      </c>
      <c r="E60" s="16" t="s">
        <v>71</v>
      </c>
      <c r="F60" s="16" t="s">
        <v>77</v>
      </c>
      <c r="G60" s="24"/>
      <c r="H60" s="17" t="s">
        <v>99</v>
      </c>
      <c r="I60" s="16">
        <v>2</v>
      </c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>
        <v>1</v>
      </c>
      <c r="B61" s="16" t="s">
        <v>64</v>
      </c>
      <c r="C61" s="16">
        <v>75</v>
      </c>
      <c r="D61" s="16">
        <v>8</v>
      </c>
      <c r="E61" s="16" t="s">
        <v>71</v>
      </c>
      <c r="F61" s="16" t="s">
        <v>77</v>
      </c>
      <c r="G61" s="24"/>
      <c r="H61" s="17" t="s">
        <v>84</v>
      </c>
      <c r="I61" s="16">
        <v>3</v>
      </c>
      <c r="J61" s="17"/>
      <c r="L61" s="19">
        <f>SUMIFS($A$10:$A$400,$B$10:$B$400,"RT",$D$10:$D$400,"8")</f>
        <v>74</v>
      </c>
      <c r="M61" s="19" t="s">
        <v>21</v>
      </c>
      <c r="N61" s="19" t="s">
        <v>30</v>
      </c>
    </row>
    <row r="62" spans="1:14" s="18" customFormat="1" x14ac:dyDescent="0.3">
      <c r="A62" s="16">
        <v>1</v>
      </c>
      <c r="B62" s="16" t="s">
        <v>19</v>
      </c>
      <c r="C62" s="16">
        <v>75</v>
      </c>
      <c r="D62" s="16">
        <v>8</v>
      </c>
      <c r="E62" s="16" t="s">
        <v>71</v>
      </c>
      <c r="F62" s="16" t="s">
        <v>77</v>
      </c>
      <c r="G62" s="24"/>
      <c r="H62" s="17" t="s">
        <v>84</v>
      </c>
      <c r="I62" s="16">
        <v>3</v>
      </c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>
        <v>1</v>
      </c>
      <c r="B63" s="16" t="s">
        <v>21</v>
      </c>
      <c r="C63" s="16">
        <v>25</v>
      </c>
      <c r="D63" s="16">
        <v>8</v>
      </c>
      <c r="E63" s="16" t="s">
        <v>71</v>
      </c>
      <c r="F63" s="16" t="s">
        <v>77</v>
      </c>
      <c r="G63" s="24"/>
      <c r="H63" s="17" t="s">
        <v>99</v>
      </c>
      <c r="I63" s="16">
        <v>2</v>
      </c>
      <c r="J63" s="17"/>
      <c r="L63" s="19">
        <f>SUMIFS($A$10:$A$400,$B$10:$B$400,"RT",$D$10:$D$400,"10")</f>
        <v>1</v>
      </c>
      <c r="M63" s="19" t="s">
        <v>21</v>
      </c>
      <c r="N63" s="19" t="s">
        <v>20</v>
      </c>
    </row>
    <row r="64" spans="1:14" s="18" customFormat="1" x14ac:dyDescent="0.3">
      <c r="A64" s="16">
        <v>2</v>
      </c>
      <c r="B64" s="16" t="s">
        <v>19</v>
      </c>
      <c r="C64" s="16">
        <v>90</v>
      </c>
      <c r="D64" s="16">
        <v>8</v>
      </c>
      <c r="E64" s="16" t="s">
        <v>71</v>
      </c>
      <c r="F64" s="16" t="s">
        <v>77</v>
      </c>
      <c r="G64" s="24"/>
      <c r="H64" s="17" t="s">
        <v>99</v>
      </c>
      <c r="I64" s="16">
        <v>2</v>
      </c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>
        <v>2</v>
      </c>
      <c r="B65" s="16" t="s">
        <v>19</v>
      </c>
      <c r="C65" s="16">
        <v>70</v>
      </c>
      <c r="D65" s="16">
        <v>9</v>
      </c>
      <c r="E65" s="16" t="s">
        <v>65</v>
      </c>
      <c r="F65" s="16" t="s">
        <v>77</v>
      </c>
      <c r="G65" s="24"/>
      <c r="H65" s="17" t="s">
        <v>99</v>
      </c>
      <c r="I65" s="16">
        <v>1</v>
      </c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>
        <v>5</v>
      </c>
      <c r="B66" s="16" t="s">
        <v>19</v>
      </c>
      <c r="C66" s="16">
        <v>80</v>
      </c>
      <c r="D66" s="16">
        <v>9</v>
      </c>
      <c r="E66" s="16" t="s">
        <v>65</v>
      </c>
      <c r="F66" s="16" t="s">
        <v>77</v>
      </c>
      <c r="G66" s="24"/>
      <c r="H66" s="17" t="s">
        <v>86</v>
      </c>
      <c r="I66" s="16">
        <v>2</v>
      </c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>
        <v>3</v>
      </c>
      <c r="B67" s="16" t="s">
        <v>19</v>
      </c>
      <c r="C67" s="16">
        <v>50</v>
      </c>
      <c r="D67" s="16">
        <v>9</v>
      </c>
      <c r="E67" s="16" t="s">
        <v>65</v>
      </c>
      <c r="F67" s="16" t="s">
        <v>77</v>
      </c>
      <c r="G67" s="24"/>
      <c r="H67" s="17" t="s">
        <v>86</v>
      </c>
      <c r="I67" s="16">
        <v>2</v>
      </c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>
        <v>1</v>
      </c>
      <c r="B68" s="16" t="s">
        <v>19</v>
      </c>
      <c r="C68" s="16">
        <v>50</v>
      </c>
      <c r="D68" s="16">
        <v>9</v>
      </c>
      <c r="E68" s="16" t="s">
        <v>65</v>
      </c>
      <c r="F68" s="16" t="s">
        <v>77</v>
      </c>
      <c r="G68" s="24"/>
      <c r="H68" s="17" t="s">
        <v>99</v>
      </c>
      <c r="I68" s="16">
        <v>1</v>
      </c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>
        <v>5</v>
      </c>
      <c r="B69" s="16" t="s">
        <v>19</v>
      </c>
      <c r="C69" s="16">
        <v>70</v>
      </c>
      <c r="D69" s="16">
        <v>9</v>
      </c>
      <c r="E69" s="16" t="s">
        <v>65</v>
      </c>
      <c r="F69" s="16" t="s">
        <v>77</v>
      </c>
      <c r="G69" s="24"/>
      <c r="H69" s="17" t="s">
        <v>99</v>
      </c>
      <c r="I69" s="16">
        <v>1</v>
      </c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>
        <v>10</v>
      </c>
      <c r="B70" s="16" t="s">
        <v>19</v>
      </c>
      <c r="C70" s="16">
        <v>50</v>
      </c>
      <c r="D70" s="16">
        <v>9</v>
      </c>
      <c r="E70" s="16" t="s">
        <v>65</v>
      </c>
      <c r="F70" s="16" t="s">
        <v>77</v>
      </c>
      <c r="G70" s="24"/>
      <c r="H70" s="17" t="s">
        <v>99</v>
      </c>
      <c r="I70" s="16">
        <v>1</v>
      </c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>
        <v>15</v>
      </c>
      <c r="B71" s="16" t="s">
        <v>19</v>
      </c>
      <c r="C71" s="16">
        <v>80</v>
      </c>
      <c r="D71" s="16">
        <v>9</v>
      </c>
      <c r="E71" s="16" t="s">
        <v>65</v>
      </c>
      <c r="F71" s="16" t="s">
        <v>73</v>
      </c>
      <c r="G71" s="24"/>
      <c r="H71" s="17" t="s">
        <v>86</v>
      </c>
      <c r="I71" s="16">
        <v>2</v>
      </c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>
        <v>7</v>
      </c>
      <c r="B72" s="16" t="s">
        <v>19</v>
      </c>
      <c r="C72" s="16">
        <v>50</v>
      </c>
      <c r="D72" s="16">
        <v>9</v>
      </c>
      <c r="E72" s="16" t="s">
        <v>65</v>
      </c>
      <c r="F72" s="16" t="s">
        <v>73</v>
      </c>
      <c r="G72" s="24"/>
      <c r="H72" s="17" t="s">
        <v>86</v>
      </c>
      <c r="I72" s="16">
        <v>2</v>
      </c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>
        <v>1</v>
      </c>
      <c r="B73" s="16" t="s">
        <v>68</v>
      </c>
      <c r="C73" s="16">
        <v>50</v>
      </c>
      <c r="D73" s="16">
        <v>9</v>
      </c>
      <c r="E73" s="16" t="s">
        <v>65</v>
      </c>
      <c r="F73" s="16" t="s">
        <v>77</v>
      </c>
      <c r="G73" s="24"/>
      <c r="H73" s="17" t="s">
        <v>99</v>
      </c>
      <c r="I73" s="16">
        <v>2</v>
      </c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>
        <v>1</v>
      </c>
      <c r="B74" s="16" t="s">
        <v>68</v>
      </c>
      <c r="C74" s="16">
        <v>40</v>
      </c>
      <c r="D74" s="16">
        <v>9</v>
      </c>
      <c r="E74" s="16" t="s">
        <v>65</v>
      </c>
      <c r="F74" s="16" t="s">
        <v>77</v>
      </c>
      <c r="G74" s="24"/>
      <c r="H74" s="17" t="s">
        <v>99</v>
      </c>
      <c r="I74" s="16">
        <v>2</v>
      </c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>
        <v>1</v>
      </c>
      <c r="B75" s="16" t="s">
        <v>19</v>
      </c>
      <c r="C75" s="16">
        <v>50</v>
      </c>
      <c r="D75" s="16">
        <v>9</v>
      </c>
      <c r="E75" s="16" t="s">
        <v>65</v>
      </c>
      <c r="F75" s="16" t="s">
        <v>77</v>
      </c>
      <c r="G75" s="24"/>
      <c r="H75" s="17" t="s">
        <v>84</v>
      </c>
      <c r="I75" s="16">
        <v>1</v>
      </c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>
        <v>1</v>
      </c>
      <c r="B76" s="16" t="s">
        <v>64</v>
      </c>
      <c r="C76" s="16">
        <v>150</v>
      </c>
      <c r="D76" s="16">
        <v>10</v>
      </c>
      <c r="E76" s="16" t="s">
        <v>72</v>
      </c>
      <c r="F76" s="16" t="s">
        <v>77</v>
      </c>
      <c r="G76" s="24"/>
      <c r="H76" s="17" t="s">
        <v>99</v>
      </c>
      <c r="I76" s="16">
        <v>2</v>
      </c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>
        <v>1</v>
      </c>
      <c r="B77" s="16" t="s">
        <v>21</v>
      </c>
      <c r="C77" s="16">
        <v>100</v>
      </c>
      <c r="D77" s="16">
        <v>10</v>
      </c>
      <c r="E77" s="16" t="s">
        <v>72</v>
      </c>
      <c r="F77" s="16" t="s">
        <v>73</v>
      </c>
      <c r="G77" s="24"/>
      <c r="H77" s="17" t="s">
        <v>84</v>
      </c>
      <c r="I77" s="16">
        <v>1</v>
      </c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>
        <v>5</v>
      </c>
      <c r="B78" s="16" t="s">
        <v>19</v>
      </c>
      <c r="C78" s="16">
        <v>50</v>
      </c>
      <c r="D78" s="16">
        <v>10</v>
      </c>
      <c r="E78" s="16" t="s">
        <v>72</v>
      </c>
      <c r="F78" s="16" t="s">
        <v>77</v>
      </c>
      <c r="G78" s="24"/>
      <c r="H78" s="17" t="s">
        <v>99</v>
      </c>
      <c r="I78" s="16">
        <v>2</v>
      </c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>
        <v>1</v>
      </c>
      <c r="B79" s="16" t="s">
        <v>19</v>
      </c>
      <c r="C79" s="16">
        <v>40</v>
      </c>
      <c r="D79" s="16">
        <v>11</v>
      </c>
      <c r="E79" s="16" t="s">
        <v>65</v>
      </c>
      <c r="F79" s="16" t="s">
        <v>62</v>
      </c>
      <c r="G79" s="24"/>
      <c r="H79" s="17" t="s">
        <v>84</v>
      </c>
      <c r="I79" s="16">
        <v>1</v>
      </c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75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B4" sqref="B4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106</v>
      </c>
      <c r="E2" s="4"/>
    </row>
    <row r="3" spans="1:14" x14ac:dyDescent="0.3">
      <c r="A3" s="6" t="s">
        <v>2</v>
      </c>
      <c r="B3" s="7">
        <v>320</v>
      </c>
      <c r="E3" s="4"/>
    </row>
    <row r="4" spans="1:14" x14ac:dyDescent="0.3">
      <c r="A4" s="6" t="s">
        <v>3</v>
      </c>
      <c r="B4" s="8">
        <v>42936</v>
      </c>
      <c r="E4" s="4"/>
    </row>
    <row r="5" spans="1:14" x14ac:dyDescent="0.3">
      <c r="A5" s="6" t="s">
        <v>4</v>
      </c>
      <c r="B5" s="7" t="s">
        <v>194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65</v>
      </c>
      <c r="F10" s="16"/>
      <c r="G10" s="24">
        <v>1200</v>
      </c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65</v>
      </c>
      <c r="F11" s="16"/>
      <c r="G11" s="24">
        <v>1200</v>
      </c>
      <c r="H11" s="17"/>
      <c r="I11" s="16"/>
      <c r="J11" s="17" t="s">
        <v>89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40</v>
      </c>
      <c r="D12" s="16">
        <v>3</v>
      </c>
      <c r="E12" s="16" t="s">
        <v>69</v>
      </c>
      <c r="F12" s="16" t="s">
        <v>77</v>
      </c>
      <c r="G12" s="24">
        <v>1221</v>
      </c>
      <c r="H12" s="17" t="s">
        <v>99</v>
      </c>
      <c r="I12" s="16">
        <v>3</v>
      </c>
      <c r="J12" s="17"/>
      <c r="L12" s="19">
        <f>SUMIFS($A$10:$A$400,$B$10:$B$400,"CH",$D$10:$D$400,"3")</f>
        <v>2</v>
      </c>
      <c r="M12" s="19" t="s">
        <v>19</v>
      </c>
      <c r="N12" s="19" t="s">
        <v>24</v>
      </c>
    </row>
    <row r="13" spans="1:14" s="18" customFormat="1" x14ac:dyDescent="0.3">
      <c r="A13" s="16">
        <v>2</v>
      </c>
      <c r="B13" s="16" t="s">
        <v>19</v>
      </c>
      <c r="C13" s="16">
        <v>50</v>
      </c>
      <c r="D13" s="16">
        <v>3</v>
      </c>
      <c r="E13" s="16" t="s">
        <v>69</v>
      </c>
      <c r="F13" s="16" t="s">
        <v>73</v>
      </c>
      <c r="G13" s="24">
        <v>1223</v>
      </c>
      <c r="H13" s="17" t="s">
        <v>97</v>
      </c>
      <c r="I13" s="16">
        <v>1</v>
      </c>
      <c r="J13" s="17" t="s">
        <v>105</v>
      </c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0</v>
      </c>
      <c r="B14" s="16"/>
      <c r="C14" s="16"/>
      <c r="D14" s="16">
        <v>4</v>
      </c>
      <c r="E14" s="16" t="s">
        <v>71</v>
      </c>
      <c r="F14" s="16"/>
      <c r="G14" s="24"/>
      <c r="H14" s="17"/>
      <c r="I14" s="16"/>
      <c r="J14" s="17" t="s">
        <v>89</v>
      </c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0</v>
      </c>
      <c r="B15" s="16"/>
      <c r="C15" s="16"/>
      <c r="D15" s="16">
        <v>5</v>
      </c>
      <c r="E15" s="16" t="s">
        <v>68</v>
      </c>
      <c r="F15" s="16"/>
      <c r="G15" s="24"/>
      <c r="H15" s="17"/>
      <c r="I15" s="16"/>
      <c r="J15" s="17" t="s">
        <v>89</v>
      </c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68</v>
      </c>
      <c r="C16" s="16">
        <v>80</v>
      </c>
      <c r="D16" s="16">
        <v>6</v>
      </c>
      <c r="E16" s="16" t="s">
        <v>72</v>
      </c>
      <c r="F16" s="16" t="s">
        <v>73</v>
      </c>
      <c r="G16" s="24"/>
      <c r="H16" s="17" t="s">
        <v>97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68</v>
      </c>
      <c r="C17" s="16">
        <v>60</v>
      </c>
      <c r="D17" s="16">
        <v>6</v>
      </c>
      <c r="E17" s="16" t="s">
        <v>72</v>
      </c>
      <c r="F17" s="16" t="s">
        <v>77</v>
      </c>
      <c r="G17" s="24"/>
      <c r="H17" s="17" t="s">
        <v>99</v>
      </c>
      <c r="I17" s="16">
        <v>2</v>
      </c>
      <c r="J17" s="17"/>
      <c r="L17" s="19">
        <f>SUMIFS($A$10:$A$400,$B$10:$B$400,"CH",$D$10:$D$400,"8")</f>
        <v>15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45</v>
      </c>
      <c r="D18" s="16">
        <v>6</v>
      </c>
      <c r="E18" s="16" t="s">
        <v>72</v>
      </c>
      <c r="F18" s="16" t="s">
        <v>66</v>
      </c>
      <c r="G18" s="24"/>
      <c r="H18" s="17" t="s">
        <v>84</v>
      </c>
      <c r="I18" s="16">
        <v>3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68</v>
      </c>
      <c r="C19" s="16">
        <v>60</v>
      </c>
      <c r="D19" s="16">
        <v>6</v>
      </c>
      <c r="E19" s="16" t="s">
        <v>72</v>
      </c>
      <c r="F19" s="16" t="s">
        <v>77</v>
      </c>
      <c r="G19" s="24"/>
      <c r="H19" s="17" t="s">
        <v>97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0</v>
      </c>
      <c r="B20" s="16"/>
      <c r="C20" s="16"/>
      <c r="D20" s="16">
        <v>7</v>
      </c>
      <c r="E20" s="16" t="s">
        <v>71</v>
      </c>
      <c r="F20" s="16"/>
      <c r="G20" s="24"/>
      <c r="H20" s="17"/>
      <c r="I20" s="16"/>
      <c r="J20" s="17" t="s">
        <v>89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2</v>
      </c>
      <c r="B21" s="16" t="s">
        <v>19</v>
      </c>
      <c r="C21" s="16">
        <v>70</v>
      </c>
      <c r="D21" s="16">
        <v>8</v>
      </c>
      <c r="E21" s="16" t="s">
        <v>65</v>
      </c>
      <c r="F21" s="16" t="s">
        <v>62</v>
      </c>
      <c r="G21" s="24"/>
      <c r="H21" s="17" t="s">
        <v>97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5</v>
      </c>
      <c r="B22" s="16" t="s">
        <v>19</v>
      </c>
      <c r="C22" s="16">
        <v>60</v>
      </c>
      <c r="D22" s="16">
        <v>8</v>
      </c>
      <c r="E22" s="16" t="s">
        <v>65</v>
      </c>
      <c r="F22" s="16" t="s">
        <v>62</v>
      </c>
      <c r="G22" s="24"/>
      <c r="H22" s="17" t="s">
        <v>97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3</v>
      </c>
      <c r="B23" s="16" t="s">
        <v>19</v>
      </c>
      <c r="C23" s="16">
        <v>50</v>
      </c>
      <c r="D23" s="16">
        <v>8</v>
      </c>
      <c r="E23" s="16" t="s">
        <v>65</v>
      </c>
      <c r="F23" s="16" t="s">
        <v>62</v>
      </c>
      <c r="G23" s="24"/>
      <c r="H23" s="17" t="s">
        <v>97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2</v>
      </c>
      <c r="B24" s="16" t="s">
        <v>19</v>
      </c>
      <c r="C24" s="16">
        <v>40</v>
      </c>
      <c r="D24" s="16">
        <v>8</v>
      </c>
      <c r="E24" s="16" t="s">
        <v>65</v>
      </c>
      <c r="F24" s="16" t="s">
        <v>62</v>
      </c>
      <c r="G24" s="24"/>
      <c r="H24" s="17" t="s">
        <v>97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2</v>
      </c>
      <c r="B25" s="16" t="s">
        <v>19</v>
      </c>
      <c r="C25" s="16">
        <v>40</v>
      </c>
      <c r="D25" s="16">
        <v>8</v>
      </c>
      <c r="E25" s="16" t="s">
        <v>65</v>
      </c>
      <c r="F25" s="16" t="s">
        <v>62</v>
      </c>
      <c r="G25" s="24"/>
      <c r="H25" s="17" t="s">
        <v>97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</v>
      </c>
      <c r="B26" s="16" t="s">
        <v>19</v>
      </c>
      <c r="C26" s="16">
        <v>60</v>
      </c>
      <c r="D26" s="16">
        <v>8</v>
      </c>
      <c r="E26" s="16" t="s">
        <v>65</v>
      </c>
      <c r="F26" s="16" t="s">
        <v>62</v>
      </c>
      <c r="G26" s="24"/>
      <c r="H26" s="17" t="s">
        <v>97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</v>
      </c>
      <c r="B27" s="16" t="s">
        <v>64</v>
      </c>
      <c r="C27" s="16">
        <v>30</v>
      </c>
      <c r="D27" s="16">
        <v>8</v>
      </c>
      <c r="E27" s="16" t="s">
        <v>65</v>
      </c>
      <c r="F27" s="16" t="s">
        <v>62</v>
      </c>
      <c r="G27" s="24"/>
      <c r="H27" s="17" t="s">
        <v>97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/>
      <c r="E28" s="16"/>
      <c r="F28" s="16"/>
      <c r="G28" s="24"/>
      <c r="H28" s="17"/>
      <c r="I28" s="16"/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17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86</v>
      </c>
      <c r="E2" s="4"/>
    </row>
    <row r="3" spans="1:14" x14ac:dyDescent="0.3">
      <c r="A3" s="6" t="s">
        <v>2</v>
      </c>
      <c r="B3" s="7">
        <v>323</v>
      </c>
      <c r="E3" s="4"/>
    </row>
    <row r="4" spans="1:14" x14ac:dyDescent="0.3">
      <c r="A4" s="6" t="s">
        <v>3</v>
      </c>
      <c r="B4" s="8">
        <v>42970</v>
      </c>
      <c r="E4" s="4"/>
    </row>
    <row r="5" spans="1:14" x14ac:dyDescent="0.3">
      <c r="A5" s="6" t="s">
        <v>4</v>
      </c>
      <c r="B5" s="7" t="s">
        <v>195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/>
      <c r="B10" s="16"/>
      <c r="C10" s="16"/>
      <c r="D10" s="16">
        <v>1</v>
      </c>
      <c r="E10" s="16" t="s">
        <v>72</v>
      </c>
      <c r="F10" s="16"/>
      <c r="G10" s="24">
        <v>1605</v>
      </c>
      <c r="H10" s="17" t="s">
        <v>97</v>
      </c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1</v>
      </c>
      <c r="B11" s="16" t="s">
        <v>85</v>
      </c>
      <c r="C11" s="16">
        <v>280</v>
      </c>
      <c r="D11" s="16">
        <v>2</v>
      </c>
      <c r="E11" s="16" t="s">
        <v>71</v>
      </c>
      <c r="F11" s="16" t="s">
        <v>77</v>
      </c>
      <c r="G11" s="24"/>
      <c r="H11" s="17" t="s">
        <v>97</v>
      </c>
      <c r="I11" s="16">
        <v>2</v>
      </c>
      <c r="J11" s="17"/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85</v>
      </c>
      <c r="C12" s="16">
        <v>300</v>
      </c>
      <c r="D12" s="16">
        <v>2</v>
      </c>
      <c r="E12" s="16" t="s">
        <v>71</v>
      </c>
      <c r="F12" s="16" t="s">
        <v>77</v>
      </c>
      <c r="G12" s="24"/>
      <c r="H12" s="17" t="s">
        <v>97</v>
      </c>
      <c r="I12" s="16">
        <v>2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21</v>
      </c>
      <c r="C13" s="16">
        <v>250</v>
      </c>
      <c r="D13" s="16">
        <v>2</v>
      </c>
      <c r="E13" s="16" t="s">
        <v>71</v>
      </c>
      <c r="F13" s="16" t="s">
        <v>77</v>
      </c>
      <c r="G13" s="24"/>
      <c r="H13" s="17" t="s">
        <v>106</v>
      </c>
      <c r="I13" s="16">
        <v>2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21</v>
      </c>
      <c r="C14" s="16">
        <v>120</v>
      </c>
      <c r="D14" s="16">
        <v>3</v>
      </c>
      <c r="E14" s="16" t="s">
        <v>72</v>
      </c>
      <c r="F14" s="16" t="s">
        <v>66</v>
      </c>
      <c r="G14" s="24"/>
      <c r="H14" s="17" t="s">
        <v>106</v>
      </c>
      <c r="I14" s="16">
        <v>1</v>
      </c>
      <c r="J14" s="17"/>
      <c r="L14" s="19">
        <f>SUMIFS($A$10:$A$400,$B$10:$B$400,"CH",$D$10:$D$400,"5")</f>
        <v>1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64</v>
      </c>
      <c r="C15" s="16">
        <v>150</v>
      </c>
      <c r="D15" s="16">
        <v>3</v>
      </c>
      <c r="E15" s="16" t="s">
        <v>72</v>
      </c>
      <c r="F15" s="16" t="s">
        <v>66</v>
      </c>
      <c r="G15" s="24"/>
      <c r="H15" s="17" t="s">
        <v>96</v>
      </c>
      <c r="I15" s="16">
        <v>1</v>
      </c>
      <c r="J15" s="17"/>
      <c r="L15" s="19">
        <f>SUMIFS($A$10:$A$400,$B$10:$B$400,"CH",$D$10:$D$400,"6")</f>
        <v>93</v>
      </c>
      <c r="M15" s="19" t="s">
        <v>19</v>
      </c>
      <c r="N15" s="19" t="s">
        <v>28</v>
      </c>
    </row>
    <row r="16" spans="1:14" s="18" customFormat="1" x14ac:dyDescent="0.3">
      <c r="A16" s="16">
        <v>4</v>
      </c>
      <c r="B16" s="16" t="s">
        <v>85</v>
      </c>
      <c r="C16" s="16">
        <v>200</v>
      </c>
      <c r="D16" s="16">
        <v>3</v>
      </c>
      <c r="E16" s="16" t="s">
        <v>72</v>
      </c>
      <c r="F16" s="16" t="s">
        <v>77</v>
      </c>
      <c r="G16" s="24"/>
      <c r="H16" s="17" t="s">
        <v>96</v>
      </c>
      <c r="I16" s="16">
        <v>2</v>
      </c>
      <c r="J16" s="17"/>
      <c r="L16" s="19">
        <f>SUMIFS($A$10:$A$400,$B$10:$B$400,"CH",$D$10:$D$400,"7")</f>
        <v>2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21</v>
      </c>
      <c r="C17" s="16">
        <v>40</v>
      </c>
      <c r="D17" s="16">
        <v>4</v>
      </c>
      <c r="E17" s="16" t="s">
        <v>65</v>
      </c>
      <c r="F17" s="16" t="s">
        <v>73</v>
      </c>
      <c r="G17" s="24"/>
      <c r="H17" s="17" t="s">
        <v>97</v>
      </c>
      <c r="I17" s="16">
        <v>3</v>
      </c>
      <c r="J17" s="17"/>
      <c r="L17" s="19">
        <f>SUMIFS($A$10:$A$400,$B$10:$B$400,"CH",$D$10:$D$400,"8")</f>
        <v>1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100</v>
      </c>
      <c r="D18" s="16">
        <v>4</v>
      </c>
      <c r="E18" s="16" t="s">
        <v>65</v>
      </c>
      <c r="F18" s="16" t="s">
        <v>77</v>
      </c>
      <c r="G18" s="24"/>
      <c r="H18" s="17" t="s">
        <v>97</v>
      </c>
      <c r="I18" s="16">
        <v>2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68</v>
      </c>
      <c r="C19" s="16">
        <v>60</v>
      </c>
      <c r="D19" s="16">
        <v>4</v>
      </c>
      <c r="E19" s="16" t="s">
        <v>65</v>
      </c>
      <c r="F19" s="16" t="s">
        <v>77</v>
      </c>
      <c r="G19" s="24"/>
      <c r="H19" s="17" t="s">
        <v>97</v>
      </c>
      <c r="I19" s="16">
        <v>2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19</v>
      </c>
      <c r="C20" s="16">
        <v>70</v>
      </c>
      <c r="D20" s="16">
        <v>5</v>
      </c>
      <c r="E20" s="16" t="s">
        <v>72</v>
      </c>
      <c r="F20" s="16" t="s">
        <v>73</v>
      </c>
      <c r="G20" s="24"/>
      <c r="H20" s="17" t="s">
        <v>106</v>
      </c>
      <c r="I20" s="16">
        <v>1</v>
      </c>
      <c r="J20" s="17"/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68</v>
      </c>
      <c r="C21" s="16">
        <v>65</v>
      </c>
      <c r="D21" s="16">
        <v>6</v>
      </c>
      <c r="E21" s="16" t="s">
        <v>68</v>
      </c>
      <c r="F21" s="16" t="s">
        <v>62</v>
      </c>
      <c r="G21" s="24"/>
      <c r="H21" s="17" t="s">
        <v>106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2</v>
      </c>
      <c r="B22" s="16" t="s">
        <v>21</v>
      </c>
      <c r="C22" s="16">
        <v>150</v>
      </c>
      <c r="D22" s="16">
        <v>6</v>
      </c>
      <c r="E22" s="16" t="s">
        <v>68</v>
      </c>
      <c r="F22" s="16" t="s">
        <v>62</v>
      </c>
      <c r="G22" s="24"/>
      <c r="H22" s="17" t="s">
        <v>106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21</v>
      </c>
      <c r="C23" s="16">
        <v>120</v>
      </c>
      <c r="D23" s="16">
        <v>6</v>
      </c>
      <c r="E23" s="16" t="s">
        <v>68</v>
      </c>
      <c r="F23" s="16" t="s">
        <v>62</v>
      </c>
      <c r="G23" s="24"/>
      <c r="H23" s="17" t="s">
        <v>106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3</v>
      </c>
      <c r="B24" s="16" t="s">
        <v>21</v>
      </c>
      <c r="C24" s="16">
        <v>90</v>
      </c>
      <c r="D24" s="16">
        <v>6</v>
      </c>
      <c r="E24" s="16" t="s">
        <v>68</v>
      </c>
      <c r="F24" s="16" t="s">
        <v>62</v>
      </c>
      <c r="G24" s="24"/>
      <c r="H24" s="17" t="s">
        <v>106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65</v>
      </c>
      <c r="B25" s="16" t="s">
        <v>19</v>
      </c>
      <c r="C25" s="16">
        <v>70</v>
      </c>
      <c r="D25" s="16">
        <v>6</v>
      </c>
      <c r="E25" s="16" t="s">
        <v>68</v>
      </c>
      <c r="F25" s="16" t="s">
        <v>62</v>
      </c>
      <c r="G25" s="24"/>
      <c r="H25" s="17" t="s">
        <v>106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15</v>
      </c>
      <c r="B26" s="16" t="s">
        <v>19</v>
      </c>
      <c r="C26" s="16">
        <v>100</v>
      </c>
      <c r="D26" s="16">
        <v>6</v>
      </c>
      <c r="E26" s="16" t="s">
        <v>68</v>
      </c>
      <c r="F26" s="16" t="s">
        <v>62</v>
      </c>
      <c r="G26" s="24"/>
      <c r="H26" s="17" t="s">
        <v>106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10</v>
      </c>
      <c r="B27" s="16" t="s">
        <v>19</v>
      </c>
      <c r="C27" s="16">
        <v>60</v>
      </c>
      <c r="D27" s="16">
        <v>6</v>
      </c>
      <c r="E27" s="16" t="s">
        <v>68</v>
      </c>
      <c r="F27" s="16" t="s">
        <v>62</v>
      </c>
      <c r="G27" s="24"/>
      <c r="H27" s="17" t="s">
        <v>106</v>
      </c>
      <c r="I27" s="16">
        <v>1</v>
      </c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3</v>
      </c>
      <c r="B28" s="16" t="s">
        <v>19</v>
      </c>
      <c r="C28" s="16">
        <v>50</v>
      </c>
      <c r="D28" s="16">
        <v>6</v>
      </c>
      <c r="E28" s="16" t="s">
        <v>68</v>
      </c>
      <c r="F28" s="16" t="s">
        <v>62</v>
      </c>
      <c r="G28" s="24"/>
      <c r="H28" s="17" t="s">
        <v>106</v>
      </c>
      <c r="I28" s="16">
        <v>1</v>
      </c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21</v>
      </c>
      <c r="C29" s="16">
        <v>90</v>
      </c>
      <c r="D29" s="16">
        <v>5</v>
      </c>
      <c r="E29" s="16" t="s">
        <v>72</v>
      </c>
      <c r="F29" s="16" t="s">
        <v>77</v>
      </c>
      <c r="G29" s="24"/>
      <c r="H29" s="17" t="s">
        <v>96</v>
      </c>
      <c r="I29" s="16">
        <v>2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1</v>
      </c>
      <c r="B30" s="16" t="s">
        <v>68</v>
      </c>
      <c r="C30" s="16">
        <v>100</v>
      </c>
      <c r="D30" s="16">
        <v>5</v>
      </c>
      <c r="E30" s="16" t="s">
        <v>72</v>
      </c>
      <c r="F30" s="16" t="s">
        <v>77</v>
      </c>
      <c r="G30" s="24"/>
      <c r="H30" s="17" t="s">
        <v>97</v>
      </c>
      <c r="I30" s="16">
        <v>1</v>
      </c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2</v>
      </c>
      <c r="B31" s="16" t="s">
        <v>19</v>
      </c>
      <c r="C31" s="16">
        <v>60</v>
      </c>
      <c r="D31" s="16">
        <v>7</v>
      </c>
      <c r="E31" s="16" t="s">
        <v>65</v>
      </c>
      <c r="F31" s="16" t="s">
        <v>63</v>
      </c>
      <c r="G31" s="24"/>
      <c r="H31" s="17" t="s">
        <v>97</v>
      </c>
      <c r="I31" s="16">
        <v>2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5</v>
      </c>
      <c r="B32" s="16" t="s">
        <v>85</v>
      </c>
      <c r="C32" s="16">
        <v>280</v>
      </c>
      <c r="D32" s="16">
        <v>8</v>
      </c>
      <c r="E32" s="16" t="s">
        <v>71</v>
      </c>
      <c r="F32" s="16" t="s">
        <v>77</v>
      </c>
      <c r="G32" s="24"/>
      <c r="H32" s="17" t="s">
        <v>96</v>
      </c>
      <c r="I32" s="16">
        <v>1</v>
      </c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>
        <v>1</v>
      </c>
      <c r="B33" s="16" t="s">
        <v>19</v>
      </c>
      <c r="C33" s="16">
        <v>60</v>
      </c>
      <c r="D33" s="16">
        <v>8</v>
      </c>
      <c r="E33" s="16" t="s">
        <v>71</v>
      </c>
      <c r="F33" s="16" t="s">
        <v>63</v>
      </c>
      <c r="G33" s="24"/>
      <c r="H33" s="17" t="s">
        <v>97</v>
      </c>
      <c r="I33" s="16">
        <v>2</v>
      </c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>
        <v>2</v>
      </c>
      <c r="B34" s="16" t="s">
        <v>85</v>
      </c>
      <c r="C34" s="16">
        <v>200</v>
      </c>
      <c r="D34" s="16">
        <v>8</v>
      </c>
      <c r="E34" s="16" t="s">
        <v>72</v>
      </c>
      <c r="F34" s="16" t="s">
        <v>77</v>
      </c>
      <c r="G34" s="24"/>
      <c r="H34" s="17" t="s">
        <v>96</v>
      </c>
      <c r="I34" s="16">
        <v>2</v>
      </c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>
        <v>1</v>
      </c>
      <c r="B35" s="16" t="s">
        <v>21</v>
      </c>
      <c r="C35" s="16">
        <v>200</v>
      </c>
      <c r="D35" s="16">
        <v>9</v>
      </c>
      <c r="E35" s="16" t="s">
        <v>72</v>
      </c>
      <c r="F35" s="16" t="s">
        <v>77</v>
      </c>
      <c r="G35" s="24"/>
      <c r="H35" s="17" t="s">
        <v>96</v>
      </c>
      <c r="I35" s="16">
        <v>2</v>
      </c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>
        <v>1</v>
      </c>
      <c r="B36" s="16" t="s">
        <v>85</v>
      </c>
      <c r="C36" s="16">
        <v>200</v>
      </c>
      <c r="D36" s="16">
        <v>9</v>
      </c>
      <c r="E36" s="16" t="s">
        <v>72</v>
      </c>
      <c r="F36" s="16" t="s">
        <v>77</v>
      </c>
      <c r="G36" s="24"/>
      <c r="H36" s="17" t="s">
        <v>96</v>
      </c>
      <c r="I36" s="16">
        <v>2</v>
      </c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>
        <v>10</v>
      </c>
      <c r="E37" s="16" t="s">
        <v>65</v>
      </c>
      <c r="F37" s="16"/>
      <c r="G37" s="24"/>
      <c r="H37" s="17" t="s">
        <v>96</v>
      </c>
      <c r="I37" s="16"/>
      <c r="J37" s="17" t="s">
        <v>89</v>
      </c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97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1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1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1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1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6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1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11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107</v>
      </c>
      <c r="E2" s="4"/>
    </row>
    <row r="3" spans="1:14" x14ac:dyDescent="0.3">
      <c r="A3" s="6" t="s">
        <v>2</v>
      </c>
      <c r="B3" s="7">
        <v>436</v>
      </c>
      <c r="E3" s="4"/>
    </row>
    <row r="4" spans="1:14" x14ac:dyDescent="0.3">
      <c r="A4" s="6" t="s">
        <v>3</v>
      </c>
      <c r="B4" s="8">
        <v>42935</v>
      </c>
      <c r="E4" s="4"/>
    </row>
    <row r="5" spans="1:14" x14ac:dyDescent="0.3">
      <c r="A5" s="6" t="s">
        <v>4</v>
      </c>
      <c r="B5" s="7" t="s">
        <v>104</v>
      </c>
      <c r="E5" s="4"/>
    </row>
    <row r="6" spans="1:14" x14ac:dyDescent="0.3">
      <c r="A6" s="9" t="s">
        <v>1</v>
      </c>
      <c r="B6" s="10">
        <v>3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 t="s">
        <v>108</v>
      </c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1</v>
      </c>
      <c r="B10" s="16" t="s">
        <v>64</v>
      </c>
      <c r="C10" s="16">
        <v>110</v>
      </c>
      <c r="D10" s="16">
        <v>1</v>
      </c>
      <c r="E10" s="16" t="s">
        <v>71</v>
      </c>
      <c r="F10" s="16" t="s">
        <v>77</v>
      </c>
      <c r="G10" s="24">
        <v>1100</v>
      </c>
      <c r="H10" s="17" t="s">
        <v>97</v>
      </c>
      <c r="I10" s="16">
        <v>1</v>
      </c>
      <c r="J10" s="17" t="s">
        <v>109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71</v>
      </c>
      <c r="F11" s="16" t="s">
        <v>77</v>
      </c>
      <c r="G11" s="24">
        <v>1107</v>
      </c>
      <c r="H11" s="17" t="s">
        <v>97</v>
      </c>
      <c r="I11" s="16">
        <v>1</v>
      </c>
      <c r="J11" s="17" t="s">
        <v>110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0</v>
      </c>
      <c r="B12" s="16"/>
      <c r="C12" s="16"/>
      <c r="D12" s="16">
        <v>3</v>
      </c>
      <c r="E12" s="16" t="s">
        <v>65</v>
      </c>
      <c r="F12" s="16" t="s">
        <v>77</v>
      </c>
      <c r="G12" s="24">
        <v>1108</v>
      </c>
      <c r="H12" s="17" t="s">
        <v>97</v>
      </c>
      <c r="I12" s="16">
        <v>1</v>
      </c>
      <c r="J12" s="17" t="s">
        <v>89</v>
      </c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64</v>
      </c>
      <c r="C13" s="16">
        <v>100</v>
      </c>
      <c r="D13" s="16">
        <v>4</v>
      </c>
      <c r="E13" s="16" t="s">
        <v>72</v>
      </c>
      <c r="F13" s="16" t="s">
        <v>66</v>
      </c>
      <c r="G13" s="24">
        <v>1110</v>
      </c>
      <c r="H13" s="17" t="s">
        <v>97</v>
      </c>
      <c r="I13" s="16">
        <v>1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1</v>
      </c>
      <c r="B14" s="16" t="s">
        <v>64</v>
      </c>
      <c r="C14" s="16">
        <v>240</v>
      </c>
      <c r="D14" s="16">
        <v>5</v>
      </c>
      <c r="E14" s="16" t="s">
        <v>71</v>
      </c>
      <c r="F14" s="16" t="s">
        <v>66</v>
      </c>
      <c r="G14" s="24">
        <v>1119</v>
      </c>
      <c r="H14" s="17" t="s">
        <v>97</v>
      </c>
      <c r="I14" s="16">
        <v>1</v>
      </c>
      <c r="J14" s="17"/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0</v>
      </c>
      <c r="B15" s="16"/>
      <c r="C15" s="16"/>
      <c r="D15" s="16">
        <v>6</v>
      </c>
      <c r="E15" s="16" t="s">
        <v>72</v>
      </c>
      <c r="F15" s="16" t="s">
        <v>77</v>
      </c>
      <c r="G15" s="24">
        <v>1120</v>
      </c>
      <c r="H15" s="17" t="s">
        <v>97</v>
      </c>
      <c r="I15" s="16">
        <v>1</v>
      </c>
      <c r="J15" s="17" t="s">
        <v>89</v>
      </c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1</v>
      </c>
      <c r="B16" s="16" t="s">
        <v>64</v>
      </c>
      <c r="C16" s="16">
        <v>140</v>
      </c>
      <c r="D16" s="16">
        <v>7</v>
      </c>
      <c r="E16" s="16" t="s">
        <v>71</v>
      </c>
      <c r="F16" s="16" t="s">
        <v>73</v>
      </c>
      <c r="G16" s="24">
        <v>1123</v>
      </c>
      <c r="H16" s="17" t="s">
        <v>97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1</v>
      </c>
      <c r="B17" s="16" t="s">
        <v>64</v>
      </c>
      <c r="C17" s="16">
        <v>120</v>
      </c>
      <c r="D17" s="16">
        <v>7</v>
      </c>
      <c r="E17" s="16" t="s">
        <v>71</v>
      </c>
      <c r="F17" s="16" t="s">
        <v>77</v>
      </c>
      <c r="G17" s="24"/>
      <c r="H17" s="17" t="s">
        <v>97</v>
      </c>
      <c r="I17" s="16">
        <v>1</v>
      </c>
      <c r="J17" s="17"/>
      <c r="L17" s="19">
        <f>SUMIFS($A$10:$A$400,$B$10:$B$400,"CH",$D$10:$D$400,"8")</f>
        <v>0</v>
      </c>
      <c r="M17" s="19" t="s">
        <v>19</v>
      </c>
      <c r="N17" s="19" t="s">
        <v>30</v>
      </c>
    </row>
    <row r="18" spans="1:14" s="18" customFormat="1" x14ac:dyDescent="0.3">
      <c r="A18" s="16">
        <v>0</v>
      </c>
      <c r="B18" s="16"/>
      <c r="C18" s="16"/>
      <c r="D18" s="16">
        <v>8</v>
      </c>
      <c r="E18" s="16" t="s">
        <v>72</v>
      </c>
      <c r="F18" s="16" t="s">
        <v>77</v>
      </c>
      <c r="G18" s="24">
        <v>1125</v>
      </c>
      <c r="H18" s="17" t="s">
        <v>97</v>
      </c>
      <c r="I18" s="16">
        <v>1</v>
      </c>
      <c r="J18" s="17" t="s">
        <v>89</v>
      </c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64</v>
      </c>
      <c r="C19" s="16">
        <v>120</v>
      </c>
      <c r="D19" s="16">
        <v>9</v>
      </c>
      <c r="E19" s="16" t="s">
        <v>65</v>
      </c>
      <c r="F19" s="16" t="s">
        <v>73</v>
      </c>
      <c r="G19" s="24">
        <v>1131</v>
      </c>
      <c r="H19" s="17" t="s">
        <v>97</v>
      </c>
      <c r="I19" s="16">
        <v>1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1</v>
      </c>
      <c r="B20" s="16" t="s">
        <v>64</v>
      </c>
      <c r="C20" s="16">
        <v>100</v>
      </c>
      <c r="D20" s="16">
        <v>9</v>
      </c>
      <c r="E20" s="16" t="s">
        <v>65</v>
      </c>
      <c r="F20" s="16" t="s">
        <v>62</v>
      </c>
      <c r="G20" s="24"/>
      <c r="H20" s="17" t="s">
        <v>97</v>
      </c>
      <c r="I20" s="16">
        <v>1</v>
      </c>
      <c r="J20" s="17" t="s">
        <v>111</v>
      </c>
      <c r="L20" s="19">
        <f>SUMIFS($A$10:$A$400,$B$10:$B$400,"CH",$D$10:$D$400,"11")</f>
        <v>0</v>
      </c>
      <c r="M20" s="19" t="s">
        <v>19</v>
      </c>
      <c r="N20" s="19" t="s">
        <v>23</v>
      </c>
    </row>
    <row r="21" spans="1:14" s="18" customFormat="1" x14ac:dyDescent="0.3">
      <c r="A21" s="16">
        <v>2</v>
      </c>
      <c r="B21" s="16" t="s">
        <v>64</v>
      </c>
      <c r="C21" s="16">
        <v>120</v>
      </c>
      <c r="D21" s="16">
        <v>10</v>
      </c>
      <c r="E21" s="16" t="s">
        <v>71</v>
      </c>
      <c r="F21" s="16" t="s">
        <v>62</v>
      </c>
      <c r="G21" s="24">
        <v>1136</v>
      </c>
      <c r="H21" s="17" t="s">
        <v>97</v>
      </c>
      <c r="I21" s="16">
        <v>1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1</v>
      </c>
      <c r="B22" s="16" t="s">
        <v>64</v>
      </c>
      <c r="C22" s="16">
        <v>110</v>
      </c>
      <c r="D22" s="16">
        <v>10</v>
      </c>
      <c r="E22" s="16" t="s">
        <v>71</v>
      </c>
      <c r="F22" s="16" t="s">
        <v>62</v>
      </c>
      <c r="G22" s="24"/>
      <c r="H22" s="17" t="s">
        <v>97</v>
      </c>
      <c r="I22" s="16">
        <v>1</v>
      </c>
      <c r="J22" s="17"/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>
        <v>1</v>
      </c>
      <c r="B23" s="16" t="s">
        <v>64</v>
      </c>
      <c r="C23" s="16">
        <v>100</v>
      </c>
      <c r="D23" s="16">
        <v>10</v>
      </c>
      <c r="E23" s="16" t="s">
        <v>71</v>
      </c>
      <c r="F23" s="16" t="s">
        <v>62</v>
      </c>
      <c r="G23" s="24"/>
      <c r="H23" s="17" t="s">
        <v>97</v>
      </c>
      <c r="I23" s="16">
        <v>1</v>
      </c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>
        <v>1</v>
      </c>
      <c r="B24" s="16" t="s">
        <v>64</v>
      </c>
      <c r="C24" s="16">
        <v>150</v>
      </c>
      <c r="D24" s="16">
        <v>10</v>
      </c>
      <c r="E24" s="16" t="s">
        <v>71</v>
      </c>
      <c r="F24" s="16" t="s">
        <v>62</v>
      </c>
      <c r="G24" s="24"/>
      <c r="H24" s="17" t="s">
        <v>97</v>
      </c>
      <c r="I24" s="16">
        <v>1</v>
      </c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>
        <v>1</v>
      </c>
      <c r="B25" s="16" t="s">
        <v>64</v>
      </c>
      <c r="C25" s="16">
        <v>220</v>
      </c>
      <c r="D25" s="16">
        <v>10</v>
      </c>
      <c r="E25" s="16" t="s">
        <v>71</v>
      </c>
      <c r="F25" s="16" t="s">
        <v>62</v>
      </c>
      <c r="G25" s="24"/>
      <c r="H25" s="17" t="s">
        <v>97</v>
      </c>
      <c r="I25" s="16">
        <v>1</v>
      </c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>
        <v>2</v>
      </c>
      <c r="B26" s="16" t="s">
        <v>64</v>
      </c>
      <c r="C26" s="16">
        <v>130</v>
      </c>
      <c r="D26" s="16">
        <v>10</v>
      </c>
      <c r="E26" s="16" t="s">
        <v>71</v>
      </c>
      <c r="F26" s="16" t="s">
        <v>62</v>
      </c>
      <c r="G26" s="24"/>
      <c r="H26" s="17" t="s">
        <v>97</v>
      </c>
      <c r="I26" s="16">
        <v>1</v>
      </c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>
        <v>0</v>
      </c>
      <c r="B27" s="16"/>
      <c r="C27" s="16"/>
      <c r="D27" s="16">
        <v>11</v>
      </c>
      <c r="E27" s="16" t="s">
        <v>65</v>
      </c>
      <c r="F27" s="16" t="s">
        <v>62</v>
      </c>
      <c r="G27" s="24"/>
      <c r="H27" s="17" t="s">
        <v>97</v>
      </c>
      <c r="I27" s="16">
        <v>1</v>
      </c>
      <c r="J27" s="17" t="s">
        <v>89</v>
      </c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>
        <v>0</v>
      </c>
      <c r="B28" s="16"/>
      <c r="C28" s="16"/>
      <c r="D28" s="16">
        <v>12</v>
      </c>
      <c r="E28" s="16" t="s">
        <v>72</v>
      </c>
      <c r="F28" s="16" t="s">
        <v>77</v>
      </c>
      <c r="G28" s="24"/>
      <c r="H28" s="17" t="s">
        <v>97</v>
      </c>
      <c r="I28" s="16">
        <v>1</v>
      </c>
      <c r="J28" s="17" t="s">
        <v>89</v>
      </c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>
        <v>1</v>
      </c>
      <c r="B29" s="16" t="s">
        <v>64</v>
      </c>
      <c r="C29" s="16">
        <v>200</v>
      </c>
      <c r="D29" s="16">
        <v>13</v>
      </c>
      <c r="E29" s="16" t="s">
        <v>71</v>
      </c>
      <c r="F29" s="16" t="s">
        <v>77</v>
      </c>
      <c r="G29" s="24">
        <v>1145</v>
      </c>
      <c r="H29" s="17" t="s">
        <v>97</v>
      </c>
      <c r="I29" s="16">
        <v>1</v>
      </c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>
        <v>0</v>
      </c>
      <c r="B30" s="16"/>
      <c r="C30" s="16"/>
      <c r="D30" s="16">
        <v>14</v>
      </c>
      <c r="E30" s="16" t="s">
        <v>71</v>
      </c>
      <c r="F30" s="16" t="s">
        <v>63</v>
      </c>
      <c r="G30" s="24"/>
      <c r="H30" s="17" t="s">
        <v>97</v>
      </c>
      <c r="I30" s="16">
        <v>1</v>
      </c>
      <c r="J30" s="17" t="s">
        <v>89</v>
      </c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>
        <v>1</v>
      </c>
      <c r="B31" s="16" t="s">
        <v>64</v>
      </c>
      <c r="C31" s="16">
        <v>90</v>
      </c>
      <c r="D31" s="16">
        <v>15</v>
      </c>
      <c r="E31" s="16" t="s">
        <v>72</v>
      </c>
      <c r="F31" s="16" t="s">
        <v>77</v>
      </c>
      <c r="G31" s="24">
        <v>1153</v>
      </c>
      <c r="H31" s="17" t="s">
        <v>97</v>
      </c>
      <c r="I31" s="16">
        <v>1</v>
      </c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>
        <v>1</v>
      </c>
      <c r="B32" s="16" t="s">
        <v>64</v>
      </c>
      <c r="C32" s="16">
        <v>110</v>
      </c>
      <c r="D32" s="16">
        <v>15</v>
      </c>
      <c r="E32" s="16" t="s">
        <v>72</v>
      </c>
      <c r="F32" s="16" t="s">
        <v>63</v>
      </c>
      <c r="G32" s="24">
        <v>1156</v>
      </c>
      <c r="H32" s="17" t="s">
        <v>97</v>
      </c>
      <c r="I32" s="16">
        <v>1</v>
      </c>
      <c r="J32" s="17" t="s">
        <v>112</v>
      </c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0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0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0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1"/>
  <sheetViews>
    <sheetView workbookViewId="0">
      <selection activeCell="D1" sqref="D1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4" max="4" width="7.33203125" style="3" customWidth="1"/>
    <col min="5" max="5" width="11.88671875" style="3" customWidth="1"/>
    <col min="6" max="6" width="21.33203125" style="3" customWidth="1"/>
    <col min="7" max="7" width="8.109375" style="22" customWidth="1"/>
    <col min="8" max="8" width="8.88671875" style="5"/>
    <col min="9" max="9" width="8.88671875" style="3"/>
    <col min="10" max="10" width="10.6640625" style="5" customWidth="1"/>
    <col min="11" max="11" width="8.88671875" style="5"/>
    <col min="12" max="14" width="8.88671875" style="3"/>
    <col min="15" max="248" width="8.88671875" style="5"/>
    <col min="249" max="249" width="14.33203125" style="5" customWidth="1"/>
    <col min="250" max="250" width="15" style="5" customWidth="1"/>
    <col min="251" max="251" width="8.88671875" style="5"/>
    <col min="252" max="252" width="12.88671875" style="5" customWidth="1"/>
    <col min="253" max="253" width="12.33203125" style="5" customWidth="1"/>
    <col min="254" max="504" width="8.88671875" style="5"/>
    <col min="505" max="505" width="14.33203125" style="5" customWidth="1"/>
    <col min="506" max="506" width="15" style="5" customWidth="1"/>
    <col min="507" max="507" width="8.88671875" style="5"/>
    <col min="508" max="508" width="12.88671875" style="5" customWidth="1"/>
    <col min="509" max="509" width="12.33203125" style="5" customWidth="1"/>
    <col min="510" max="760" width="8.88671875" style="5"/>
    <col min="761" max="761" width="14.33203125" style="5" customWidth="1"/>
    <col min="762" max="762" width="15" style="5" customWidth="1"/>
    <col min="763" max="763" width="8.88671875" style="5"/>
    <col min="764" max="764" width="12.88671875" style="5" customWidth="1"/>
    <col min="765" max="765" width="12.33203125" style="5" customWidth="1"/>
    <col min="766" max="1016" width="8.88671875" style="5"/>
    <col min="1017" max="1017" width="14.33203125" style="5" customWidth="1"/>
    <col min="1018" max="1018" width="15" style="5" customWidth="1"/>
    <col min="1019" max="1019" width="8.88671875" style="5"/>
    <col min="1020" max="1020" width="12.88671875" style="5" customWidth="1"/>
    <col min="1021" max="1021" width="12.33203125" style="5" customWidth="1"/>
    <col min="1022" max="1272" width="8.88671875" style="5"/>
    <col min="1273" max="1273" width="14.33203125" style="5" customWidth="1"/>
    <col min="1274" max="1274" width="15" style="5" customWidth="1"/>
    <col min="1275" max="1275" width="8.88671875" style="5"/>
    <col min="1276" max="1276" width="12.88671875" style="5" customWidth="1"/>
    <col min="1277" max="1277" width="12.33203125" style="5" customWidth="1"/>
    <col min="1278" max="1528" width="8.88671875" style="5"/>
    <col min="1529" max="1529" width="14.33203125" style="5" customWidth="1"/>
    <col min="1530" max="1530" width="15" style="5" customWidth="1"/>
    <col min="1531" max="1531" width="8.88671875" style="5"/>
    <col min="1532" max="1532" width="12.88671875" style="5" customWidth="1"/>
    <col min="1533" max="1533" width="12.33203125" style="5" customWidth="1"/>
    <col min="1534" max="1784" width="8.88671875" style="5"/>
    <col min="1785" max="1785" width="14.33203125" style="5" customWidth="1"/>
    <col min="1786" max="1786" width="15" style="5" customWidth="1"/>
    <col min="1787" max="1787" width="8.88671875" style="5"/>
    <col min="1788" max="1788" width="12.88671875" style="5" customWidth="1"/>
    <col min="1789" max="1789" width="12.33203125" style="5" customWidth="1"/>
    <col min="1790" max="2040" width="8.88671875" style="5"/>
    <col min="2041" max="2041" width="14.33203125" style="5" customWidth="1"/>
    <col min="2042" max="2042" width="15" style="5" customWidth="1"/>
    <col min="2043" max="2043" width="8.88671875" style="5"/>
    <col min="2044" max="2044" width="12.88671875" style="5" customWidth="1"/>
    <col min="2045" max="2045" width="12.33203125" style="5" customWidth="1"/>
    <col min="2046" max="2296" width="8.88671875" style="5"/>
    <col min="2297" max="2297" width="14.33203125" style="5" customWidth="1"/>
    <col min="2298" max="2298" width="15" style="5" customWidth="1"/>
    <col min="2299" max="2299" width="8.88671875" style="5"/>
    <col min="2300" max="2300" width="12.88671875" style="5" customWidth="1"/>
    <col min="2301" max="2301" width="12.33203125" style="5" customWidth="1"/>
    <col min="2302" max="2552" width="8.88671875" style="5"/>
    <col min="2553" max="2553" width="14.33203125" style="5" customWidth="1"/>
    <col min="2554" max="2554" width="15" style="5" customWidth="1"/>
    <col min="2555" max="2555" width="8.88671875" style="5"/>
    <col min="2556" max="2556" width="12.88671875" style="5" customWidth="1"/>
    <col min="2557" max="2557" width="12.33203125" style="5" customWidth="1"/>
    <col min="2558" max="2808" width="8.88671875" style="5"/>
    <col min="2809" max="2809" width="14.33203125" style="5" customWidth="1"/>
    <col min="2810" max="2810" width="15" style="5" customWidth="1"/>
    <col min="2811" max="2811" width="8.88671875" style="5"/>
    <col min="2812" max="2812" width="12.88671875" style="5" customWidth="1"/>
    <col min="2813" max="2813" width="12.33203125" style="5" customWidth="1"/>
    <col min="2814" max="3064" width="8.88671875" style="5"/>
    <col min="3065" max="3065" width="14.33203125" style="5" customWidth="1"/>
    <col min="3066" max="3066" width="15" style="5" customWidth="1"/>
    <col min="3067" max="3067" width="8.88671875" style="5"/>
    <col min="3068" max="3068" width="12.88671875" style="5" customWidth="1"/>
    <col min="3069" max="3069" width="12.33203125" style="5" customWidth="1"/>
    <col min="3070" max="3320" width="8.88671875" style="5"/>
    <col min="3321" max="3321" width="14.33203125" style="5" customWidth="1"/>
    <col min="3322" max="3322" width="15" style="5" customWidth="1"/>
    <col min="3323" max="3323" width="8.88671875" style="5"/>
    <col min="3324" max="3324" width="12.88671875" style="5" customWidth="1"/>
    <col min="3325" max="3325" width="12.33203125" style="5" customWidth="1"/>
    <col min="3326" max="3576" width="8.88671875" style="5"/>
    <col min="3577" max="3577" width="14.33203125" style="5" customWidth="1"/>
    <col min="3578" max="3578" width="15" style="5" customWidth="1"/>
    <col min="3579" max="3579" width="8.88671875" style="5"/>
    <col min="3580" max="3580" width="12.88671875" style="5" customWidth="1"/>
    <col min="3581" max="3581" width="12.33203125" style="5" customWidth="1"/>
    <col min="3582" max="3832" width="8.88671875" style="5"/>
    <col min="3833" max="3833" width="14.33203125" style="5" customWidth="1"/>
    <col min="3834" max="3834" width="15" style="5" customWidth="1"/>
    <col min="3835" max="3835" width="8.88671875" style="5"/>
    <col min="3836" max="3836" width="12.88671875" style="5" customWidth="1"/>
    <col min="3837" max="3837" width="12.33203125" style="5" customWidth="1"/>
    <col min="3838" max="4088" width="8.88671875" style="5"/>
    <col min="4089" max="4089" width="14.33203125" style="5" customWidth="1"/>
    <col min="4090" max="4090" width="15" style="5" customWidth="1"/>
    <col min="4091" max="4091" width="8.88671875" style="5"/>
    <col min="4092" max="4092" width="12.88671875" style="5" customWidth="1"/>
    <col min="4093" max="4093" width="12.33203125" style="5" customWidth="1"/>
    <col min="4094" max="4344" width="8.88671875" style="5"/>
    <col min="4345" max="4345" width="14.33203125" style="5" customWidth="1"/>
    <col min="4346" max="4346" width="15" style="5" customWidth="1"/>
    <col min="4347" max="4347" width="8.88671875" style="5"/>
    <col min="4348" max="4348" width="12.88671875" style="5" customWidth="1"/>
    <col min="4349" max="4349" width="12.33203125" style="5" customWidth="1"/>
    <col min="4350" max="4600" width="8.88671875" style="5"/>
    <col min="4601" max="4601" width="14.33203125" style="5" customWidth="1"/>
    <col min="4602" max="4602" width="15" style="5" customWidth="1"/>
    <col min="4603" max="4603" width="8.88671875" style="5"/>
    <col min="4604" max="4604" width="12.88671875" style="5" customWidth="1"/>
    <col min="4605" max="4605" width="12.33203125" style="5" customWidth="1"/>
    <col min="4606" max="4856" width="8.88671875" style="5"/>
    <col min="4857" max="4857" width="14.33203125" style="5" customWidth="1"/>
    <col min="4858" max="4858" width="15" style="5" customWidth="1"/>
    <col min="4859" max="4859" width="8.88671875" style="5"/>
    <col min="4860" max="4860" width="12.88671875" style="5" customWidth="1"/>
    <col min="4861" max="4861" width="12.33203125" style="5" customWidth="1"/>
    <col min="4862" max="5112" width="8.88671875" style="5"/>
    <col min="5113" max="5113" width="14.33203125" style="5" customWidth="1"/>
    <col min="5114" max="5114" width="15" style="5" customWidth="1"/>
    <col min="5115" max="5115" width="8.88671875" style="5"/>
    <col min="5116" max="5116" width="12.88671875" style="5" customWidth="1"/>
    <col min="5117" max="5117" width="12.33203125" style="5" customWidth="1"/>
    <col min="5118" max="5368" width="8.88671875" style="5"/>
    <col min="5369" max="5369" width="14.33203125" style="5" customWidth="1"/>
    <col min="5370" max="5370" width="15" style="5" customWidth="1"/>
    <col min="5371" max="5371" width="8.88671875" style="5"/>
    <col min="5372" max="5372" width="12.88671875" style="5" customWidth="1"/>
    <col min="5373" max="5373" width="12.33203125" style="5" customWidth="1"/>
    <col min="5374" max="5624" width="8.88671875" style="5"/>
    <col min="5625" max="5625" width="14.33203125" style="5" customWidth="1"/>
    <col min="5626" max="5626" width="15" style="5" customWidth="1"/>
    <col min="5627" max="5627" width="8.88671875" style="5"/>
    <col min="5628" max="5628" width="12.88671875" style="5" customWidth="1"/>
    <col min="5629" max="5629" width="12.33203125" style="5" customWidth="1"/>
    <col min="5630" max="5880" width="8.88671875" style="5"/>
    <col min="5881" max="5881" width="14.33203125" style="5" customWidth="1"/>
    <col min="5882" max="5882" width="15" style="5" customWidth="1"/>
    <col min="5883" max="5883" width="8.88671875" style="5"/>
    <col min="5884" max="5884" width="12.88671875" style="5" customWidth="1"/>
    <col min="5885" max="5885" width="12.33203125" style="5" customWidth="1"/>
    <col min="5886" max="6136" width="8.88671875" style="5"/>
    <col min="6137" max="6137" width="14.33203125" style="5" customWidth="1"/>
    <col min="6138" max="6138" width="15" style="5" customWidth="1"/>
    <col min="6139" max="6139" width="8.88671875" style="5"/>
    <col min="6140" max="6140" width="12.88671875" style="5" customWidth="1"/>
    <col min="6141" max="6141" width="12.33203125" style="5" customWidth="1"/>
    <col min="6142" max="6392" width="8.88671875" style="5"/>
    <col min="6393" max="6393" width="14.33203125" style="5" customWidth="1"/>
    <col min="6394" max="6394" width="15" style="5" customWidth="1"/>
    <col min="6395" max="6395" width="8.88671875" style="5"/>
    <col min="6396" max="6396" width="12.88671875" style="5" customWidth="1"/>
    <col min="6397" max="6397" width="12.33203125" style="5" customWidth="1"/>
    <col min="6398" max="6648" width="8.88671875" style="5"/>
    <col min="6649" max="6649" width="14.33203125" style="5" customWidth="1"/>
    <col min="6650" max="6650" width="15" style="5" customWidth="1"/>
    <col min="6651" max="6651" width="8.88671875" style="5"/>
    <col min="6652" max="6652" width="12.88671875" style="5" customWidth="1"/>
    <col min="6653" max="6653" width="12.33203125" style="5" customWidth="1"/>
    <col min="6654" max="6904" width="8.88671875" style="5"/>
    <col min="6905" max="6905" width="14.33203125" style="5" customWidth="1"/>
    <col min="6906" max="6906" width="15" style="5" customWidth="1"/>
    <col min="6907" max="6907" width="8.88671875" style="5"/>
    <col min="6908" max="6908" width="12.88671875" style="5" customWidth="1"/>
    <col min="6909" max="6909" width="12.33203125" style="5" customWidth="1"/>
    <col min="6910" max="7160" width="8.88671875" style="5"/>
    <col min="7161" max="7161" width="14.33203125" style="5" customWidth="1"/>
    <col min="7162" max="7162" width="15" style="5" customWidth="1"/>
    <col min="7163" max="7163" width="8.88671875" style="5"/>
    <col min="7164" max="7164" width="12.88671875" style="5" customWidth="1"/>
    <col min="7165" max="7165" width="12.33203125" style="5" customWidth="1"/>
    <col min="7166" max="7416" width="8.88671875" style="5"/>
    <col min="7417" max="7417" width="14.33203125" style="5" customWidth="1"/>
    <col min="7418" max="7418" width="15" style="5" customWidth="1"/>
    <col min="7419" max="7419" width="8.88671875" style="5"/>
    <col min="7420" max="7420" width="12.88671875" style="5" customWidth="1"/>
    <col min="7421" max="7421" width="12.33203125" style="5" customWidth="1"/>
    <col min="7422" max="7672" width="8.88671875" style="5"/>
    <col min="7673" max="7673" width="14.33203125" style="5" customWidth="1"/>
    <col min="7674" max="7674" width="15" style="5" customWidth="1"/>
    <col min="7675" max="7675" width="8.88671875" style="5"/>
    <col min="7676" max="7676" width="12.88671875" style="5" customWidth="1"/>
    <col min="7677" max="7677" width="12.33203125" style="5" customWidth="1"/>
    <col min="7678" max="7928" width="8.88671875" style="5"/>
    <col min="7929" max="7929" width="14.33203125" style="5" customWidth="1"/>
    <col min="7930" max="7930" width="15" style="5" customWidth="1"/>
    <col min="7931" max="7931" width="8.88671875" style="5"/>
    <col min="7932" max="7932" width="12.88671875" style="5" customWidth="1"/>
    <col min="7933" max="7933" width="12.33203125" style="5" customWidth="1"/>
    <col min="7934" max="8184" width="8.88671875" style="5"/>
    <col min="8185" max="8185" width="14.33203125" style="5" customWidth="1"/>
    <col min="8186" max="8186" width="15" style="5" customWidth="1"/>
    <col min="8187" max="8187" width="8.88671875" style="5"/>
    <col min="8188" max="8188" width="12.88671875" style="5" customWidth="1"/>
    <col min="8189" max="8189" width="12.33203125" style="5" customWidth="1"/>
    <col min="8190" max="8440" width="8.88671875" style="5"/>
    <col min="8441" max="8441" width="14.33203125" style="5" customWidth="1"/>
    <col min="8442" max="8442" width="15" style="5" customWidth="1"/>
    <col min="8443" max="8443" width="8.88671875" style="5"/>
    <col min="8444" max="8444" width="12.88671875" style="5" customWidth="1"/>
    <col min="8445" max="8445" width="12.33203125" style="5" customWidth="1"/>
    <col min="8446" max="8696" width="8.88671875" style="5"/>
    <col min="8697" max="8697" width="14.33203125" style="5" customWidth="1"/>
    <col min="8698" max="8698" width="15" style="5" customWidth="1"/>
    <col min="8699" max="8699" width="8.88671875" style="5"/>
    <col min="8700" max="8700" width="12.88671875" style="5" customWidth="1"/>
    <col min="8701" max="8701" width="12.33203125" style="5" customWidth="1"/>
    <col min="8702" max="8952" width="8.88671875" style="5"/>
    <col min="8953" max="8953" width="14.33203125" style="5" customWidth="1"/>
    <col min="8954" max="8954" width="15" style="5" customWidth="1"/>
    <col min="8955" max="8955" width="8.88671875" style="5"/>
    <col min="8956" max="8956" width="12.88671875" style="5" customWidth="1"/>
    <col min="8957" max="8957" width="12.33203125" style="5" customWidth="1"/>
    <col min="8958" max="9208" width="8.88671875" style="5"/>
    <col min="9209" max="9209" width="14.33203125" style="5" customWidth="1"/>
    <col min="9210" max="9210" width="15" style="5" customWidth="1"/>
    <col min="9211" max="9211" width="8.88671875" style="5"/>
    <col min="9212" max="9212" width="12.88671875" style="5" customWidth="1"/>
    <col min="9213" max="9213" width="12.33203125" style="5" customWidth="1"/>
    <col min="9214" max="9464" width="8.88671875" style="5"/>
    <col min="9465" max="9465" width="14.33203125" style="5" customWidth="1"/>
    <col min="9466" max="9466" width="15" style="5" customWidth="1"/>
    <col min="9467" max="9467" width="8.88671875" style="5"/>
    <col min="9468" max="9468" width="12.88671875" style="5" customWidth="1"/>
    <col min="9469" max="9469" width="12.33203125" style="5" customWidth="1"/>
    <col min="9470" max="9720" width="8.88671875" style="5"/>
    <col min="9721" max="9721" width="14.33203125" style="5" customWidth="1"/>
    <col min="9722" max="9722" width="15" style="5" customWidth="1"/>
    <col min="9723" max="9723" width="8.88671875" style="5"/>
    <col min="9724" max="9724" width="12.88671875" style="5" customWidth="1"/>
    <col min="9725" max="9725" width="12.33203125" style="5" customWidth="1"/>
    <col min="9726" max="9976" width="8.88671875" style="5"/>
    <col min="9977" max="9977" width="14.33203125" style="5" customWidth="1"/>
    <col min="9978" max="9978" width="15" style="5" customWidth="1"/>
    <col min="9979" max="9979" width="8.88671875" style="5"/>
    <col min="9980" max="9980" width="12.88671875" style="5" customWidth="1"/>
    <col min="9981" max="9981" width="12.33203125" style="5" customWidth="1"/>
    <col min="9982" max="10232" width="8.88671875" style="5"/>
    <col min="10233" max="10233" width="14.33203125" style="5" customWidth="1"/>
    <col min="10234" max="10234" width="15" style="5" customWidth="1"/>
    <col min="10235" max="10235" width="8.88671875" style="5"/>
    <col min="10236" max="10236" width="12.88671875" style="5" customWidth="1"/>
    <col min="10237" max="10237" width="12.33203125" style="5" customWidth="1"/>
    <col min="10238" max="10488" width="8.88671875" style="5"/>
    <col min="10489" max="10489" width="14.33203125" style="5" customWidth="1"/>
    <col min="10490" max="10490" width="15" style="5" customWidth="1"/>
    <col min="10491" max="10491" width="8.88671875" style="5"/>
    <col min="10492" max="10492" width="12.88671875" style="5" customWidth="1"/>
    <col min="10493" max="10493" width="12.33203125" style="5" customWidth="1"/>
    <col min="10494" max="10744" width="8.88671875" style="5"/>
    <col min="10745" max="10745" width="14.33203125" style="5" customWidth="1"/>
    <col min="10746" max="10746" width="15" style="5" customWidth="1"/>
    <col min="10747" max="10747" width="8.88671875" style="5"/>
    <col min="10748" max="10748" width="12.88671875" style="5" customWidth="1"/>
    <col min="10749" max="10749" width="12.33203125" style="5" customWidth="1"/>
    <col min="10750" max="11000" width="8.88671875" style="5"/>
    <col min="11001" max="11001" width="14.33203125" style="5" customWidth="1"/>
    <col min="11002" max="11002" width="15" style="5" customWidth="1"/>
    <col min="11003" max="11003" width="8.88671875" style="5"/>
    <col min="11004" max="11004" width="12.88671875" style="5" customWidth="1"/>
    <col min="11005" max="11005" width="12.33203125" style="5" customWidth="1"/>
    <col min="11006" max="11256" width="8.88671875" style="5"/>
    <col min="11257" max="11257" width="14.33203125" style="5" customWidth="1"/>
    <col min="11258" max="11258" width="15" style="5" customWidth="1"/>
    <col min="11259" max="11259" width="8.88671875" style="5"/>
    <col min="11260" max="11260" width="12.88671875" style="5" customWidth="1"/>
    <col min="11261" max="11261" width="12.33203125" style="5" customWidth="1"/>
    <col min="11262" max="11512" width="8.88671875" style="5"/>
    <col min="11513" max="11513" width="14.33203125" style="5" customWidth="1"/>
    <col min="11514" max="11514" width="15" style="5" customWidth="1"/>
    <col min="11515" max="11515" width="8.88671875" style="5"/>
    <col min="11516" max="11516" width="12.88671875" style="5" customWidth="1"/>
    <col min="11517" max="11517" width="12.33203125" style="5" customWidth="1"/>
    <col min="11518" max="11768" width="8.88671875" style="5"/>
    <col min="11769" max="11769" width="14.33203125" style="5" customWidth="1"/>
    <col min="11770" max="11770" width="15" style="5" customWidth="1"/>
    <col min="11771" max="11771" width="8.88671875" style="5"/>
    <col min="11772" max="11772" width="12.88671875" style="5" customWidth="1"/>
    <col min="11773" max="11773" width="12.33203125" style="5" customWidth="1"/>
    <col min="11774" max="12024" width="8.88671875" style="5"/>
    <col min="12025" max="12025" width="14.33203125" style="5" customWidth="1"/>
    <col min="12026" max="12026" width="15" style="5" customWidth="1"/>
    <col min="12027" max="12027" width="8.88671875" style="5"/>
    <col min="12028" max="12028" width="12.88671875" style="5" customWidth="1"/>
    <col min="12029" max="12029" width="12.33203125" style="5" customWidth="1"/>
    <col min="12030" max="12280" width="8.88671875" style="5"/>
    <col min="12281" max="12281" width="14.33203125" style="5" customWidth="1"/>
    <col min="12282" max="12282" width="15" style="5" customWidth="1"/>
    <col min="12283" max="12283" width="8.88671875" style="5"/>
    <col min="12284" max="12284" width="12.88671875" style="5" customWidth="1"/>
    <col min="12285" max="12285" width="12.33203125" style="5" customWidth="1"/>
    <col min="12286" max="12536" width="8.88671875" style="5"/>
    <col min="12537" max="12537" width="14.33203125" style="5" customWidth="1"/>
    <col min="12538" max="12538" width="15" style="5" customWidth="1"/>
    <col min="12539" max="12539" width="8.88671875" style="5"/>
    <col min="12540" max="12540" width="12.88671875" style="5" customWidth="1"/>
    <col min="12541" max="12541" width="12.33203125" style="5" customWidth="1"/>
    <col min="12542" max="12792" width="8.88671875" style="5"/>
    <col min="12793" max="12793" width="14.33203125" style="5" customWidth="1"/>
    <col min="12794" max="12794" width="15" style="5" customWidth="1"/>
    <col min="12795" max="12795" width="8.88671875" style="5"/>
    <col min="12796" max="12796" width="12.88671875" style="5" customWidth="1"/>
    <col min="12797" max="12797" width="12.33203125" style="5" customWidth="1"/>
    <col min="12798" max="13048" width="8.88671875" style="5"/>
    <col min="13049" max="13049" width="14.33203125" style="5" customWidth="1"/>
    <col min="13050" max="13050" width="15" style="5" customWidth="1"/>
    <col min="13051" max="13051" width="8.88671875" style="5"/>
    <col min="13052" max="13052" width="12.88671875" style="5" customWidth="1"/>
    <col min="13053" max="13053" width="12.33203125" style="5" customWidth="1"/>
    <col min="13054" max="13304" width="8.88671875" style="5"/>
    <col min="13305" max="13305" width="14.33203125" style="5" customWidth="1"/>
    <col min="13306" max="13306" width="15" style="5" customWidth="1"/>
    <col min="13307" max="13307" width="8.88671875" style="5"/>
    <col min="13308" max="13308" width="12.88671875" style="5" customWidth="1"/>
    <col min="13309" max="13309" width="12.33203125" style="5" customWidth="1"/>
    <col min="13310" max="13560" width="8.88671875" style="5"/>
    <col min="13561" max="13561" width="14.33203125" style="5" customWidth="1"/>
    <col min="13562" max="13562" width="15" style="5" customWidth="1"/>
    <col min="13563" max="13563" width="8.88671875" style="5"/>
    <col min="13564" max="13564" width="12.88671875" style="5" customWidth="1"/>
    <col min="13565" max="13565" width="12.33203125" style="5" customWidth="1"/>
    <col min="13566" max="13816" width="8.88671875" style="5"/>
    <col min="13817" max="13817" width="14.33203125" style="5" customWidth="1"/>
    <col min="13818" max="13818" width="15" style="5" customWidth="1"/>
    <col min="13819" max="13819" width="8.88671875" style="5"/>
    <col min="13820" max="13820" width="12.88671875" style="5" customWidth="1"/>
    <col min="13821" max="13821" width="12.33203125" style="5" customWidth="1"/>
    <col min="13822" max="14072" width="8.88671875" style="5"/>
    <col min="14073" max="14073" width="14.33203125" style="5" customWidth="1"/>
    <col min="14074" max="14074" width="15" style="5" customWidth="1"/>
    <col min="14075" max="14075" width="8.88671875" style="5"/>
    <col min="14076" max="14076" width="12.88671875" style="5" customWidth="1"/>
    <col min="14077" max="14077" width="12.33203125" style="5" customWidth="1"/>
    <col min="14078" max="14328" width="8.88671875" style="5"/>
    <col min="14329" max="14329" width="14.33203125" style="5" customWidth="1"/>
    <col min="14330" max="14330" width="15" style="5" customWidth="1"/>
    <col min="14331" max="14331" width="8.88671875" style="5"/>
    <col min="14332" max="14332" width="12.88671875" style="5" customWidth="1"/>
    <col min="14333" max="14333" width="12.33203125" style="5" customWidth="1"/>
    <col min="14334" max="14584" width="8.88671875" style="5"/>
    <col min="14585" max="14585" width="14.33203125" style="5" customWidth="1"/>
    <col min="14586" max="14586" width="15" style="5" customWidth="1"/>
    <col min="14587" max="14587" width="8.88671875" style="5"/>
    <col min="14588" max="14588" width="12.88671875" style="5" customWidth="1"/>
    <col min="14589" max="14589" width="12.33203125" style="5" customWidth="1"/>
    <col min="14590" max="14840" width="8.88671875" style="5"/>
    <col min="14841" max="14841" width="14.33203125" style="5" customWidth="1"/>
    <col min="14842" max="14842" width="15" style="5" customWidth="1"/>
    <col min="14843" max="14843" width="8.88671875" style="5"/>
    <col min="14844" max="14844" width="12.88671875" style="5" customWidth="1"/>
    <col min="14845" max="14845" width="12.33203125" style="5" customWidth="1"/>
    <col min="14846" max="15096" width="8.88671875" style="5"/>
    <col min="15097" max="15097" width="14.33203125" style="5" customWidth="1"/>
    <col min="15098" max="15098" width="15" style="5" customWidth="1"/>
    <col min="15099" max="15099" width="8.88671875" style="5"/>
    <col min="15100" max="15100" width="12.88671875" style="5" customWidth="1"/>
    <col min="15101" max="15101" width="12.33203125" style="5" customWidth="1"/>
    <col min="15102" max="15352" width="8.88671875" style="5"/>
    <col min="15353" max="15353" width="14.33203125" style="5" customWidth="1"/>
    <col min="15354" max="15354" width="15" style="5" customWidth="1"/>
    <col min="15355" max="15355" width="8.88671875" style="5"/>
    <col min="15356" max="15356" width="12.88671875" style="5" customWidth="1"/>
    <col min="15357" max="15357" width="12.33203125" style="5" customWidth="1"/>
    <col min="15358" max="15608" width="8.88671875" style="5"/>
    <col min="15609" max="15609" width="14.33203125" style="5" customWidth="1"/>
    <col min="15610" max="15610" width="15" style="5" customWidth="1"/>
    <col min="15611" max="15611" width="8.88671875" style="5"/>
    <col min="15612" max="15612" width="12.88671875" style="5" customWidth="1"/>
    <col min="15613" max="15613" width="12.33203125" style="5" customWidth="1"/>
    <col min="15614" max="15864" width="8.88671875" style="5"/>
    <col min="15865" max="15865" width="14.33203125" style="5" customWidth="1"/>
    <col min="15866" max="15866" width="15" style="5" customWidth="1"/>
    <col min="15867" max="15867" width="8.88671875" style="5"/>
    <col min="15868" max="15868" width="12.88671875" style="5" customWidth="1"/>
    <col min="15869" max="15869" width="12.33203125" style="5" customWidth="1"/>
    <col min="15870" max="16120" width="8.88671875" style="5"/>
    <col min="16121" max="16121" width="14.33203125" style="5" customWidth="1"/>
    <col min="16122" max="16122" width="15" style="5" customWidth="1"/>
    <col min="16123" max="16123" width="8.88671875" style="5"/>
    <col min="16124" max="16124" width="12.88671875" style="5" customWidth="1"/>
    <col min="16125" max="16125" width="12.33203125" style="5" customWidth="1"/>
    <col min="16126" max="16384" width="8.88671875" style="5"/>
  </cols>
  <sheetData>
    <row r="1" spans="1:14" x14ac:dyDescent="0.3">
      <c r="A1" s="1" t="s">
        <v>186</v>
      </c>
      <c r="B1" s="2"/>
      <c r="E1" s="4"/>
    </row>
    <row r="2" spans="1:14" x14ac:dyDescent="0.3">
      <c r="A2" s="6" t="s">
        <v>0</v>
      </c>
      <c r="B2" s="21" t="s">
        <v>86</v>
      </c>
      <c r="E2" s="4"/>
    </row>
    <row r="3" spans="1:14" x14ac:dyDescent="0.3">
      <c r="A3" s="6" t="s">
        <v>2</v>
      </c>
      <c r="B3" s="7">
        <v>595</v>
      </c>
      <c r="E3" s="4"/>
    </row>
    <row r="4" spans="1:14" x14ac:dyDescent="0.3">
      <c r="A4" s="6" t="s">
        <v>3</v>
      </c>
      <c r="B4" s="8">
        <v>42997</v>
      </c>
      <c r="E4" s="4"/>
    </row>
    <row r="5" spans="1:14" x14ac:dyDescent="0.3">
      <c r="A5" s="6" t="s">
        <v>4</v>
      </c>
      <c r="B5" s="7" t="s">
        <v>196</v>
      </c>
      <c r="E5" s="4"/>
    </row>
    <row r="6" spans="1:14" x14ac:dyDescent="0.3">
      <c r="A6" s="9" t="s">
        <v>1</v>
      </c>
      <c r="B6" s="10">
        <v>1.5</v>
      </c>
    </row>
    <row r="7" spans="1:14" x14ac:dyDescent="0.3">
      <c r="A7" s="9" t="s">
        <v>5</v>
      </c>
      <c r="B7" s="11">
        <v>1</v>
      </c>
    </row>
    <row r="8" spans="1:14" x14ac:dyDescent="0.3">
      <c r="A8" s="9" t="s">
        <v>6</v>
      </c>
      <c r="B8" s="12"/>
      <c r="L8" s="4" t="s">
        <v>7</v>
      </c>
    </row>
    <row r="9" spans="1:14" x14ac:dyDescent="0.3">
      <c r="A9" s="13" t="s">
        <v>8</v>
      </c>
      <c r="B9" s="14" t="s">
        <v>9</v>
      </c>
      <c r="C9" s="13" t="s">
        <v>10</v>
      </c>
      <c r="D9" s="14" t="s">
        <v>11</v>
      </c>
      <c r="E9" s="13" t="s">
        <v>12</v>
      </c>
      <c r="F9" s="13" t="s">
        <v>13</v>
      </c>
      <c r="G9" s="23" t="s">
        <v>14</v>
      </c>
      <c r="H9" s="15" t="s">
        <v>15</v>
      </c>
      <c r="I9" s="4" t="s">
        <v>75</v>
      </c>
      <c r="J9" s="15" t="s">
        <v>16</v>
      </c>
      <c r="L9" s="4" t="s">
        <v>8</v>
      </c>
      <c r="M9" s="4" t="s">
        <v>17</v>
      </c>
      <c r="N9" s="4" t="s">
        <v>11</v>
      </c>
    </row>
    <row r="10" spans="1:14" s="18" customFormat="1" x14ac:dyDescent="0.3">
      <c r="A10" s="16">
        <v>0</v>
      </c>
      <c r="B10" s="16"/>
      <c r="C10" s="16"/>
      <c r="D10" s="16">
        <v>1</v>
      </c>
      <c r="E10" s="16" t="s">
        <v>72</v>
      </c>
      <c r="F10" s="16"/>
      <c r="G10" s="24"/>
      <c r="H10" s="17"/>
      <c r="I10" s="16"/>
      <c r="J10" s="17" t="s">
        <v>89</v>
      </c>
      <c r="L10" s="19">
        <f>SUMIFS($A$10:$A$400,$B$10:$B$400,"CH",$D$10:$D$400,"1")</f>
        <v>0</v>
      </c>
      <c r="M10" s="19" t="s">
        <v>19</v>
      </c>
      <c r="N10" s="19" t="s">
        <v>18</v>
      </c>
    </row>
    <row r="11" spans="1:14" s="18" customFormat="1" x14ac:dyDescent="0.3">
      <c r="A11" s="16">
        <v>0</v>
      </c>
      <c r="B11" s="16"/>
      <c r="C11" s="16"/>
      <c r="D11" s="16">
        <v>2</v>
      </c>
      <c r="E11" s="16" t="s">
        <v>65</v>
      </c>
      <c r="F11" s="16"/>
      <c r="G11" s="24"/>
      <c r="H11" s="17"/>
      <c r="I11" s="16"/>
      <c r="J11" s="17" t="s">
        <v>89</v>
      </c>
      <c r="L11" s="19">
        <f>SUMIFS($A$10:$A$400,$B$10:$B$400,"CH",$D$10:$D$400,"2")</f>
        <v>0</v>
      </c>
      <c r="M11" s="19" t="s">
        <v>19</v>
      </c>
      <c r="N11" s="19" t="s">
        <v>22</v>
      </c>
    </row>
    <row r="12" spans="1:14" s="18" customFormat="1" x14ac:dyDescent="0.3">
      <c r="A12" s="16">
        <v>1</v>
      </c>
      <c r="B12" s="16" t="s">
        <v>68</v>
      </c>
      <c r="C12" s="16">
        <v>40</v>
      </c>
      <c r="D12" s="16">
        <v>3</v>
      </c>
      <c r="E12" s="16" t="s">
        <v>72</v>
      </c>
      <c r="F12" s="16" t="s">
        <v>77</v>
      </c>
      <c r="G12" s="24"/>
      <c r="H12" s="17" t="s">
        <v>97</v>
      </c>
      <c r="I12" s="16">
        <v>4</v>
      </c>
      <c r="J12" s="17"/>
      <c r="L12" s="19">
        <f>SUMIFS($A$10:$A$400,$B$10:$B$400,"CH",$D$10:$D$400,"3")</f>
        <v>0</v>
      </c>
      <c r="M12" s="19" t="s">
        <v>19</v>
      </c>
      <c r="N12" s="19" t="s">
        <v>24</v>
      </c>
    </row>
    <row r="13" spans="1:14" s="18" customFormat="1" x14ac:dyDescent="0.3">
      <c r="A13" s="16">
        <v>1</v>
      </c>
      <c r="B13" s="16" t="s">
        <v>85</v>
      </c>
      <c r="C13" s="16">
        <v>240</v>
      </c>
      <c r="D13" s="16">
        <v>4</v>
      </c>
      <c r="E13" s="16" t="s">
        <v>65</v>
      </c>
      <c r="F13" s="16" t="s">
        <v>77</v>
      </c>
      <c r="G13" s="24"/>
      <c r="H13" s="17" t="s">
        <v>106</v>
      </c>
      <c r="I13" s="16">
        <v>3</v>
      </c>
      <c r="J13" s="17"/>
      <c r="L13" s="19">
        <f>SUMIFS($A$10:$A$400,$B$10:$B$400,"CH",$D$10:$D$400,"4")</f>
        <v>0</v>
      </c>
      <c r="M13" s="19" t="s">
        <v>19</v>
      </c>
      <c r="N13" s="19" t="s">
        <v>26</v>
      </c>
    </row>
    <row r="14" spans="1:14" s="18" customFormat="1" x14ac:dyDescent="0.3">
      <c r="A14" s="16">
        <v>0</v>
      </c>
      <c r="B14" s="16"/>
      <c r="C14" s="16"/>
      <c r="D14" s="16">
        <v>5</v>
      </c>
      <c r="E14" s="16" t="s">
        <v>72</v>
      </c>
      <c r="F14" s="16"/>
      <c r="G14" s="24"/>
      <c r="H14" s="17"/>
      <c r="I14" s="16"/>
      <c r="J14" s="17" t="s">
        <v>89</v>
      </c>
      <c r="L14" s="19">
        <f>SUMIFS($A$10:$A$400,$B$10:$B$400,"CH",$D$10:$D$400,"5")</f>
        <v>0</v>
      </c>
      <c r="M14" s="19" t="s">
        <v>19</v>
      </c>
      <c r="N14" s="19" t="s">
        <v>27</v>
      </c>
    </row>
    <row r="15" spans="1:14" s="18" customFormat="1" x14ac:dyDescent="0.3">
      <c r="A15" s="16">
        <v>1</v>
      </c>
      <c r="B15" s="16" t="s">
        <v>85</v>
      </c>
      <c r="C15" s="16">
        <v>240</v>
      </c>
      <c r="D15" s="16">
        <v>6</v>
      </c>
      <c r="E15" s="16" t="s">
        <v>65</v>
      </c>
      <c r="F15" s="16"/>
      <c r="G15" s="24"/>
      <c r="H15" s="17" t="s">
        <v>99</v>
      </c>
      <c r="I15" s="16">
        <v>2</v>
      </c>
      <c r="J15" s="17"/>
      <c r="L15" s="19">
        <f>SUMIFS($A$10:$A$400,$B$10:$B$400,"CH",$D$10:$D$400,"6")</f>
        <v>0</v>
      </c>
      <c r="M15" s="19" t="s">
        <v>19</v>
      </c>
      <c r="N15" s="19" t="s">
        <v>28</v>
      </c>
    </row>
    <row r="16" spans="1:14" s="18" customFormat="1" x14ac:dyDescent="0.3">
      <c r="A16" s="16">
        <v>3</v>
      </c>
      <c r="B16" s="16" t="s">
        <v>85</v>
      </c>
      <c r="C16" s="16">
        <v>225</v>
      </c>
      <c r="D16" s="16">
        <v>7</v>
      </c>
      <c r="E16" s="16" t="s">
        <v>71</v>
      </c>
      <c r="F16" s="16" t="s">
        <v>77</v>
      </c>
      <c r="G16" s="24"/>
      <c r="H16" s="17" t="s">
        <v>96</v>
      </c>
      <c r="I16" s="16">
        <v>1</v>
      </c>
      <c r="J16" s="17"/>
      <c r="L16" s="19">
        <f>SUMIFS($A$10:$A$400,$B$10:$B$400,"CH",$D$10:$D$400,"7")</f>
        <v>0</v>
      </c>
      <c r="M16" s="19" t="s">
        <v>19</v>
      </c>
      <c r="N16" s="19" t="s">
        <v>29</v>
      </c>
    </row>
    <row r="17" spans="1:14" s="18" customFormat="1" x14ac:dyDescent="0.3">
      <c r="A17" s="16">
        <v>8</v>
      </c>
      <c r="B17" s="16" t="s">
        <v>21</v>
      </c>
      <c r="C17" s="16">
        <v>70</v>
      </c>
      <c r="D17" s="16">
        <v>7</v>
      </c>
      <c r="E17" s="16" t="s">
        <v>71</v>
      </c>
      <c r="F17" s="16" t="s">
        <v>77</v>
      </c>
      <c r="G17" s="24"/>
      <c r="H17" s="17" t="s">
        <v>96</v>
      </c>
      <c r="I17" s="16">
        <v>1</v>
      </c>
      <c r="J17" s="17"/>
      <c r="L17" s="19">
        <f>SUMIFS($A$10:$A$400,$B$10:$B$400,"CH",$D$10:$D$400,"8")</f>
        <v>1</v>
      </c>
      <c r="M17" s="19" t="s">
        <v>19</v>
      </c>
      <c r="N17" s="19" t="s">
        <v>30</v>
      </c>
    </row>
    <row r="18" spans="1:14" s="18" customFormat="1" x14ac:dyDescent="0.3">
      <c r="A18" s="16">
        <v>1</v>
      </c>
      <c r="B18" s="16" t="s">
        <v>68</v>
      </c>
      <c r="C18" s="16">
        <v>30</v>
      </c>
      <c r="D18" s="16">
        <v>7</v>
      </c>
      <c r="E18" s="16" t="s">
        <v>71</v>
      </c>
      <c r="F18" s="16" t="s">
        <v>77</v>
      </c>
      <c r="G18" s="24"/>
      <c r="H18" s="17" t="s">
        <v>84</v>
      </c>
      <c r="I18" s="16">
        <v>2</v>
      </c>
      <c r="J18" s="17"/>
      <c r="L18" s="19">
        <f>SUMIFS($A$10:$A$400,$B$10:$B$400,"CH",$D$10:$D$400,"9")</f>
        <v>0</v>
      </c>
      <c r="M18" s="19" t="s">
        <v>19</v>
      </c>
      <c r="N18" s="19" t="s">
        <v>31</v>
      </c>
    </row>
    <row r="19" spans="1:14" s="18" customFormat="1" x14ac:dyDescent="0.3">
      <c r="A19" s="16">
        <v>1</v>
      </c>
      <c r="B19" s="16" t="s">
        <v>19</v>
      </c>
      <c r="C19" s="16">
        <v>100</v>
      </c>
      <c r="D19" s="16">
        <v>8</v>
      </c>
      <c r="E19" s="16" t="s">
        <v>72</v>
      </c>
      <c r="F19" s="16" t="s">
        <v>66</v>
      </c>
      <c r="G19" s="24"/>
      <c r="H19" s="17" t="s">
        <v>106</v>
      </c>
      <c r="I19" s="16">
        <v>3</v>
      </c>
      <c r="J19" s="17"/>
      <c r="L19" s="19">
        <f>SUMIFS($A$10:$A$400,$B$10:$B$400,"CH",$D$10:$D$400,"10")</f>
        <v>0</v>
      </c>
      <c r="M19" s="19" t="s">
        <v>19</v>
      </c>
      <c r="N19" s="19" t="s">
        <v>20</v>
      </c>
    </row>
    <row r="20" spans="1:14" s="18" customFormat="1" x14ac:dyDescent="0.3">
      <c r="A20" s="16">
        <v>0</v>
      </c>
      <c r="B20" s="16"/>
      <c r="C20" s="16"/>
      <c r="D20" s="16">
        <v>9</v>
      </c>
      <c r="E20" s="16" t="s">
        <v>65</v>
      </c>
      <c r="F20" s="16"/>
      <c r="G20" s="24"/>
      <c r="H20" s="17"/>
      <c r="I20" s="16"/>
      <c r="J20" s="17" t="s">
        <v>89</v>
      </c>
      <c r="L20" s="19">
        <f>SUMIFS($A$10:$A$400,$B$10:$B$400,"CH",$D$10:$D$400,"11")</f>
        <v>4</v>
      </c>
      <c r="M20" s="19" t="s">
        <v>19</v>
      </c>
      <c r="N20" s="19" t="s">
        <v>23</v>
      </c>
    </row>
    <row r="21" spans="1:14" s="18" customFormat="1" x14ac:dyDescent="0.3">
      <c r="A21" s="16">
        <v>1</v>
      </c>
      <c r="B21" s="16" t="s">
        <v>68</v>
      </c>
      <c r="C21" s="16">
        <v>35</v>
      </c>
      <c r="D21" s="16">
        <v>10</v>
      </c>
      <c r="E21" s="16" t="s">
        <v>72</v>
      </c>
      <c r="F21" s="16" t="s">
        <v>77</v>
      </c>
      <c r="G21" s="24"/>
      <c r="H21" s="17" t="s">
        <v>84</v>
      </c>
      <c r="I21" s="16">
        <v>2</v>
      </c>
      <c r="J21" s="17"/>
      <c r="L21" s="19">
        <f>SUMIFS($A$10:$A$400,$B$10:$B$400,"CH",$D$10:$D$400,"12")</f>
        <v>0</v>
      </c>
      <c r="M21" s="19" t="s">
        <v>19</v>
      </c>
      <c r="N21" s="19" t="s">
        <v>32</v>
      </c>
    </row>
    <row r="22" spans="1:14" s="18" customFormat="1" x14ac:dyDescent="0.3">
      <c r="A22" s="16">
        <v>4</v>
      </c>
      <c r="B22" s="16" t="s">
        <v>19</v>
      </c>
      <c r="C22" s="16">
        <v>70</v>
      </c>
      <c r="D22" s="16">
        <v>11</v>
      </c>
      <c r="E22" s="16" t="s">
        <v>93</v>
      </c>
      <c r="F22" s="16" t="s">
        <v>62</v>
      </c>
      <c r="G22" s="24"/>
      <c r="H22" s="17" t="s">
        <v>106</v>
      </c>
      <c r="I22" s="16">
        <v>1</v>
      </c>
      <c r="J22" s="17" t="s">
        <v>113</v>
      </c>
      <c r="L22" s="19">
        <f>SUMIFS($A$10:$A$400,$B$10:$B$400,"CH",$D$10:$D$400,"13")</f>
        <v>0</v>
      </c>
      <c r="M22" s="19" t="s">
        <v>19</v>
      </c>
      <c r="N22" s="19" t="s">
        <v>33</v>
      </c>
    </row>
    <row r="23" spans="1:14" s="18" customFormat="1" x14ac:dyDescent="0.3">
      <c r="A23" s="16"/>
      <c r="B23" s="16"/>
      <c r="C23" s="16"/>
      <c r="D23" s="16"/>
      <c r="E23" s="16"/>
      <c r="F23" s="16"/>
      <c r="G23" s="24"/>
      <c r="H23" s="17"/>
      <c r="I23" s="16"/>
      <c r="J23" s="17"/>
      <c r="L23" s="19">
        <f>SUMIFS($A$10:$A$400,$B$10:$B$400,"CH",$D$10:$D$400,"14")</f>
        <v>0</v>
      </c>
      <c r="M23" s="19" t="s">
        <v>19</v>
      </c>
      <c r="N23" s="19" t="s">
        <v>34</v>
      </c>
    </row>
    <row r="24" spans="1:14" s="18" customFormat="1" x14ac:dyDescent="0.3">
      <c r="A24" s="16"/>
      <c r="B24" s="16"/>
      <c r="C24" s="16"/>
      <c r="D24" s="16"/>
      <c r="E24" s="16"/>
      <c r="F24" s="16"/>
      <c r="G24" s="24"/>
      <c r="H24" s="17"/>
      <c r="I24" s="16"/>
      <c r="J24" s="17"/>
      <c r="L24" s="19">
        <f>SUMIFS($A$10:$A$400,$B$10:$B$400,"CH",$D$10:$D$400,"15")</f>
        <v>0</v>
      </c>
      <c r="M24" s="19" t="s">
        <v>19</v>
      </c>
      <c r="N24" s="19" t="s">
        <v>35</v>
      </c>
    </row>
    <row r="25" spans="1:14" s="18" customFormat="1" x14ac:dyDescent="0.3">
      <c r="A25" s="16"/>
      <c r="B25" s="16"/>
      <c r="C25" s="16"/>
      <c r="D25" s="16"/>
      <c r="E25" s="16"/>
      <c r="F25" s="16"/>
      <c r="G25" s="24"/>
      <c r="H25" s="17"/>
      <c r="I25" s="16"/>
      <c r="J25" s="17"/>
      <c r="L25" s="19">
        <f>SUMIFS($A$10:$A$400,$B$10:$B$400,"CH",$D$10:$D$400,"16")</f>
        <v>0</v>
      </c>
      <c r="M25" s="19" t="s">
        <v>19</v>
      </c>
      <c r="N25" s="19" t="s">
        <v>36</v>
      </c>
    </row>
    <row r="26" spans="1:14" s="18" customFormat="1" x14ac:dyDescent="0.3">
      <c r="A26" s="16"/>
      <c r="B26" s="16"/>
      <c r="C26" s="16"/>
      <c r="D26" s="16"/>
      <c r="E26" s="16"/>
      <c r="F26" s="16"/>
      <c r="G26" s="24"/>
      <c r="H26" s="17"/>
      <c r="I26" s="16"/>
      <c r="J26" s="17"/>
      <c r="L26" s="19">
        <f>SUMIFS($A$10:$A$400,$B$10:$B$400,"CH",$D$10:$D$400,"17")</f>
        <v>0</v>
      </c>
      <c r="M26" s="19" t="s">
        <v>19</v>
      </c>
      <c r="N26" s="19" t="s">
        <v>37</v>
      </c>
    </row>
    <row r="27" spans="1:14" s="18" customFormat="1" x14ac:dyDescent="0.3">
      <c r="A27" s="16"/>
      <c r="B27" s="16"/>
      <c r="C27" s="16"/>
      <c r="D27" s="16"/>
      <c r="E27" s="16"/>
      <c r="F27" s="16"/>
      <c r="G27" s="24"/>
      <c r="H27" s="17"/>
      <c r="I27" s="16"/>
      <c r="J27" s="17"/>
      <c r="L27" s="19">
        <f>SUMIFS($A$10:$A$400,$B$10:$B$400,"CH",$D$10:$D$400,"18")</f>
        <v>0</v>
      </c>
      <c r="M27" s="19" t="s">
        <v>19</v>
      </c>
      <c r="N27" s="19" t="s">
        <v>38</v>
      </c>
    </row>
    <row r="28" spans="1:14" s="18" customFormat="1" x14ac:dyDescent="0.3">
      <c r="A28" s="16"/>
      <c r="B28" s="16"/>
      <c r="C28" s="16"/>
      <c r="D28" s="16"/>
      <c r="E28" s="16"/>
      <c r="F28" s="16"/>
      <c r="G28" s="24"/>
      <c r="H28" s="17"/>
      <c r="I28" s="16"/>
      <c r="J28" s="17"/>
      <c r="L28" s="19">
        <f>SUMIFS($A$10:$A$400,$B$10:$B$400,"CH",$D$10:$D$400,"19")</f>
        <v>0</v>
      </c>
      <c r="M28" s="19" t="s">
        <v>19</v>
      </c>
      <c r="N28" s="19" t="s">
        <v>39</v>
      </c>
    </row>
    <row r="29" spans="1:14" s="18" customFormat="1" x14ac:dyDescent="0.3">
      <c r="A29" s="16"/>
      <c r="B29" s="16"/>
      <c r="C29" s="16"/>
      <c r="D29" s="16"/>
      <c r="E29" s="16"/>
      <c r="F29" s="16"/>
      <c r="G29" s="24"/>
      <c r="H29" s="17"/>
      <c r="I29" s="16"/>
      <c r="J29" s="17"/>
      <c r="L29" s="19">
        <f>SUMIFS($A$10:$A$400,$B$10:$B$400,"CH",$D$10:$D$400,"20")</f>
        <v>0</v>
      </c>
      <c r="M29" s="19" t="s">
        <v>19</v>
      </c>
      <c r="N29" s="19" t="s">
        <v>40</v>
      </c>
    </row>
    <row r="30" spans="1:14" s="18" customFormat="1" x14ac:dyDescent="0.3">
      <c r="A30" s="16"/>
      <c r="B30" s="16"/>
      <c r="C30" s="16"/>
      <c r="D30" s="16"/>
      <c r="E30" s="16"/>
      <c r="F30" s="16"/>
      <c r="G30" s="24"/>
      <c r="H30" s="17"/>
      <c r="I30" s="16"/>
      <c r="J30" s="17"/>
      <c r="L30" s="19">
        <f>SUMIFS($A$10:$A$400,$B$10:$B$400,"CH",$D$10:$D$400,"21")</f>
        <v>0</v>
      </c>
      <c r="M30" s="19" t="s">
        <v>19</v>
      </c>
      <c r="N30" s="19" t="s">
        <v>41</v>
      </c>
    </row>
    <row r="31" spans="1:14" s="18" customFormat="1" x14ac:dyDescent="0.3">
      <c r="A31" s="16"/>
      <c r="B31" s="16"/>
      <c r="C31" s="16"/>
      <c r="D31" s="16"/>
      <c r="E31" s="16"/>
      <c r="F31" s="16"/>
      <c r="G31" s="24"/>
      <c r="H31" s="17"/>
      <c r="I31" s="16"/>
      <c r="J31" s="17"/>
      <c r="L31" s="19">
        <f>SUMIFS($A$10:$A$400,$B$10:$B$400,"CH",$D$10:$D$400,"22")</f>
        <v>0</v>
      </c>
      <c r="M31" s="19" t="s">
        <v>19</v>
      </c>
      <c r="N31" s="19" t="s">
        <v>42</v>
      </c>
    </row>
    <row r="32" spans="1:14" s="18" customFormat="1" x14ac:dyDescent="0.3">
      <c r="A32" s="16"/>
      <c r="B32" s="16"/>
      <c r="C32" s="16"/>
      <c r="D32" s="16"/>
      <c r="E32" s="16"/>
      <c r="F32" s="16"/>
      <c r="G32" s="24"/>
      <c r="H32" s="17"/>
      <c r="I32" s="16"/>
      <c r="J32" s="17"/>
      <c r="L32" s="19">
        <f>SUMIFS($A$10:$A$400,$B$10:$B$400,"CH",$D$10:$D$400,"23")</f>
        <v>0</v>
      </c>
      <c r="M32" s="19" t="s">
        <v>19</v>
      </c>
      <c r="N32" s="19" t="s">
        <v>43</v>
      </c>
    </row>
    <row r="33" spans="1:14" s="18" customFormat="1" x14ac:dyDescent="0.3">
      <c r="A33" s="16"/>
      <c r="B33" s="16"/>
      <c r="C33" s="16"/>
      <c r="D33" s="16"/>
      <c r="E33" s="16"/>
      <c r="F33" s="16"/>
      <c r="G33" s="24"/>
      <c r="H33" s="17"/>
      <c r="I33" s="16"/>
      <c r="J33" s="17"/>
      <c r="L33" s="19">
        <f>SUMIFS($A$10:$A$400,$B$10:$B$400,"CH",$D$10:$D$400,"24")</f>
        <v>0</v>
      </c>
      <c r="M33" s="19" t="s">
        <v>19</v>
      </c>
      <c r="N33" s="19" t="s">
        <v>44</v>
      </c>
    </row>
    <row r="34" spans="1:14" s="18" customFormat="1" x14ac:dyDescent="0.3">
      <c r="A34" s="16"/>
      <c r="B34" s="16"/>
      <c r="C34" s="16"/>
      <c r="D34" s="16"/>
      <c r="E34" s="16"/>
      <c r="F34" s="16"/>
      <c r="G34" s="24"/>
      <c r="H34" s="17"/>
      <c r="I34" s="16"/>
      <c r="J34" s="17"/>
      <c r="L34" s="19">
        <f>SUMIFS($A$10:$A$400,$B$10:$B$400,"CH",$D$10:$D$400,"25")</f>
        <v>0</v>
      </c>
      <c r="M34" s="19" t="s">
        <v>19</v>
      </c>
      <c r="N34" s="19" t="s">
        <v>45</v>
      </c>
    </row>
    <row r="35" spans="1:14" s="18" customFormat="1" x14ac:dyDescent="0.3">
      <c r="A35" s="16"/>
      <c r="B35" s="16"/>
      <c r="C35" s="16"/>
      <c r="D35" s="16"/>
      <c r="E35" s="16"/>
      <c r="F35" s="16"/>
      <c r="G35" s="24"/>
      <c r="H35" s="17"/>
      <c r="I35" s="16"/>
      <c r="J35" s="17"/>
      <c r="L35" s="19">
        <f>SUMIFS($A$10:$A$400,$B$10:$B$400,"CH",$D$10:$D$400,"26")</f>
        <v>0</v>
      </c>
      <c r="M35" s="19" t="s">
        <v>19</v>
      </c>
      <c r="N35" s="19" t="s">
        <v>46</v>
      </c>
    </row>
    <row r="36" spans="1:14" s="18" customFormat="1" x14ac:dyDescent="0.3">
      <c r="A36" s="16"/>
      <c r="B36" s="16"/>
      <c r="C36" s="16"/>
      <c r="D36" s="16"/>
      <c r="E36" s="16"/>
      <c r="F36" s="16"/>
      <c r="G36" s="24"/>
      <c r="H36" s="17"/>
      <c r="I36" s="16"/>
      <c r="J36" s="17"/>
      <c r="L36" s="19">
        <f>SUMIFS($A$10:$A$400,$B$10:$B$400,"CH",$D$10:$D$400,"27")</f>
        <v>0</v>
      </c>
      <c r="M36" s="19" t="s">
        <v>19</v>
      </c>
      <c r="N36" s="19" t="s">
        <v>25</v>
      </c>
    </row>
    <row r="37" spans="1:14" s="18" customFormat="1" x14ac:dyDescent="0.3">
      <c r="A37" s="16"/>
      <c r="B37" s="16"/>
      <c r="C37" s="16"/>
      <c r="D37" s="16"/>
      <c r="E37" s="16"/>
      <c r="F37" s="16"/>
      <c r="G37" s="24"/>
      <c r="H37" s="17"/>
      <c r="I37" s="16"/>
      <c r="J37" s="17"/>
      <c r="L37" s="19">
        <f>SUMIFS($A$10:$A$400,$B$10:$B$400,"CH",$D$10:$D$400,"28")</f>
        <v>0</v>
      </c>
      <c r="M37" s="19" t="s">
        <v>19</v>
      </c>
      <c r="N37" s="19" t="s">
        <v>47</v>
      </c>
    </row>
    <row r="38" spans="1:14" s="18" customFormat="1" x14ac:dyDescent="0.3">
      <c r="A38" s="16"/>
      <c r="B38" s="16"/>
      <c r="C38" s="16"/>
      <c r="D38" s="16"/>
      <c r="E38" s="16"/>
      <c r="F38" s="16"/>
      <c r="G38" s="24"/>
      <c r="H38" s="17"/>
      <c r="I38" s="16"/>
      <c r="J38" s="17"/>
      <c r="L38" s="19">
        <f>SUMIFS($A$10:$A$400,$B$10:$B$400,"CH",$D$10:$D$400,"29")</f>
        <v>0</v>
      </c>
      <c r="M38" s="19" t="s">
        <v>19</v>
      </c>
      <c r="N38" s="19" t="s">
        <v>48</v>
      </c>
    </row>
    <row r="39" spans="1:14" s="18" customFormat="1" x14ac:dyDescent="0.3">
      <c r="A39" s="16"/>
      <c r="B39" s="16"/>
      <c r="C39" s="16"/>
      <c r="D39" s="16"/>
      <c r="E39" s="16"/>
      <c r="F39" s="16"/>
      <c r="G39" s="24"/>
      <c r="H39" s="17"/>
      <c r="I39" s="16"/>
      <c r="J39" s="17"/>
      <c r="L39" s="19">
        <f>SUMIFS($A$10:$A$400,$B$10:$B$400,"CH",$D$10:$D$400,"30")</f>
        <v>0</v>
      </c>
      <c r="M39" s="19" t="s">
        <v>19</v>
      </c>
      <c r="N39" s="19" t="s">
        <v>50</v>
      </c>
    </row>
    <row r="40" spans="1:14" s="18" customFormat="1" x14ac:dyDescent="0.3">
      <c r="A40" s="16"/>
      <c r="B40" s="16"/>
      <c r="C40" s="16"/>
      <c r="D40" s="16"/>
      <c r="E40" s="16"/>
      <c r="F40" s="16"/>
      <c r="G40" s="24"/>
      <c r="H40" s="17"/>
      <c r="I40" s="16"/>
      <c r="J40" s="17"/>
      <c r="L40" s="19">
        <f>SUMIFS($A$10:$A$400,$B$10:$B$400,"CH",$D$10:$D$400,"31")</f>
        <v>0</v>
      </c>
      <c r="M40" s="19" t="s">
        <v>19</v>
      </c>
      <c r="N40" s="19" t="s">
        <v>49</v>
      </c>
    </row>
    <row r="41" spans="1:14" s="18" customFormat="1" x14ac:dyDescent="0.3">
      <c r="A41" s="16"/>
      <c r="B41" s="16"/>
      <c r="C41" s="16"/>
      <c r="D41" s="16"/>
      <c r="E41" s="16"/>
      <c r="F41" s="16"/>
      <c r="G41" s="24"/>
      <c r="H41" s="17"/>
      <c r="I41" s="16"/>
      <c r="J41" s="17"/>
      <c r="L41" s="19">
        <f>SUMIFS($A$10:$A$400,$B$10:$B$400,"CH",$D$10:$D$400,"32")</f>
        <v>0</v>
      </c>
      <c r="M41" s="19" t="s">
        <v>19</v>
      </c>
      <c r="N41" s="19" t="s">
        <v>51</v>
      </c>
    </row>
    <row r="42" spans="1:14" s="18" customFormat="1" x14ac:dyDescent="0.3">
      <c r="A42" s="16"/>
      <c r="B42" s="16"/>
      <c r="C42" s="16"/>
      <c r="D42" s="16"/>
      <c r="E42" s="16"/>
      <c r="F42" s="16"/>
      <c r="G42" s="24"/>
      <c r="H42" s="17"/>
      <c r="I42" s="16"/>
      <c r="J42" s="17"/>
      <c r="L42" s="19">
        <f>SUMIFS($A$10:$A$400,$B$10:$B$400,"CH",$D$10:$D$400,"33")</f>
        <v>0</v>
      </c>
      <c r="M42" s="19" t="s">
        <v>19</v>
      </c>
      <c r="N42" s="19" t="s">
        <v>52</v>
      </c>
    </row>
    <row r="43" spans="1:14" s="18" customFormat="1" x14ac:dyDescent="0.3">
      <c r="A43" s="16"/>
      <c r="B43" s="16"/>
      <c r="C43" s="16"/>
      <c r="D43" s="16"/>
      <c r="E43" s="16"/>
      <c r="F43" s="16"/>
      <c r="G43" s="24"/>
      <c r="H43" s="17"/>
      <c r="I43" s="16"/>
      <c r="J43" s="17"/>
      <c r="L43" s="19">
        <f>SUMIFS($A$10:$A$400,$B$10:$B$400,"CH",$D$10:$D$400,"34")</f>
        <v>0</v>
      </c>
      <c r="M43" s="19" t="s">
        <v>19</v>
      </c>
      <c r="N43" s="19" t="s">
        <v>53</v>
      </c>
    </row>
    <row r="44" spans="1:14" s="18" customFormat="1" x14ac:dyDescent="0.3">
      <c r="A44" s="16"/>
      <c r="B44" s="16"/>
      <c r="C44" s="16"/>
      <c r="D44" s="16"/>
      <c r="E44" s="16"/>
      <c r="F44" s="16"/>
      <c r="G44" s="24"/>
      <c r="H44" s="17"/>
      <c r="I44" s="16"/>
      <c r="J44" s="17"/>
      <c r="L44" s="19">
        <f>SUMIFS($A$10:$A$400,$B$10:$B$400,"CH",$D$10:$D$400,"35")</f>
        <v>0</v>
      </c>
      <c r="M44" s="19" t="s">
        <v>19</v>
      </c>
      <c r="N44" s="19" t="s">
        <v>54</v>
      </c>
    </row>
    <row r="45" spans="1:14" s="18" customFormat="1" x14ac:dyDescent="0.3">
      <c r="A45" s="16"/>
      <c r="B45" s="16"/>
      <c r="C45" s="16"/>
      <c r="D45" s="16"/>
      <c r="E45" s="16"/>
      <c r="F45" s="16"/>
      <c r="G45" s="24"/>
      <c r="H45" s="17"/>
      <c r="I45" s="16"/>
      <c r="J45" s="17"/>
      <c r="L45" s="19">
        <f>SUMIFS($A$10:$A$400,$B$10:$B$400,"CH",$D$10:$D$400,"36")</f>
        <v>0</v>
      </c>
      <c r="M45" s="19" t="s">
        <v>19</v>
      </c>
      <c r="N45" s="19" t="s">
        <v>57</v>
      </c>
    </row>
    <row r="46" spans="1:14" s="18" customFormat="1" x14ac:dyDescent="0.3">
      <c r="A46" s="16"/>
      <c r="B46" s="16"/>
      <c r="C46" s="16"/>
      <c r="D46" s="16"/>
      <c r="E46" s="16"/>
      <c r="F46" s="16"/>
      <c r="G46" s="24"/>
      <c r="H46" s="17"/>
      <c r="I46" s="16"/>
      <c r="J46" s="17"/>
      <c r="L46" s="19">
        <f>SUMIFS($A$10:$A$400,$B$10:$B$400,"CH",$D$10:$D$400,"37")</f>
        <v>0</v>
      </c>
      <c r="M46" s="19" t="s">
        <v>19</v>
      </c>
      <c r="N46" s="19" t="s">
        <v>55</v>
      </c>
    </row>
    <row r="47" spans="1:14" s="18" customFormat="1" x14ac:dyDescent="0.3">
      <c r="A47" s="16"/>
      <c r="B47" s="16"/>
      <c r="C47" s="16"/>
      <c r="D47" s="16"/>
      <c r="E47" s="16"/>
      <c r="F47" s="16"/>
      <c r="G47" s="24"/>
      <c r="H47" s="17"/>
      <c r="I47" s="16"/>
      <c r="J47" s="17"/>
      <c r="L47" s="19">
        <f>SUMIFS($A$10:$A$400,$B$10:$B$400,"CH",$D$10:$D$400,"38")</f>
        <v>0</v>
      </c>
      <c r="M47" s="19" t="s">
        <v>19</v>
      </c>
      <c r="N47" s="19" t="s">
        <v>56</v>
      </c>
    </row>
    <row r="48" spans="1:14" s="18" customFormat="1" x14ac:dyDescent="0.3">
      <c r="A48" s="16"/>
      <c r="B48" s="16"/>
      <c r="C48" s="16"/>
      <c r="D48" s="16"/>
      <c r="E48" s="16"/>
      <c r="F48" s="16"/>
      <c r="G48" s="24"/>
      <c r="H48" s="17"/>
      <c r="I48" s="16"/>
      <c r="J48" s="17"/>
      <c r="L48" s="19">
        <f>SUMIFS($A$10:$A$400,$B$10:$B$400,"CH",$D$10:$D$400,"39")</f>
        <v>0</v>
      </c>
      <c r="M48" s="19" t="s">
        <v>19</v>
      </c>
      <c r="N48" s="19" t="s">
        <v>58</v>
      </c>
    </row>
    <row r="49" spans="1:14" s="18" customFormat="1" x14ac:dyDescent="0.3">
      <c r="A49" s="16"/>
      <c r="B49" s="16"/>
      <c r="C49" s="16"/>
      <c r="D49" s="16"/>
      <c r="E49" s="16"/>
      <c r="F49" s="16"/>
      <c r="G49" s="24"/>
      <c r="H49" s="17"/>
      <c r="I49" s="16"/>
      <c r="J49" s="17"/>
      <c r="L49" s="19">
        <f>SUMIFS($A$10:$A$400,$B$10:$B$400,"CH",$D$10:$D$400,"40")</f>
        <v>0</v>
      </c>
      <c r="M49" s="19" t="s">
        <v>19</v>
      </c>
      <c r="N49" s="19" t="s">
        <v>59</v>
      </c>
    </row>
    <row r="50" spans="1:14" s="18" customFormat="1" x14ac:dyDescent="0.3">
      <c r="A50" s="16"/>
      <c r="B50" s="16"/>
      <c r="C50" s="16"/>
      <c r="D50" s="16"/>
      <c r="E50" s="16"/>
      <c r="F50" s="16"/>
      <c r="G50" s="24"/>
      <c r="H50" s="17"/>
      <c r="I50" s="16"/>
      <c r="J50" s="17"/>
      <c r="L50" s="19">
        <f>SUMIFS($A$10:$A$400,$B$10:$B$400,"CH",$D$10:$D$400,"41")</f>
        <v>0</v>
      </c>
      <c r="M50" s="19" t="s">
        <v>19</v>
      </c>
      <c r="N50" s="19" t="s">
        <v>60</v>
      </c>
    </row>
    <row r="51" spans="1:14" s="18" customFormat="1" x14ac:dyDescent="0.3">
      <c r="A51" s="16"/>
      <c r="B51" s="16"/>
      <c r="C51" s="16"/>
      <c r="D51" s="16"/>
      <c r="E51" s="16"/>
      <c r="F51" s="16"/>
      <c r="G51" s="24"/>
      <c r="H51" s="17"/>
      <c r="I51" s="16"/>
      <c r="J51" s="17"/>
      <c r="L51" s="19">
        <f>SUMIFS($A$10:$A$400,$B$10:$B$400,"CH",$D$10:$D$400,"")</f>
        <v>0</v>
      </c>
      <c r="M51" s="19" t="s">
        <v>19</v>
      </c>
      <c r="N51" s="19"/>
    </row>
    <row r="52" spans="1:14" s="18" customFormat="1" x14ac:dyDescent="0.3">
      <c r="A52" s="16"/>
      <c r="B52" s="16"/>
      <c r="C52" s="16"/>
      <c r="D52" s="16"/>
      <c r="E52" s="16"/>
      <c r="F52" s="16"/>
      <c r="G52" s="24"/>
      <c r="H52" s="17"/>
      <c r="I52" s="16"/>
      <c r="J52" s="17"/>
      <c r="L52" s="19">
        <f>SUM(L10:L51)</f>
        <v>5</v>
      </c>
      <c r="M52" s="19"/>
      <c r="N52" s="19"/>
    </row>
    <row r="53" spans="1:14" s="18" customFormat="1" x14ac:dyDescent="0.3">
      <c r="A53" s="16"/>
      <c r="B53" s="16"/>
      <c r="C53" s="16"/>
      <c r="D53" s="16"/>
      <c r="E53" s="16"/>
      <c r="F53" s="16"/>
      <c r="G53" s="24"/>
      <c r="H53" s="17"/>
      <c r="I53" s="16"/>
      <c r="J53" s="17"/>
      <c r="L53" s="19"/>
      <c r="M53" s="19"/>
      <c r="N53" s="19"/>
    </row>
    <row r="54" spans="1:14" s="18" customFormat="1" x14ac:dyDescent="0.3">
      <c r="A54" s="16"/>
      <c r="B54" s="16"/>
      <c r="C54" s="16"/>
      <c r="D54" s="16"/>
      <c r="E54" s="16"/>
      <c r="F54" s="16"/>
      <c r="G54" s="24"/>
      <c r="H54" s="17"/>
      <c r="I54" s="16"/>
      <c r="J54" s="17"/>
      <c r="L54" s="19">
        <f>SUMIFS($A$10:$A$400,$B$10:$B$400,"RT",$D$10:$D$400,"1")</f>
        <v>0</v>
      </c>
      <c r="M54" s="19" t="s">
        <v>21</v>
      </c>
      <c r="N54" s="19" t="s">
        <v>18</v>
      </c>
    </row>
    <row r="55" spans="1:14" s="18" customFormat="1" x14ac:dyDescent="0.3">
      <c r="A55" s="16"/>
      <c r="B55" s="16"/>
      <c r="C55" s="16"/>
      <c r="D55" s="16"/>
      <c r="E55" s="16"/>
      <c r="F55" s="16"/>
      <c r="G55" s="24"/>
      <c r="H55" s="17"/>
      <c r="I55" s="16"/>
      <c r="J55" s="17"/>
      <c r="L55" s="19">
        <f>SUMIFS($A$10:$A$400,$B$10:$B$400,"RT",$D$10:$D$400,"2")</f>
        <v>0</v>
      </c>
      <c r="M55" s="19" t="s">
        <v>21</v>
      </c>
      <c r="N55" s="19" t="s">
        <v>22</v>
      </c>
    </row>
    <row r="56" spans="1:14" s="18" customFormat="1" x14ac:dyDescent="0.3">
      <c r="A56" s="16"/>
      <c r="B56" s="16"/>
      <c r="C56" s="16"/>
      <c r="D56" s="16"/>
      <c r="E56" s="16"/>
      <c r="F56" s="16"/>
      <c r="G56" s="24"/>
      <c r="H56" s="17"/>
      <c r="I56" s="16"/>
      <c r="J56" s="17"/>
      <c r="L56" s="19">
        <f>SUMIFS($A$10:$A$400,$B$10:$B$400,"RT",$D$10:$D$400,"3")</f>
        <v>0</v>
      </c>
      <c r="M56" s="19" t="s">
        <v>21</v>
      </c>
      <c r="N56" s="19" t="s">
        <v>24</v>
      </c>
    </row>
    <row r="57" spans="1:14" s="18" customFormat="1" x14ac:dyDescent="0.3">
      <c r="A57" s="16"/>
      <c r="B57" s="16"/>
      <c r="C57" s="16"/>
      <c r="D57" s="16"/>
      <c r="E57" s="16"/>
      <c r="F57" s="16"/>
      <c r="G57" s="24"/>
      <c r="H57" s="17"/>
      <c r="I57" s="16"/>
      <c r="J57" s="17"/>
      <c r="L57" s="19">
        <f>SUMIFS($A$10:$A$400,$B$10:$B$400,"RT",$D$10:$D$400,"4")</f>
        <v>0</v>
      </c>
      <c r="M57" s="19" t="s">
        <v>21</v>
      </c>
      <c r="N57" s="19" t="s">
        <v>26</v>
      </c>
    </row>
    <row r="58" spans="1:14" s="18" customFormat="1" x14ac:dyDescent="0.3">
      <c r="A58" s="16"/>
      <c r="B58" s="16"/>
      <c r="C58" s="16"/>
      <c r="D58" s="16"/>
      <c r="E58" s="16"/>
      <c r="F58" s="16"/>
      <c r="G58" s="24"/>
      <c r="H58" s="17"/>
      <c r="I58" s="16"/>
      <c r="J58" s="17"/>
      <c r="L58" s="19">
        <f>SUMIFS($A$10:$A$400,$B$10:$B$400,"RT",$D$10:$D$400,"5")</f>
        <v>0</v>
      </c>
      <c r="M58" s="19" t="s">
        <v>21</v>
      </c>
      <c r="N58" s="19" t="s">
        <v>27</v>
      </c>
    </row>
    <row r="59" spans="1:14" s="18" customFormat="1" x14ac:dyDescent="0.3">
      <c r="A59" s="16"/>
      <c r="B59" s="16"/>
      <c r="C59" s="16"/>
      <c r="D59" s="16"/>
      <c r="E59" s="16"/>
      <c r="F59" s="16"/>
      <c r="G59" s="24"/>
      <c r="H59" s="17"/>
      <c r="I59" s="16"/>
      <c r="J59" s="17"/>
      <c r="L59" s="19">
        <f>SUMIFS($A$10:$A$400,$B$10:$B$400,"RT",$D$10:$D$400,"6")</f>
        <v>0</v>
      </c>
      <c r="M59" s="19" t="s">
        <v>21</v>
      </c>
      <c r="N59" s="19" t="s">
        <v>28</v>
      </c>
    </row>
    <row r="60" spans="1:14" s="18" customFormat="1" x14ac:dyDescent="0.3">
      <c r="A60" s="16"/>
      <c r="B60" s="16"/>
      <c r="C60" s="16"/>
      <c r="D60" s="16"/>
      <c r="E60" s="16"/>
      <c r="F60" s="16"/>
      <c r="G60" s="24"/>
      <c r="H60" s="17"/>
      <c r="I60" s="16"/>
      <c r="J60" s="17"/>
      <c r="L60" s="19">
        <f>SUMIFS($A$10:$A$400,$B$10:$B$400,"RT",$D$10:$D$400,"7")</f>
        <v>8</v>
      </c>
      <c r="M60" s="19" t="s">
        <v>21</v>
      </c>
      <c r="N60" s="19" t="s">
        <v>29</v>
      </c>
    </row>
    <row r="61" spans="1:14" s="18" customFormat="1" x14ac:dyDescent="0.3">
      <c r="A61" s="16"/>
      <c r="B61" s="16"/>
      <c r="C61" s="16"/>
      <c r="D61" s="16"/>
      <c r="E61" s="16"/>
      <c r="F61" s="16"/>
      <c r="G61" s="24"/>
      <c r="H61" s="17"/>
      <c r="I61" s="16"/>
      <c r="J61" s="17"/>
      <c r="L61" s="19">
        <f>SUMIFS($A$10:$A$400,$B$10:$B$400,"RT",$D$10:$D$400,"8")</f>
        <v>0</v>
      </c>
      <c r="M61" s="19" t="s">
        <v>21</v>
      </c>
      <c r="N61" s="19" t="s">
        <v>30</v>
      </c>
    </row>
    <row r="62" spans="1:14" s="18" customFormat="1" x14ac:dyDescent="0.3">
      <c r="A62" s="16"/>
      <c r="B62" s="16"/>
      <c r="C62" s="16"/>
      <c r="D62" s="16"/>
      <c r="E62" s="16"/>
      <c r="F62" s="16"/>
      <c r="G62" s="24"/>
      <c r="H62" s="17"/>
      <c r="I62" s="16"/>
      <c r="J62" s="17"/>
      <c r="L62" s="19">
        <f>SUMIFS($A$10:$A$400,$B$10:$B$400,"RT",$D$10:$D$400,"9")</f>
        <v>0</v>
      </c>
      <c r="M62" s="19" t="s">
        <v>21</v>
      </c>
      <c r="N62" s="19" t="s">
        <v>31</v>
      </c>
    </row>
    <row r="63" spans="1:14" s="18" customFormat="1" x14ac:dyDescent="0.3">
      <c r="A63" s="16"/>
      <c r="B63" s="16"/>
      <c r="C63" s="16"/>
      <c r="D63" s="16"/>
      <c r="E63" s="16"/>
      <c r="F63" s="16"/>
      <c r="G63" s="24"/>
      <c r="H63" s="17"/>
      <c r="I63" s="16"/>
      <c r="J63" s="17"/>
      <c r="L63" s="19">
        <f>SUMIFS($A$10:$A$400,$B$10:$B$400,"RT",$D$10:$D$400,"10")</f>
        <v>0</v>
      </c>
      <c r="M63" s="19" t="s">
        <v>21</v>
      </c>
      <c r="N63" s="19" t="s">
        <v>20</v>
      </c>
    </row>
    <row r="64" spans="1:14" s="18" customFormat="1" x14ac:dyDescent="0.3">
      <c r="A64" s="16"/>
      <c r="B64" s="16"/>
      <c r="C64" s="16"/>
      <c r="D64" s="16"/>
      <c r="E64" s="16"/>
      <c r="F64" s="16"/>
      <c r="G64" s="24"/>
      <c r="H64" s="17"/>
      <c r="I64" s="16"/>
      <c r="J64" s="17"/>
      <c r="L64" s="19">
        <f>SUMIFS($A$10:$A$400,$B$10:$B$400,"RT",$D$10:$D$400,"11")</f>
        <v>0</v>
      </c>
      <c r="M64" s="19" t="s">
        <v>21</v>
      </c>
      <c r="N64" s="19" t="s">
        <v>23</v>
      </c>
    </row>
    <row r="65" spans="1:14" s="18" customFormat="1" x14ac:dyDescent="0.3">
      <c r="A65" s="16"/>
      <c r="B65" s="16"/>
      <c r="C65" s="16"/>
      <c r="D65" s="16"/>
      <c r="E65" s="16"/>
      <c r="F65" s="16"/>
      <c r="G65" s="24"/>
      <c r="H65" s="17"/>
      <c r="I65" s="16"/>
      <c r="J65" s="17"/>
      <c r="L65" s="19">
        <f>SUMIFS($A$10:$A$400,$B$10:$B$400,"RT",$D$10:$D$400,"12")</f>
        <v>0</v>
      </c>
      <c r="M65" s="19" t="s">
        <v>21</v>
      </c>
      <c r="N65" s="19" t="s">
        <v>32</v>
      </c>
    </row>
    <row r="66" spans="1:14" s="18" customFormat="1" x14ac:dyDescent="0.3">
      <c r="A66" s="16"/>
      <c r="B66" s="16"/>
      <c r="C66" s="16"/>
      <c r="D66" s="16"/>
      <c r="E66" s="16"/>
      <c r="F66" s="16"/>
      <c r="G66" s="24"/>
      <c r="H66" s="17"/>
      <c r="I66" s="16"/>
      <c r="J66" s="17"/>
      <c r="L66" s="19">
        <f>SUMIFS($A$10:$A$400,$B$10:$B$400,"RT",$D$10:$D$400,"13")</f>
        <v>0</v>
      </c>
      <c r="M66" s="19" t="s">
        <v>21</v>
      </c>
      <c r="N66" s="19" t="s">
        <v>33</v>
      </c>
    </row>
    <row r="67" spans="1:14" s="18" customFormat="1" x14ac:dyDescent="0.3">
      <c r="A67" s="16"/>
      <c r="B67" s="16"/>
      <c r="C67" s="16"/>
      <c r="D67" s="16"/>
      <c r="E67" s="16"/>
      <c r="F67" s="16"/>
      <c r="G67" s="24"/>
      <c r="H67" s="17"/>
      <c r="I67" s="16"/>
      <c r="J67" s="17"/>
      <c r="L67" s="19">
        <f>SUMIFS($A$10:$A$400,$B$10:$B$400,"RT",$D$10:$D$400,"14")</f>
        <v>0</v>
      </c>
      <c r="M67" s="19" t="s">
        <v>21</v>
      </c>
      <c r="N67" s="19" t="s">
        <v>34</v>
      </c>
    </row>
    <row r="68" spans="1:14" s="18" customFormat="1" x14ac:dyDescent="0.3">
      <c r="A68" s="16"/>
      <c r="B68" s="16"/>
      <c r="C68" s="16"/>
      <c r="D68" s="16"/>
      <c r="E68" s="16"/>
      <c r="F68" s="16"/>
      <c r="G68" s="24"/>
      <c r="H68" s="17"/>
      <c r="I68" s="16"/>
      <c r="J68" s="17"/>
      <c r="L68" s="19">
        <f>SUMIFS($A$10:$A$400,$B$10:$B$400,"RT",$D$10:$D$400,"15")</f>
        <v>0</v>
      </c>
      <c r="M68" s="19" t="s">
        <v>21</v>
      </c>
      <c r="N68" s="19" t="s">
        <v>35</v>
      </c>
    </row>
    <row r="69" spans="1:14" s="18" customFormat="1" x14ac:dyDescent="0.3">
      <c r="A69" s="16"/>
      <c r="B69" s="16"/>
      <c r="C69" s="16"/>
      <c r="D69" s="16"/>
      <c r="E69" s="16"/>
      <c r="F69" s="16"/>
      <c r="G69" s="24"/>
      <c r="H69" s="17"/>
      <c r="I69" s="16"/>
      <c r="J69" s="17"/>
      <c r="L69" s="19">
        <f>SUMIFS($A$10:$A$400,$B$10:$B$400,"RT",$D$10:$D$400,"16")</f>
        <v>0</v>
      </c>
      <c r="M69" s="19" t="s">
        <v>21</v>
      </c>
      <c r="N69" s="19" t="s">
        <v>36</v>
      </c>
    </row>
    <row r="70" spans="1:14" s="18" customFormat="1" x14ac:dyDescent="0.3">
      <c r="A70" s="16"/>
      <c r="B70" s="16"/>
      <c r="C70" s="16"/>
      <c r="D70" s="16"/>
      <c r="E70" s="16"/>
      <c r="F70" s="16"/>
      <c r="G70" s="24"/>
      <c r="H70" s="17"/>
      <c r="I70" s="16"/>
      <c r="J70" s="17"/>
      <c r="L70" s="19">
        <f>SUMIFS($A$10:$A$400,$B$10:$B$400,"RT",$D$10:$D$400,"17")</f>
        <v>0</v>
      </c>
      <c r="M70" s="19" t="s">
        <v>21</v>
      </c>
      <c r="N70" s="19" t="s">
        <v>37</v>
      </c>
    </row>
    <row r="71" spans="1:14" s="18" customFormat="1" x14ac:dyDescent="0.3">
      <c r="A71" s="16"/>
      <c r="B71" s="16"/>
      <c r="C71" s="16"/>
      <c r="D71" s="16"/>
      <c r="E71" s="16"/>
      <c r="F71" s="16"/>
      <c r="G71" s="24"/>
      <c r="H71" s="17"/>
      <c r="I71" s="16"/>
      <c r="J71" s="17"/>
      <c r="L71" s="19">
        <f>SUMIFS($A$10:$A$400,$B$10:$B$400,"RT",$D$10:$D$400,"18")</f>
        <v>0</v>
      </c>
      <c r="M71" s="19" t="s">
        <v>21</v>
      </c>
      <c r="N71" s="19" t="s">
        <v>38</v>
      </c>
    </row>
    <row r="72" spans="1:14" s="18" customFormat="1" x14ac:dyDescent="0.3">
      <c r="A72" s="16"/>
      <c r="B72" s="16"/>
      <c r="C72" s="16"/>
      <c r="D72" s="16"/>
      <c r="E72" s="16"/>
      <c r="F72" s="16"/>
      <c r="G72" s="24"/>
      <c r="H72" s="17"/>
      <c r="I72" s="16"/>
      <c r="J72" s="17"/>
      <c r="L72" s="19">
        <f>SUMIFS($A$10:$A$400,$B$10:$B$400,"RT",$D$10:$D$400,"19")</f>
        <v>0</v>
      </c>
      <c r="M72" s="19" t="s">
        <v>21</v>
      </c>
      <c r="N72" s="19" t="s">
        <v>39</v>
      </c>
    </row>
    <row r="73" spans="1:14" s="18" customFormat="1" x14ac:dyDescent="0.3">
      <c r="A73" s="16"/>
      <c r="B73" s="16"/>
      <c r="C73" s="16"/>
      <c r="D73" s="16"/>
      <c r="E73" s="16"/>
      <c r="F73" s="16"/>
      <c r="G73" s="24"/>
      <c r="H73" s="17"/>
      <c r="I73" s="16"/>
      <c r="J73" s="17"/>
      <c r="L73" s="19">
        <f>SUMIFS($A$10:$A$400,$B$10:$B$400,"RT",$D$10:$D$400,"20")</f>
        <v>0</v>
      </c>
      <c r="M73" s="19" t="s">
        <v>21</v>
      </c>
      <c r="N73" s="19" t="s">
        <v>40</v>
      </c>
    </row>
    <row r="74" spans="1:14" s="18" customFormat="1" x14ac:dyDescent="0.3">
      <c r="A74" s="16"/>
      <c r="B74" s="16"/>
      <c r="C74" s="16"/>
      <c r="D74" s="16"/>
      <c r="E74" s="16"/>
      <c r="F74" s="16"/>
      <c r="G74" s="24"/>
      <c r="H74" s="17"/>
      <c r="I74" s="16"/>
      <c r="J74" s="17"/>
      <c r="L74" s="19">
        <f>SUMIFS($A$10:$A$400,$B$10:$B$400,"RT",$D$10:$D$400,"21")</f>
        <v>0</v>
      </c>
      <c r="M74" s="19" t="s">
        <v>21</v>
      </c>
      <c r="N74" s="19" t="s">
        <v>41</v>
      </c>
    </row>
    <row r="75" spans="1:14" s="18" customFormat="1" x14ac:dyDescent="0.3">
      <c r="A75" s="16"/>
      <c r="B75" s="16"/>
      <c r="C75" s="16"/>
      <c r="D75" s="16"/>
      <c r="E75" s="16"/>
      <c r="F75" s="16"/>
      <c r="G75" s="24"/>
      <c r="H75" s="17"/>
      <c r="I75" s="16"/>
      <c r="J75" s="17"/>
      <c r="L75" s="19">
        <f>SUMIFS($A$10:$A$400,$B$10:$B$400,"RT",$D$10:$D$400,"22")</f>
        <v>0</v>
      </c>
      <c r="M75" s="19" t="s">
        <v>21</v>
      </c>
      <c r="N75" s="19" t="s">
        <v>42</v>
      </c>
    </row>
    <row r="76" spans="1:14" s="18" customFormat="1" x14ac:dyDescent="0.3">
      <c r="A76" s="16"/>
      <c r="B76" s="16"/>
      <c r="C76" s="16"/>
      <c r="D76" s="16"/>
      <c r="E76" s="16"/>
      <c r="F76" s="16"/>
      <c r="G76" s="24"/>
      <c r="H76" s="17"/>
      <c r="I76" s="16"/>
      <c r="J76" s="17"/>
      <c r="L76" s="19">
        <f>SUMIFS($A$10:$A$400,$B$10:$B$400,"RT",$D$10:$D$400,"23")</f>
        <v>0</v>
      </c>
      <c r="M76" s="19" t="s">
        <v>21</v>
      </c>
      <c r="N76" s="19" t="s">
        <v>43</v>
      </c>
    </row>
    <row r="77" spans="1:14" s="18" customFormat="1" x14ac:dyDescent="0.3">
      <c r="A77" s="16"/>
      <c r="B77" s="16"/>
      <c r="C77" s="16"/>
      <c r="D77" s="16"/>
      <c r="E77" s="16"/>
      <c r="F77" s="16"/>
      <c r="G77" s="24"/>
      <c r="H77" s="17"/>
      <c r="I77" s="16"/>
      <c r="J77" s="17"/>
      <c r="L77" s="19">
        <f>SUMIFS($A$10:$A$400,$B$10:$B$400,"RT",$D$10:$D$400,"24")</f>
        <v>0</v>
      </c>
      <c r="M77" s="19" t="s">
        <v>21</v>
      </c>
      <c r="N77" s="19" t="s">
        <v>44</v>
      </c>
    </row>
    <row r="78" spans="1:14" s="18" customFormat="1" x14ac:dyDescent="0.3">
      <c r="A78" s="16"/>
      <c r="B78" s="16"/>
      <c r="C78" s="16"/>
      <c r="D78" s="16"/>
      <c r="E78" s="16"/>
      <c r="F78" s="16"/>
      <c r="G78" s="24"/>
      <c r="H78" s="17"/>
      <c r="I78" s="16"/>
      <c r="J78" s="17"/>
      <c r="L78" s="19">
        <f>SUMIFS($A$10:$A$400,$B$10:$B$400,"RT",$D$10:$D$400,"25")</f>
        <v>0</v>
      </c>
      <c r="M78" s="19" t="s">
        <v>21</v>
      </c>
      <c r="N78" s="19" t="s">
        <v>45</v>
      </c>
    </row>
    <row r="79" spans="1:14" s="18" customFormat="1" x14ac:dyDescent="0.3">
      <c r="A79" s="16"/>
      <c r="B79" s="16"/>
      <c r="C79" s="16"/>
      <c r="D79" s="16"/>
      <c r="E79" s="16"/>
      <c r="F79" s="16"/>
      <c r="G79" s="24"/>
      <c r="H79" s="17"/>
      <c r="I79" s="16"/>
      <c r="J79" s="17"/>
      <c r="L79" s="19">
        <f>SUMIFS($A$10:$A$400,$B$10:$B$400,"RT",$D$10:$D$400,"26")</f>
        <v>0</v>
      </c>
      <c r="M79" s="19" t="s">
        <v>21</v>
      </c>
      <c r="N79" s="19" t="s">
        <v>46</v>
      </c>
    </row>
    <row r="80" spans="1:14" s="18" customFormat="1" x14ac:dyDescent="0.3">
      <c r="A80" s="16"/>
      <c r="B80" s="16"/>
      <c r="C80" s="16"/>
      <c r="D80" s="16"/>
      <c r="E80" s="16"/>
      <c r="F80" s="16"/>
      <c r="G80" s="24"/>
      <c r="H80" s="17"/>
      <c r="I80" s="16"/>
      <c r="J80" s="17"/>
      <c r="L80" s="19">
        <f>SUMIFS($A$10:$A$400,$B$10:$B$400,"RT",$D$10:$D$400,"27")</f>
        <v>0</v>
      </c>
      <c r="M80" s="19" t="s">
        <v>21</v>
      </c>
      <c r="N80" s="19" t="s">
        <v>25</v>
      </c>
    </row>
    <row r="81" spans="1:14" s="18" customFormat="1" x14ac:dyDescent="0.3">
      <c r="A81" s="16"/>
      <c r="B81" s="16"/>
      <c r="C81" s="16"/>
      <c r="D81" s="16"/>
      <c r="E81" s="16"/>
      <c r="F81" s="16"/>
      <c r="G81" s="24"/>
      <c r="H81" s="17"/>
      <c r="I81" s="16"/>
      <c r="J81" s="17"/>
      <c r="L81" s="19">
        <f>SUMIFS($A$10:$A$400,$B$10:$B$400,"RT",$D$10:$D$400,"28")</f>
        <v>0</v>
      </c>
      <c r="M81" s="19" t="s">
        <v>21</v>
      </c>
      <c r="N81" s="19" t="s">
        <v>47</v>
      </c>
    </row>
    <row r="82" spans="1:14" s="18" customFormat="1" x14ac:dyDescent="0.3">
      <c r="A82" s="16"/>
      <c r="B82" s="16"/>
      <c r="C82" s="16"/>
      <c r="D82" s="16"/>
      <c r="E82" s="16"/>
      <c r="F82" s="16"/>
      <c r="G82" s="24"/>
      <c r="H82" s="17"/>
      <c r="I82" s="16"/>
      <c r="J82" s="17"/>
      <c r="L82" s="19">
        <f>SUMIFS($A$10:$A$400,$B$10:$B$400,"RT",$D$10:$D$400,"29")</f>
        <v>0</v>
      </c>
      <c r="M82" s="19" t="s">
        <v>21</v>
      </c>
      <c r="N82" s="19" t="s">
        <v>48</v>
      </c>
    </row>
    <row r="83" spans="1:14" s="18" customFormat="1" x14ac:dyDescent="0.3">
      <c r="A83" s="16"/>
      <c r="B83" s="16"/>
      <c r="C83" s="16"/>
      <c r="D83" s="16"/>
      <c r="E83" s="16"/>
      <c r="F83" s="16"/>
      <c r="G83" s="24"/>
      <c r="H83" s="17"/>
      <c r="I83" s="16"/>
      <c r="J83" s="17"/>
      <c r="L83" s="19">
        <f>SUMIFS($A$10:$A$400,$B$10:$B$400,"RT",$D$10:$D$400,"30")</f>
        <v>0</v>
      </c>
      <c r="M83" s="19" t="s">
        <v>21</v>
      </c>
      <c r="N83" s="19" t="s">
        <v>50</v>
      </c>
    </row>
    <row r="84" spans="1:14" s="18" customFormat="1" x14ac:dyDescent="0.3">
      <c r="A84" s="16"/>
      <c r="B84" s="16"/>
      <c r="C84" s="16"/>
      <c r="D84" s="16"/>
      <c r="E84" s="16"/>
      <c r="F84" s="16"/>
      <c r="G84" s="24"/>
      <c r="H84" s="17"/>
      <c r="I84" s="16"/>
      <c r="J84" s="17"/>
      <c r="L84" s="19">
        <f>SUMIFS($A$10:$A$400,$B$10:$B$400,"RT",$D$10:$D$400,"31")</f>
        <v>0</v>
      </c>
      <c r="M84" s="19" t="s">
        <v>21</v>
      </c>
      <c r="N84" s="19" t="s">
        <v>49</v>
      </c>
    </row>
    <row r="85" spans="1:14" s="18" customFormat="1" x14ac:dyDescent="0.3">
      <c r="A85" s="16"/>
      <c r="B85" s="16"/>
      <c r="C85" s="16"/>
      <c r="D85" s="16"/>
      <c r="E85" s="16"/>
      <c r="F85" s="16"/>
      <c r="G85" s="24"/>
      <c r="H85" s="17"/>
      <c r="I85" s="16"/>
      <c r="J85" s="17"/>
      <c r="L85" s="19">
        <f>SUMIFS($A$10:$A$400,$B$10:$B$400,"RT",$D$10:$D$400,"32")</f>
        <v>0</v>
      </c>
      <c r="M85" s="19" t="s">
        <v>21</v>
      </c>
      <c r="N85" s="19" t="s">
        <v>51</v>
      </c>
    </row>
    <row r="86" spans="1:14" s="18" customFormat="1" x14ac:dyDescent="0.3">
      <c r="A86" s="16"/>
      <c r="B86" s="16"/>
      <c r="C86" s="16"/>
      <c r="D86" s="16"/>
      <c r="E86" s="16"/>
      <c r="F86" s="16"/>
      <c r="G86" s="24"/>
      <c r="H86" s="17"/>
      <c r="I86" s="16"/>
      <c r="J86" s="17"/>
      <c r="L86" s="19">
        <f>SUMIFS($A$10:$A$400,$B$10:$B$400,"RT",$D$10:$D$400,"33")</f>
        <v>0</v>
      </c>
      <c r="M86" s="19" t="s">
        <v>21</v>
      </c>
      <c r="N86" s="19" t="s">
        <v>52</v>
      </c>
    </row>
    <row r="87" spans="1:14" s="18" customFormat="1" x14ac:dyDescent="0.3">
      <c r="A87" s="16"/>
      <c r="B87" s="16"/>
      <c r="C87" s="16"/>
      <c r="D87" s="16"/>
      <c r="E87" s="16"/>
      <c r="F87" s="16"/>
      <c r="G87" s="24"/>
      <c r="H87" s="17"/>
      <c r="I87" s="16"/>
      <c r="J87" s="17"/>
      <c r="L87" s="19">
        <f>SUMIFS($A$10:$A$400,$B$10:$B$400,"RT",$D$10:$D$400,"34")</f>
        <v>0</v>
      </c>
      <c r="M87" s="19" t="s">
        <v>21</v>
      </c>
      <c r="N87" s="19" t="s">
        <v>53</v>
      </c>
    </row>
    <row r="88" spans="1:14" s="18" customFormat="1" x14ac:dyDescent="0.3">
      <c r="A88" s="16"/>
      <c r="B88" s="16"/>
      <c r="C88" s="16"/>
      <c r="D88" s="16"/>
      <c r="E88" s="16"/>
      <c r="F88" s="16"/>
      <c r="G88" s="24"/>
      <c r="H88" s="17"/>
      <c r="I88" s="16"/>
      <c r="J88" s="17"/>
      <c r="L88" s="19">
        <f>SUMIFS($A$10:$A$400,$B$10:$B$400,"RT",$D$10:$D$400,"35")</f>
        <v>0</v>
      </c>
      <c r="M88" s="19" t="s">
        <v>21</v>
      </c>
      <c r="N88" s="19" t="s">
        <v>54</v>
      </c>
    </row>
    <row r="89" spans="1:14" s="18" customFormat="1" x14ac:dyDescent="0.3">
      <c r="A89" s="16"/>
      <c r="B89" s="16"/>
      <c r="C89" s="16"/>
      <c r="D89" s="16"/>
      <c r="E89" s="16"/>
      <c r="F89" s="16"/>
      <c r="G89" s="24"/>
      <c r="H89" s="17"/>
      <c r="I89" s="16"/>
      <c r="J89" s="17"/>
      <c r="L89" s="19">
        <f>SUMIFS($A$10:$A$400,$B$10:$B$400,"RT",$D$10:$D$400,"36")</f>
        <v>0</v>
      </c>
      <c r="M89" s="19" t="s">
        <v>21</v>
      </c>
      <c r="N89" s="19" t="s">
        <v>57</v>
      </c>
    </row>
    <row r="90" spans="1:14" s="18" customFormat="1" x14ac:dyDescent="0.3">
      <c r="A90" s="16"/>
      <c r="B90" s="16"/>
      <c r="C90" s="16"/>
      <c r="D90" s="16"/>
      <c r="E90" s="16"/>
      <c r="F90" s="16"/>
      <c r="G90" s="24"/>
      <c r="H90" s="17"/>
      <c r="I90" s="16"/>
      <c r="J90" s="17"/>
      <c r="L90" s="19">
        <f>SUMIFS($A$10:$A$400,$B$10:$B$400,"RT",$D$10:$D$400,"37")</f>
        <v>0</v>
      </c>
      <c r="M90" s="19" t="s">
        <v>21</v>
      </c>
      <c r="N90" s="19" t="s">
        <v>55</v>
      </c>
    </row>
    <row r="91" spans="1:14" s="18" customFormat="1" x14ac:dyDescent="0.3">
      <c r="A91" s="16"/>
      <c r="B91" s="16"/>
      <c r="C91" s="16"/>
      <c r="D91" s="16"/>
      <c r="E91" s="16"/>
      <c r="F91" s="16"/>
      <c r="G91" s="24"/>
      <c r="H91" s="17"/>
      <c r="I91" s="16"/>
      <c r="J91" s="17"/>
      <c r="L91" s="19">
        <f>SUMIFS($A$10:$A$400,$B$10:$B$400,"RT",$D$10:$D$400,"38")</f>
        <v>0</v>
      </c>
      <c r="M91" s="19" t="s">
        <v>21</v>
      </c>
      <c r="N91" s="19" t="s">
        <v>56</v>
      </c>
    </row>
    <row r="92" spans="1:14" s="18" customFormat="1" x14ac:dyDescent="0.3">
      <c r="A92" s="16"/>
      <c r="B92" s="16"/>
      <c r="C92" s="16"/>
      <c r="D92" s="16"/>
      <c r="E92" s="16"/>
      <c r="F92" s="16"/>
      <c r="G92" s="24"/>
      <c r="H92" s="17"/>
      <c r="I92" s="16"/>
      <c r="J92" s="17"/>
      <c r="L92" s="19">
        <f>SUMIFS($A$10:$A$400,$B$10:$B$400,"RT",$D$10:$D$400,"39")</f>
        <v>0</v>
      </c>
      <c r="M92" s="19" t="s">
        <v>21</v>
      </c>
      <c r="N92" s="19" t="s">
        <v>58</v>
      </c>
    </row>
    <row r="93" spans="1:14" s="18" customFormat="1" x14ac:dyDescent="0.3">
      <c r="A93" s="16"/>
      <c r="B93" s="16"/>
      <c r="C93" s="16"/>
      <c r="D93" s="16"/>
      <c r="E93" s="16"/>
      <c r="F93" s="16"/>
      <c r="G93" s="24"/>
      <c r="H93" s="17"/>
      <c r="I93" s="16"/>
      <c r="J93" s="17"/>
      <c r="L93" s="19">
        <f>SUMIFS($A$10:$A$400,$B$10:$B$400,"RT",$D$10:$D$400,"40")</f>
        <v>0</v>
      </c>
      <c r="M93" s="19" t="s">
        <v>21</v>
      </c>
      <c r="N93" s="19" t="s">
        <v>59</v>
      </c>
    </row>
    <row r="94" spans="1:14" s="18" customFormat="1" x14ac:dyDescent="0.3">
      <c r="A94" s="16"/>
      <c r="B94" s="16"/>
      <c r="C94" s="16"/>
      <c r="D94" s="16"/>
      <c r="E94" s="16"/>
      <c r="F94" s="16"/>
      <c r="G94" s="24"/>
      <c r="H94" s="17"/>
      <c r="I94" s="16"/>
      <c r="J94" s="17"/>
      <c r="L94" s="19">
        <f>SUMIFS($A$10:$A$400,$B$10:$B$400,"RT",$D$10:$D$400,"41")</f>
        <v>0</v>
      </c>
      <c r="M94" s="19" t="s">
        <v>21</v>
      </c>
      <c r="N94" s="19" t="s">
        <v>60</v>
      </c>
    </row>
    <row r="95" spans="1:14" s="18" customFormat="1" x14ac:dyDescent="0.3">
      <c r="A95" s="16"/>
      <c r="B95" s="16"/>
      <c r="C95" s="16"/>
      <c r="D95" s="16"/>
      <c r="E95" s="16"/>
      <c r="F95" s="16"/>
      <c r="G95" s="24"/>
      <c r="H95" s="17"/>
      <c r="I95" s="16"/>
      <c r="J95" s="17"/>
      <c r="L95" s="19">
        <f>SUMIFS($A$10:$A$400,$B$10:$B$400,"RT",$D$10:$D$400,"")</f>
        <v>0</v>
      </c>
      <c r="M95" s="19" t="s">
        <v>21</v>
      </c>
      <c r="N95" s="19"/>
    </row>
    <row r="96" spans="1:14" s="18" customFormat="1" x14ac:dyDescent="0.3">
      <c r="A96" s="16"/>
      <c r="B96" s="16"/>
      <c r="C96" s="16"/>
      <c r="D96" s="16"/>
      <c r="E96" s="16"/>
      <c r="F96" s="16"/>
      <c r="G96" s="24"/>
      <c r="H96" s="17"/>
      <c r="I96" s="16"/>
      <c r="J96" s="17"/>
      <c r="L96" s="19">
        <f>SUM(L54:L95)</f>
        <v>8</v>
      </c>
      <c r="M96" s="20"/>
      <c r="N96" s="20"/>
    </row>
    <row r="97" spans="1:14" s="18" customFormat="1" x14ac:dyDescent="0.3">
      <c r="A97" s="16"/>
      <c r="B97" s="16"/>
      <c r="C97" s="16"/>
      <c r="D97" s="16"/>
      <c r="E97" s="16"/>
      <c r="F97" s="16"/>
      <c r="G97" s="24"/>
      <c r="H97" s="17"/>
      <c r="I97" s="16"/>
      <c r="J97" s="17"/>
      <c r="L97" s="20"/>
      <c r="M97" s="20"/>
      <c r="N97" s="20"/>
    </row>
    <row r="98" spans="1:14" s="18" customFormat="1" x14ac:dyDescent="0.3">
      <c r="A98" s="16"/>
      <c r="B98" s="16"/>
      <c r="C98" s="16"/>
      <c r="D98" s="16"/>
      <c r="E98" s="16"/>
      <c r="F98" s="16"/>
      <c r="G98" s="24"/>
      <c r="H98" s="17"/>
      <c r="I98" s="16"/>
      <c r="J98" s="17"/>
      <c r="L98" s="20"/>
      <c r="M98" s="20"/>
      <c r="N98" s="20"/>
    </row>
    <row r="99" spans="1:14" s="18" customFormat="1" x14ac:dyDescent="0.3">
      <c r="A99" s="16"/>
      <c r="B99" s="16"/>
      <c r="C99" s="16"/>
      <c r="D99" s="16"/>
      <c r="E99" s="16"/>
      <c r="F99" s="16"/>
      <c r="G99" s="24"/>
      <c r="H99" s="17"/>
      <c r="I99" s="16"/>
      <c r="J99" s="17"/>
      <c r="L99" s="20"/>
      <c r="M99" s="20"/>
      <c r="N99" s="20"/>
    </row>
    <row r="100" spans="1:14" s="18" customFormat="1" x14ac:dyDescent="0.3">
      <c r="A100" s="20"/>
      <c r="B100" s="16"/>
      <c r="C100" s="20"/>
      <c r="D100" s="16"/>
      <c r="E100" s="16"/>
      <c r="F100" s="20"/>
      <c r="G100" s="25"/>
      <c r="I100" s="20"/>
      <c r="L100" s="20"/>
      <c r="M100" s="20"/>
      <c r="N100" s="20"/>
    </row>
    <row r="101" spans="1:14" s="18" customFormat="1" x14ac:dyDescent="0.3">
      <c r="A101" s="20"/>
      <c r="B101" s="20"/>
      <c r="C101" s="20"/>
      <c r="D101" s="20"/>
      <c r="E101" s="20"/>
      <c r="F101" s="20"/>
      <c r="G101" s="25"/>
      <c r="I101" s="20"/>
      <c r="L101" s="20"/>
      <c r="M101" s="20"/>
      <c r="N101" s="20"/>
    </row>
    <row r="102" spans="1:14" s="18" customFormat="1" x14ac:dyDescent="0.3">
      <c r="A102" s="20"/>
      <c r="B102" s="20"/>
      <c r="C102" s="20"/>
      <c r="D102" s="20"/>
      <c r="E102" s="20"/>
      <c r="F102" s="20"/>
      <c r="G102" s="25"/>
      <c r="I102" s="20"/>
      <c r="L102" s="20"/>
      <c r="M102" s="20"/>
      <c r="N102" s="20"/>
    </row>
    <row r="103" spans="1:14" s="18" customFormat="1" x14ac:dyDescent="0.3">
      <c r="A103" s="20"/>
      <c r="B103" s="20"/>
      <c r="C103" s="20"/>
      <c r="D103" s="20"/>
      <c r="E103" s="20"/>
      <c r="F103" s="20"/>
      <c r="G103" s="25"/>
      <c r="I103" s="20"/>
      <c r="L103" s="20"/>
      <c r="M103" s="20"/>
      <c r="N103" s="20"/>
    </row>
    <row r="104" spans="1:14" s="18" customFormat="1" x14ac:dyDescent="0.3">
      <c r="A104" s="20"/>
      <c r="B104" s="20"/>
      <c r="C104" s="20"/>
      <c r="D104" s="20"/>
      <c r="E104" s="20"/>
      <c r="F104" s="20"/>
      <c r="G104" s="25"/>
      <c r="I104" s="20"/>
      <c r="L104" s="20"/>
      <c r="M104" s="20"/>
      <c r="N104" s="20"/>
    </row>
    <row r="105" spans="1:14" s="18" customFormat="1" x14ac:dyDescent="0.3">
      <c r="A105" s="20"/>
      <c r="B105" s="20"/>
      <c r="C105" s="20"/>
      <c r="D105" s="20"/>
      <c r="E105" s="20"/>
      <c r="F105" s="20"/>
      <c r="G105" s="25"/>
      <c r="I105" s="20"/>
      <c r="L105" s="20"/>
      <c r="M105" s="20"/>
      <c r="N105" s="20"/>
    </row>
    <row r="106" spans="1:14" s="18" customFormat="1" x14ac:dyDescent="0.3">
      <c r="A106" s="20"/>
      <c r="B106" s="20"/>
      <c r="C106" s="20"/>
      <c r="D106" s="20"/>
      <c r="E106" s="20"/>
      <c r="F106" s="20"/>
      <c r="G106" s="25"/>
      <c r="I106" s="20"/>
      <c r="L106" s="20"/>
      <c r="M106" s="20"/>
      <c r="N106" s="20"/>
    </row>
    <row r="107" spans="1:14" s="18" customFormat="1" x14ac:dyDescent="0.3">
      <c r="A107" s="20"/>
      <c r="B107" s="20"/>
      <c r="C107" s="20"/>
      <c r="D107" s="20"/>
      <c r="E107" s="20"/>
      <c r="F107" s="20"/>
      <c r="G107" s="25"/>
      <c r="I107" s="20"/>
      <c r="L107" s="20"/>
      <c r="M107" s="20"/>
      <c r="N107" s="20"/>
    </row>
    <row r="108" spans="1:14" s="18" customFormat="1" x14ac:dyDescent="0.3">
      <c r="A108" s="20"/>
      <c r="B108" s="20"/>
      <c r="C108" s="20"/>
      <c r="D108" s="20"/>
      <c r="E108" s="20"/>
      <c r="F108" s="20"/>
      <c r="G108" s="25"/>
      <c r="I108" s="20"/>
      <c r="L108" s="20"/>
      <c r="M108" s="20"/>
      <c r="N108" s="20"/>
    </row>
    <row r="109" spans="1:14" s="18" customFormat="1" x14ac:dyDescent="0.3">
      <c r="A109" s="20"/>
      <c r="B109" s="20"/>
      <c r="C109" s="20"/>
      <c r="D109" s="20"/>
      <c r="E109" s="20"/>
      <c r="F109" s="20"/>
      <c r="G109" s="25"/>
      <c r="I109" s="20"/>
      <c r="L109" s="20"/>
      <c r="M109" s="20"/>
      <c r="N109" s="20"/>
    </row>
    <row r="110" spans="1:14" s="18" customFormat="1" x14ac:dyDescent="0.3">
      <c r="A110" s="20"/>
      <c r="B110" s="20"/>
      <c r="C110" s="20"/>
      <c r="D110" s="20"/>
      <c r="E110" s="20"/>
      <c r="F110" s="20"/>
      <c r="G110" s="25"/>
      <c r="I110" s="20"/>
      <c r="L110" s="20"/>
      <c r="M110" s="20"/>
      <c r="N110" s="20"/>
    </row>
    <row r="111" spans="1:14" s="18" customFormat="1" x14ac:dyDescent="0.3">
      <c r="A111" s="20"/>
      <c r="B111" s="20"/>
      <c r="C111" s="20"/>
      <c r="D111" s="20"/>
      <c r="E111" s="20"/>
      <c r="F111" s="20"/>
      <c r="G111" s="25"/>
      <c r="I111" s="20"/>
      <c r="L111" s="20"/>
      <c r="M111" s="20"/>
      <c r="N111" s="20"/>
    </row>
    <row r="112" spans="1:14" s="18" customFormat="1" x14ac:dyDescent="0.3">
      <c r="A112" s="20"/>
      <c r="B112" s="20"/>
      <c r="C112" s="20"/>
      <c r="D112" s="20"/>
      <c r="E112" s="20"/>
      <c r="F112" s="20"/>
      <c r="G112" s="25"/>
      <c r="I112" s="20"/>
      <c r="L112" s="20"/>
      <c r="M112" s="20"/>
      <c r="N112" s="20"/>
    </row>
    <row r="113" spans="1:14" s="18" customFormat="1" x14ac:dyDescent="0.3">
      <c r="A113" s="20"/>
      <c r="B113" s="20"/>
      <c r="C113" s="20"/>
      <c r="D113" s="20"/>
      <c r="E113" s="20"/>
      <c r="F113" s="20"/>
      <c r="G113" s="25"/>
      <c r="I113" s="20"/>
      <c r="L113" s="20"/>
      <c r="M113" s="20"/>
      <c r="N113" s="20"/>
    </row>
    <row r="114" spans="1:14" s="18" customFormat="1" x14ac:dyDescent="0.3">
      <c r="A114" s="20"/>
      <c r="B114" s="20"/>
      <c r="C114" s="20"/>
      <c r="D114" s="20"/>
      <c r="E114" s="20"/>
      <c r="F114" s="20"/>
      <c r="G114" s="25"/>
      <c r="I114" s="20"/>
      <c r="L114" s="20"/>
      <c r="M114" s="20"/>
      <c r="N114" s="20"/>
    </row>
    <row r="115" spans="1:14" s="18" customFormat="1" x14ac:dyDescent="0.3">
      <c r="A115" s="20"/>
      <c r="B115" s="20"/>
      <c r="C115" s="20"/>
      <c r="D115" s="20"/>
      <c r="E115" s="20"/>
      <c r="F115" s="20"/>
      <c r="G115" s="25"/>
      <c r="I115" s="20"/>
      <c r="L115" s="20"/>
      <c r="M115" s="20"/>
      <c r="N115" s="20"/>
    </row>
    <row r="116" spans="1:14" s="18" customFormat="1" x14ac:dyDescent="0.3">
      <c r="A116" s="20"/>
      <c r="B116" s="20"/>
      <c r="C116" s="20"/>
      <c r="D116" s="20"/>
      <c r="E116" s="20"/>
      <c r="F116" s="20"/>
      <c r="G116" s="25"/>
      <c r="I116" s="20"/>
      <c r="L116" s="20"/>
      <c r="M116" s="20"/>
      <c r="N116" s="20"/>
    </row>
    <row r="117" spans="1:14" s="18" customFormat="1" x14ac:dyDescent="0.3">
      <c r="A117" s="20"/>
      <c r="B117" s="20"/>
      <c r="C117" s="20"/>
      <c r="D117" s="20"/>
      <c r="E117" s="20"/>
      <c r="F117" s="20"/>
      <c r="G117" s="25"/>
      <c r="I117" s="20"/>
      <c r="L117" s="20"/>
      <c r="M117" s="20"/>
      <c r="N117" s="20"/>
    </row>
    <row r="118" spans="1:14" s="18" customFormat="1" x14ac:dyDescent="0.3">
      <c r="A118" s="20"/>
      <c r="B118" s="20"/>
      <c r="C118" s="20"/>
      <c r="D118" s="20"/>
      <c r="E118" s="20"/>
      <c r="F118" s="20"/>
      <c r="G118" s="25"/>
      <c r="I118" s="20"/>
      <c r="L118" s="20"/>
      <c r="M118" s="20"/>
      <c r="N118" s="20"/>
    </row>
    <row r="119" spans="1:14" s="18" customFormat="1" x14ac:dyDescent="0.3">
      <c r="A119" s="20"/>
      <c r="B119" s="20"/>
      <c r="C119" s="20"/>
      <c r="D119" s="20"/>
      <c r="E119" s="20"/>
      <c r="F119" s="20"/>
      <c r="G119" s="25"/>
      <c r="I119" s="20"/>
      <c r="L119" s="20"/>
      <c r="M119" s="20"/>
      <c r="N119" s="20"/>
    </row>
    <row r="120" spans="1:14" s="18" customFormat="1" x14ac:dyDescent="0.3">
      <c r="A120" s="20"/>
      <c r="B120" s="20"/>
      <c r="C120" s="20"/>
      <c r="D120" s="20"/>
      <c r="E120" s="20"/>
      <c r="F120" s="20"/>
      <c r="G120" s="25"/>
      <c r="I120" s="20"/>
      <c r="L120" s="20"/>
      <c r="M120" s="20"/>
      <c r="N120" s="20"/>
    </row>
    <row r="121" spans="1:14" s="18" customFormat="1" x14ac:dyDescent="0.3">
      <c r="A121" s="20"/>
      <c r="B121" s="20"/>
      <c r="C121" s="20"/>
      <c r="D121" s="20"/>
      <c r="E121" s="20"/>
      <c r="F121" s="20"/>
      <c r="G121" s="25"/>
      <c r="I121" s="20"/>
      <c r="L121" s="20"/>
      <c r="M121" s="20"/>
      <c r="N121" s="20"/>
    </row>
    <row r="122" spans="1:14" s="18" customFormat="1" x14ac:dyDescent="0.3">
      <c r="A122" s="20"/>
      <c r="B122" s="20"/>
      <c r="C122" s="20"/>
      <c r="D122" s="20"/>
      <c r="E122" s="20"/>
      <c r="F122" s="20"/>
      <c r="G122" s="25"/>
      <c r="I122" s="20"/>
      <c r="L122" s="20"/>
      <c r="M122" s="20"/>
      <c r="N122" s="20"/>
    </row>
    <row r="123" spans="1:14" s="18" customFormat="1" x14ac:dyDescent="0.3">
      <c r="A123" s="20"/>
      <c r="B123" s="20"/>
      <c r="C123" s="20"/>
      <c r="D123" s="20"/>
      <c r="E123" s="20"/>
      <c r="F123" s="20"/>
      <c r="G123" s="25"/>
      <c r="I123" s="20"/>
      <c r="L123" s="20"/>
      <c r="M123" s="20"/>
      <c r="N123" s="20"/>
    </row>
    <row r="124" spans="1:14" s="18" customFormat="1" x14ac:dyDescent="0.3">
      <c r="A124" s="20"/>
      <c r="B124" s="20"/>
      <c r="C124" s="20"/>
      <c r="D124" s="20"/>
      <c r="E124" s="20"/>
      <c r="F124" s="20"/>
      <c r="G124" s="25"/>
      <c r="I124" s="20"/>
      <c r="L124" s="20"/>
      <c r="M124" s="20"/>
      <c r="N124" s="20"/>
    </row>
    <row r="125" spans="1:14" s="18" customFormat="1" x14ac:dyDescent="0.3">
      <c r="A125" s="20"/>
      <c r="B125" s="20"/>
      <c r="C125" s="20"/>
      <c r="D125" s="20"/>
      <c r="E125" s="20"/>
      <c r="F125" s="20"/>
      <c r="G125" s="25"/>
      <c r="I125" s="20"/>
      <c r="L125" s="20"/>
      <c r="M125" s="20"/>
      <c r="N125" s="20"/>
    </row>
    <row r="126" spans="1:14" s="18" customFormat="1" x14ac:dyDescent="0.3">
      <c r="A126" s="20"/>
      <c r="B126" s="20"/>
      <c r="C126" s="20"/>
      <c r="D126" s="20"/>
      <c r="E126" s="20"/>
      <c r="F126" s="20"/>
      <c r="G126" s="25"/>
      <c r="I126" s="20"/>
      <c r="L126" s="20"/>
      <c r="M126" s="20"/>
      <c r="N126" s="20"/>
    </row>
    <row r="127" spans="1:14" s="18" customFormat="1" x14ac:dyDescent="0.3">
      <c r="A127" s="20"/>
      <c r="B127" s="20"/>
      <c r="C127" s="20"/>
      <c r="D127" s="20"/>
      <c r="E127" s="20"/>
      <c r="F127" s="20"/>
      <c r="G127" s="25"/>
      <c r="I127" s="20"/>
      <c r="L127" s="20"/>
      <c r="M127" s="20"/>
      <c r="N127" s="20"/>
    </row>
    <row r="128" spans="1:14" s="18" customFormat="1" x14ac:dyDescent="0.3">
      <c r="A128" s="20"/>
      <c r="B128" s="20"/>
      <c r="C128" s="20"/>
      <c r="D128" s="20"/>
      <c r="E128" s="20"/>
      <c r="F128" s="20"/>
      <c r="G128" s="25"/>
      <c r="I128" s="20"/>
      <c r="L128" s="20"/>
      <c r="M128" s="20"/>
      <c r="N128" s="20"/>
    </row>
    <row r="129" spans="1:14" s="18" customFormat="1" x14ac:dyDescent="0.3">
      <c r="A129" s="20"/>
      <c r="B129" s="20"/>
      <c r="C129" s="20"/>
      <c r="D129" s="20"/>
      <c r="E129" s="20"/>
      <c r="F129" s="20"/>
      <c r="G129" s="25"/>
      <c r="I129" s="20"/>
      <c r="L129" s="20"/>
      <c r="M129" s="20"/>
      <c r="N129" s="20"/>
    </row>
    <row r="130" spans="1:14" s="18" customFormat="1" x14ac:dyDescent="0.3">
      <c r="A130" s="20"/>
      <c r="B130" s="20"/>
      <c r="C130" s="20"/>
      <c r="D130" s="20"/>
      <c r="E130" s="20"/>
      <c r="F130" s="20"/>
      <c r="G130" s="25"/>
      <c r="I130" s="20"/>
      <c r="L130" s="20"/>
      <c r="M130" s="20"/>
      <c r="N130" s="20"/>
    </row>
    <row r="131" spans="1:14" s="18" customFormat="1" x14ac:dyDescent="0.3">
      <c r="A131" s="20"/>
      <c r="B131" s="20"/>
      <c r="C131" s="20"/>
      <c r="D131" s="20"/>
      <c r="E131" s="20"/>
      <c r="F131" s="20"/>
      <c r="G131" s="25"/>
      <c r="I131" s="20"/>
      <c r="L131" s="20"/>
      <c r="M131" s="20"/>
      <c r="N131" s="20"/>
    </row>
    <row r="132" spans="1:14" s="18" customFormat="1" x14ac:dyDescent="0.3">
      <c r="A132" s="20"/>
      <c r="B132" s="20"/>
      <c r="C132" s="20"/>
      <c r="D132" s="20"/>
      <c r="E132" s="20"/>
      <c r="F132" s="20"/>
      <c r="G132" s="25"/>
      <c r="I132" s="20"/>
      <c r="L132" s="20"/>
      <c r="M132" s="20"/>
      <c r="N132" s="20"/>
    </row>
    <row r="133" spans="1:14" s="18" customFormat="1" x14ac:dyDescent="0.3">
      <c r="A133" s="20"/>
      <c r="B133" s="20"/>
      <c r="C133" s="20"/>
      <c r="D133" s="20"/>
      <c r="E133" s="20"/>
      <c r="F133" s="20"/>
      <c r="G133" s="25"/>
      <c r="I133" s="20"/>
      <c r="L133" s="20"/>
      <c r="M133" s="20"/>
      <c r="N133" s="20"/>
    </row>
    <row r="134" spans="1:14" s="18" customFormat="1" x14ac:dyDescent="0.3">
      <c r="A134" s="20"/>
      <c r="B134" s="20"/>
      <c r="C134" s="20"/>
      <c r="D134" s="20"/>
      <c r="E134" s="20"/>
      <c r="F134" s="20"/>
      <c r="G134" s="25"/>
      <c r="I134" s="20"/>
      <c r="L134" s="20"/>
      <c r="M134" s="20"/>
      <c r="N134" s="20"/>
    </row>
    <row r="135" spans="1:14" s="18" customFormat="1" x14ac:dyDescent="0.3">
      <c r="A135" s="20"/>
      <c r="B135" s="20"/>
      <c r="C135" s="20"/>
      <c r="D135" s="20"/>
      <c r="E135" s="20"/>
      <c r="F135" s="20"/>
      <c r="G135" s="25"/>
      <c r="I135" s="20"/>
      <c r="L135" s="20"/>
      <c r="M135" s="20"/>
      <c r="N135" s="20"/>
    </row>
    <row r="136" spans="1:14" s="18" customFormat="1" x14ac:dyDescent="0.3">
      <c r="A136" s="20"/>
      <c r="B136" s="20"/>
      <c r="C136" s="20"/>
      <c r="D136" s="20"/>
      <c r="E136" s="20"/>
      <c r="F136" s="20"/>
      <c r="G136" s="25"/>
      <c r="I136" s="20"/>
      <c r="L136" s="20"/>
      <c r="M136" s="20"/>
      <c r="N136" s="20"/>
    </row>
    <row r="137" spans="1:14" s="18" customFormat="1" x14ac:dyDescent="0.3">
      <c r="A137" s="20"/>
      <c r="B137" s="20"/>
      <c r="C137" s="20"/>
      <c r="D137" s="20"/>
      <c r="E137" s="20"/>
      <c r="F137" s="20"/>
      <c r="G137" s="25"/>
      <c r="I137" s="20"/>
      <c r="L137" s="20"/>
      <c r="M137" s="20"/>
      <c r="N137" s="20"/>
    </row>
    <row r="138" spans="1:14" s="18" customFormat="1" x14ac:dyDescent="0.3">
      <c r="A138" s="20"/>
      <c r="B138" s="20"/>
      <c r="C138" s="20"/>
      <c r="D138" s="20"/>
      <c r="E138" s="20"/>
      <c r="F138" s="20"/>
      <c r="G138" s="25"/>
      <c r="I138" s="20"/>
      <c r="L138" s="20"/>
      <c r="M138" s="20"/>
      <c r="N138" s="20"/>
    </row>
    <row r="139" spans="1:14" s="18" customFormat="1" x14ac:dyDescent="0.3">
      <c r="A139" s="20"/>
      <c r="B139" s="20"/>
      <c r="C139" s="20"/>
      <c r="D139" s="20"/>
      <c r="E139" s="20"/>
      <c r="F139" s="20"/>
      <c r="G139" s="25"/>
      <c r="I139" s="20"/>
      <c r="L139" s="20"/>
      <c r="M139" s="20"/>
      <c r="N139" s="20"/>
    </row>
    <row r="140" spans="1:14" s="18" customFormat="1" x14ac:dyDescent="0.3">
      <c r="A140" s="20"/>
      <c r="B140" s="20"/>
      <c r="C140" s="20"/>
      <c r="D140" s="20"/>
      <c r="E140" s="20"/>
      <c r="F140" s="20"/>
      <c r="G140" s="25"/>
      <c r="I140" s="20"/>
      <c r="L140" s="20"/>
      <c r="M140" s="20"/>
      <c r="N140" s="20"/>
    </row>
    <row r="141" spans="1:14" s="18" customFormat="1" x14ac:dyDescent="0.3">
      <c r="A141" s="20"/>
      <c r="B141" s="20"/>
      <c r="C141" s="20"/>
      <c r="D141" s="20"/>
      <c r="E141" s="20"/>
      <c r="F141" s="20"/>
      <c r="G141" s="25"/>
      <c r="I141" s="20"/>
      <c r="L141" s="20"/>
      <c r="M141" s="20"/>
      <c r="N141" s="20"/>
    </row>
    <row r="142" spans="1:14" s="18" customFormat="1" x14ac:dyDescent="0.3">
      <c r="A142" s="20"/>
      <c r="B142" s="20"/>
      <c r="C142" s="20"/>
      <c r="D142" s="20"/>
      <c r="E142" s="20"/>
      <c r="F142" s="20"/>
      <c r="G142" s="25"/>
      <c r="I142" s="20"/>
      <c r="L142" s="20"/>
      <c r="M142" s="20"/>
      <c r="N142" s="20"/>
    </row>
    <row r="143" spans="1:14" s="18" customFormat="1" x14ac:dyDescent="0.3">
      <c r="A143" s="20"/>
      <c r="B143" s="20"/>
      <c r="C143" s="20"/>
      <c r="D143" s="20"/>
      <c r="E143" s="20"/>
      <c r="F143" s="20"/>
      <c r="G143" s="25"/>
      <c r="I143" s="20"/>
      <c r="L143" s="20"/>
      <c r="M143" s="20"/>
      <c r="N143" s="20"/>
    </row>
    <row r="144" spans="1:14" s="18" customFormat="1" x14ac:dyDescent="0.3">
      <c r="A144" s="20"/>
      <c r="B144" s="20"/>
      <c r="C144" s="20"/>
      <c r="D144" s="20"/>
      <c r="E144" s="20"/>
      <c r="F144" s="20"/>
      <c r="G144" s="25"/>
      <c r="I144" s="20"/>
      <c r="L144" s="20"/>
      <c r="M144" s="20"/>
      <c r="N144" s="20"/>
    </row>
    <row r="145" spans="1:14" s="18" customFormat="1" x14ac:dyDescent="0.3">
      <c r="A145" s="20"/>
      <c r="B145" s="20"/>
      <c r="C145" s="20"/>
      <c r="D145" s="20"/>
      <c r="E145" s="20"/>
      <c r="F145" s="20"/>
      <c r="G145" s="25"/>
      <c r="I145" s="20"/>
      <c r="L145" s="20"/>
      <c r="M145" s="20"/>
      <c r="N145" s="20"/>
    </row>
    <row r="146" spans="1:14" s="18" customFormat="1" x14ac:dyDescent="0.3">
      <c r="A146" s="20"/>
      <c r="B146" s="20"/>
      <c r="C146" s="20"/>
      <c r="D146" s="20"/>
      <c r="E146" s="20"/>
      <c r="F146" s="20"/>
      <c r="G146" s="25"/>
      <c r="I146" s="20"/>
      <c r="L146" s="20"/>
      <c r="M146" s="20"/>
      <c r="N146" s="20"/>
    </row>
    <row r="147" spans="1:14" s="18" customFormat="1" x14ac:dyDescent="0.3">
      <c r="A147" s="20"/>
      <c r="B147" s="20"/>
      <c r="C147" s="20"/>
      <c r="D147" s="20"/>
      <c r="E147" s="20"/>
      <c r="F147" s="20"/>
      <c r="G147" s="25"/>
      <c r="I147" s="20"/>
      <c r="L147" s="20"/>
      <c r="M147" s="20"/>
      <c r="N147" s="20"/>
    </row>
    <row r="148" spans="1:14" s="18" customFormat="1" x14ac:dyDescent="0.3">
      <c r="A148" s="20"/>
      <c r="B148" s="20"/>
      <c r="C148" s="20"/>
      <c r="D148" s="20"/>
      <c r="E148" s="20"/>
      <c r="F148" s="20"/>
      <c r="G148" s="25"/>
      <c r="I148" s="20"/>
      <c r="L148" s="20"/>
      <c r="M148" s="20"/>
      <c r="N148" s="20"/>
    </row>
    <row r="149" spans="1:14" s="18" customFormat="1" x14ac:dyDescent="0.3">
      <c r="A149" s="20"/>
      <c r="B149" s="20"/>
      <c r="C149" s="20"/>
      <c r="D149" s="20"/>
      <c r="E149" s="20"/>
      <c r="F149" s="20"/>
      <c r="G149" s="25"/>
      <c r="I149" s="20"/>
      <c r="L149" s="20"/>
      <c r="M149" s="20"/>
      <c r="N149" s="20"/>
    </row>
    <row r="150" spans="1:14" s="18" customFormat="1" x14ac:dyDescent="0.3">
      <c r="A150" s="20"/>
      <c r="B150" s="20"/>
      <c r="C150" s="20"/>
      <c r="D150" s="20"/>
      <c r="E150" s="20"/>
      <c r="F150" s="20"/>
      <c r="G150" s="25"/>
      <c r="I150" s="20"/>
      <c r="L150" s="20"/>
      <c r="M150" s="20"/>
      <c r="N150" s="20"/>
    </row>
    <row r="151" spans="1:14" s="18" customFormat="1" x14ac:dyDescent="0.3">
      <c r="A151" s="20"/>
      <c r="B151" s="20"/>
      <c r="C151" s="20"/>
      <c r="D151" s="20"/>
      <c r="E151" s="20"/>
      <c r="F151" s="20"/>
      <c r="G151" s="25"/>
      <c r="I151" s="20"/>
      <c r="L151" s="20"/>
      <c r="M151" s="20"/>
      <c r="N151" s="20"/>
    </row>
    <row r="152" spans="1:14" s="18" customFormat="1" x14ac:dyDescent="0.3">
      <c r="A152" s="20"/>
      <c r="B152" s="20"/>
      <c r="C152" s="20"/>
      <c r="D152" s="20"/>
      <c r="E152" s="20"/>
      <c r="F152" s="20"/>
      <c r="G152" s="25"/>
      <c r="I152" s="20"/>
      <c r="L152" s="20"/>
      <c r="M152" s="20"/>
      <c r="N152" s="20"/>
    </row>
    <row r="153" spans="1:14" s="18" customFormat="1" x14ac:dyDescent="0.3">
      <c r="A153" s="20"/>
      <c r="B153" s="20"/>
      <c r="C153" s="20"/>
      <c r="D153" s="20"/>
      <c r="E153" s="20"/>
      <c r="F153" s="20"/>
      <c r="G153" s="25"/>
      <c r="I153" s="20"/>
      <c r="L153" s="20"/>
      <c r="M153" s="20"/>
      <c r="N153" s="20"/>
    </row>
    <row r="154" spans="1:14" s="18" customFormat="1" x14ac:dyDescent="0.3">
      <c r="A154" s="20"/>
      <c r="B154" s="20"/>
      <c r="C154" s="20"/>
      <c r="D154" s="20"/>
      <c r="E154" s="20"/>
      <c r="F154" s="20"/>
      <c r="G154" s="25"/>
      <c r="I154" s="20"/>
      <c r="L154" s="20"/>
      <c r="M154" s="20"/>
      <c r="N154" s="20"/>
    </row>
    <row r="155" spans="1:14" s="18" customFormat="1" x14ac:dyDescent="0.3">
      <c r="A155" s="20"/>
      <c r="B155" s="20"/>
      <c r="C155" s="20"/>
      <c r="D155" s="20"/>
      <c r="E155" s="20"/>
      <c r="F155" s="20"/>
      <c r="G155" s="25"/>
      <c r="I155" s="20"/>
      <c r="L155" s="20"/>
      <c r="M155" s="20"/>
      <c r="N155" s="20"/>
    </row>
    <row r="156" spans="1:14" s="18" customFormat="1" x14ac:dyDescent="0.3">
      <c r="A156" s="20"/>
      <c r="B156" s="20"/>
      <c r="C156" s="20"/>
      <c r="D156" s="20"/>
      <c r="E156" s="20"/>
      <c r="F156" s="20"/>
      <c r="G156" s="25"/>
      <c r="I156" s="20"/>
      <c r="L156" s="20"/>
      <c r="M156" s="20"/>
      <c r="N156" s="20"/>
    </row>
    <row r="157" spans="1:14" s="18" customFormat="1" x14ac:dyDescent="0.3">
      <c r="A157" s="20"/>
      <c r="B157" s="20"/>
      <c r="C157" s="20"/>
      <c r="D157" s="20"/>
      <c r="E157" s="20"/>
      <c r="F157" s="20"/>
      <c r="G157" s="25"/>
      <c r="I157" s="20"/>
      <c r="L157" s="20"/>
      <c r="M157" s="20"/>
      <c r="N157" s="20"/>
    </row>
    <row r="158" spans="1:14" s="18" customFormat="1" x14ac:dyDescent="0.3">
      <c r="A158" s="20"/>
      <c r="B158" s="20"/>
      <c r="C158" s="20"/>
      <c r="D158" s="20"/>
      <c r="E158" s="20"/>
      <c r="F158" s="20"/>
      <c r="G158" s="25"/>
      <c r="I158" s="20"/>
      <c r="L158" s="20"/>
      <c r="M158" s="20"/>
      <c r="N158" s="20"/>
    </row>
    <row r="159" spans="1:14" s="18" customFormat="1" x14ac:dyDescent="0.3">
      <c r="A159" s="20"/>
      <c r="B159" s="20"/>
      <c r="C159" s="20"/>
      <c r="D159" s="20"/>
      <c r="E159" s="20"/>
      <c r="F159" s="20"/>
      <c r="G159" s="25"/>
      <c r="I159" s="20"/>
      <c r="L159" s="20"/>
      <c r="M159" s="20"/>
      <c r="N159" s="20"/>
    </row>
    <row r="160" spans="1:14" s="18" customFormat="1" x14ac:dyDescent="0.3">
      <c r="A160" s="20"/>
      <c r="B160" s="20"/>
      <c r="C160" s="20"/>
      <c r="D160" s="20"/>
      <c r="E160" s="20"/>
      <c r="F160" s="20"/>
      <c r="G160" s="25"/>
      <c r="I160" s="20"/>
      <c r="L160" s="20"/>
      <c r="M160" s="20"/>
      <c r="N160" s="20"/>
    </row>
    <row r="161" spans="1:14" s="18" customFormat="1" x14ac:dyDescent="0.3">
      <c r="A161" s="20"/>
      <c r="B161" s="20"/>
      <c r="C161" s="20"/>
      <c r="D161" s="20"/>
      <c r="E161" s="20"/>
      <c r="F161" s="20"/>
      <c r="G161" s="25"/>
      <c r="I161" s="20"/>
      <c r="L161" s="20"/>
      <c r="M161" s="20"/>
      <c r="N161" s="20"/>
    </row>
    <row r="162" spans="1:14" s="18" customFormat="1" x14ac:dyDescent="0.3">
      <c r="A162" s="20"/>
      <c r="B162" s="20"/>
      <c r="C162" s="20"/>
      <c r="D162" s="20"/>
      <c r="E162" s="20"/>
      <c r="F162" s="20"/>
      <c r="G162" s="25"/>
      <c r="I162" s="20"/>
      <c r="L162" s="20"/>
      <c r="M162" s="20"/>
      <c r="N162" s="20"/>
    </row>
    <row r="163" spans="1:14" s="18" customFormat="1" x14ac:dyDescent="0.3">
      <c r="A163" s="20"/>
      <c r="B163" s="20"/>
      <c r="C163" s="20"/>
      <c r="D163" s="20"/>
      <c r="E163" s="20"/>
      <c r="F163" s="20"/>
      <c r="G163" s="25"/>
      <c r="I163" s="20"/>
      <c r="L163" s="20"/>
      <c r="M163" s="20"/>
      <c r="N163" s="20"/>
    </row>
    <row r="164" spans="1:14" s="18" customFormat="1" x14ac:dyDescent="0.3">
      <c r="A164" s="20"/>
      <c r="B164" s="20"/>
      <c r="C164" s="20"/>
      <c r="D164" s="20"/>
      <c r="E164" s="20"/>
      <c r="F164" s="20"/>
      <c r="G164" s="25"/>
      <c r="I164" s="20"/>
      <c r="L164" s="20"/>
      <c r="M164" s="20"/>
      <c r="N164" s="20"/>
    </row>
    <row r="165" spans="1:14" s="18" customFormat="1" x14ac:dyDescent="0.3">
      <c r="A165" s="20"/>
      <c r="B165" s="20"/>
      <c r="C165" s="20"/>
      <c r="D165" s="20"/>
      <c r="E165" s="20"/>
      <c r="F165" s="20"/>
      <c r="G165" s="25"/>
      <c r="I165" s="20"/>
      <c r="L165" s="20"/>
      <c r="M165" s="20"/>
      <c r="N165" s="20"/>
    </row>
    <row r="166" spans="1:14" s="18" customFormat="1" x14ac:dyDescent="0.3">
      <c r="A166" s="20"/>
      <c r="B166" s="20"/>
      <c r="C166" s="20"/>
      <c r="D166" s="20"/>
      <c r="E166" s="20"/>
      <c r="F166" s="20"/>
      <c r="G166" s="25"/>
      <c r="I166" s="20"/>
      <c r="L166" s="20"/>
      <c r="M166" s="20"/>
      <c r="N166" s="20"/>
    </row>
    <row r="167" spans="1:14" s="18" customFormat="1" x14ac:dyDescent="0.3">
      <c r="A167" s="20"/>
      <c r="B167" s="20"/>
      <c r="C167" s="20"/>
      <c r="D167" s="20"/>
      <c r="E167" s="20"/>
      <c r="F167" s="20"/>
      <c r="G167" s="25"/>
      <c r="I167" s="20"/>
      <c r="L167" s="20"/>
      <c r="M167" s="20"/>
      <c r="N167" s="20"/>
    </row>
    <row r="168" spans="1:14" s="18" customFormat="1" x14ac:dyDescent="0.3">
      <c r="A168" s="20"/>
      <c r="B168" s="20"/>
      <c r="C168" s="20"/>
      <c r="D168" s="20"/>
      <c r="E168" s="20"/>
      <c r="F168" s="20"/>
      <c r="G168" s="25"/>
      <c r="I168" s="20"/>
      <c r="L168" s="20"/>
      <c r="M168" s="20"/>
      <c r="N168" s="20"/>
    </row>
    <row r="169" spans="1:14" s="18" customFormat="1" x14ac:dyDescent="0.3">
      <c r="A169" s="20"/>
      <c r="B169" s="20"/>
      <c r="C169" s="20"/>
      <c r="D169" s="20"/>
      <c r="E169" s="20"/>
      <c r="F169" s="20"/>
      <c r="G169" s="25"/>
      <c r="I169" s="20"/>
      <c r="L169" s="20"/>
      <c r="M169" s="20"/>
      <c r="N169" s="20"/>
    </row>
    <row r="170" spans="1:14" s="18" customFormat="1" x14ac:dyDescent="0.3">
      <c r="A170" s="20"/>
      <c r="B170" s="20"/>
      <c r="C170" s="20"/>
      <c r="D170" s="20"/>
      <c r="E170" s="20"/>
      <c r="F170" s="20"/>
      <c r="G170" s="25"/>
      <c r="I170" s="20"/>
      <c r="L170" s="20"/>
      <c r="M170" s="20"/>
      <c r="N170" s="20"/>
    </row>
    <row r="171" spans="1:14" s="18" customFormat="1" x14ac:dyDescent="0.3">
      <c r="A171" s="20"/>
      <c r="B171" s="20"/>
      <c r="C171" s="20"/>
      <c r="D171" s="20"/>
      <c r="E171" s="20"/>
      <c r="F171" s="20"/>
      <c r="G171" s="25"/>
      <c r="I171" s="20"/>
      <c r="L171" s="20"/>
      <c r="M171" s="20"/>
      <c r="N171" s="20"/>
    </row>
    <row r="172" spans="1:14" s="18" customFormat="1" x14ac:dyDescent="0.3">
      <c r="A172" s="20"/>
      <c r="B172" s="20"/>
      <c r="C172" s="20"/>
      <c r="D172" s="20"/>
      <c r="E172" s="20"/>
      <c r="F172" s="20"/>
      <c r="G172" s="25"/>
      <c r="I172" s="20"/>
      <c r="L172" s="20"/>
      <c r="M172" s="20"/>
      <c r="N172" s="20"/>
    </row>
    <row r="173" spans="1:14" s="18" customFormat="1" x14ac:dyDescent="0.3">
      <c r="A173" s="20"/>
      <c r="B173" s="20"/>
      <c r="C173" s="20"/>
      <c r="D173" s="20"/>
      <c r="E173" s="20"/>
      <c r="F173" s="20"/>
      <c r="G173" s="25"/>
      <c r="I173" s="20"/>
      <c r="L173" s="20"/>
      <c r="M173" s="20"/>
      <c r="N173" s="20"/>
    </row>
    <row r="174" spans="1:14" s="18" customFormat="1" x14ac:dyDescent="0.3">
      <c r="A174" s="20"/>
      <c r="B174" s="20"/>
      <c r="C174" s="20"/>
      <c r="D174" s="20"/>
      <c r="E174" s="20"/>
      <c r="F174" s="20"/>
      <c r="G174" s="25"/>
      <c r="I174" s="20"/>
      <c r="L174" s="20"/>
      <c r="M174" s="20"/>
      <c r="N174" s="20"/>
    </row>
    <row r="175" spans="1:14" s="18" customFormat="1" x14ac:dyDescent="0.3">
      <c r="A175" s="20"/>
      <c r="B175" s="20"/>
      <c r="C175" s="20"/>
      <c r="D175" s="20"/>
      <c r="E175" s="20"/>
      <c r="F175" s="20"/>
      <c r="G175" s="25"/>
      <c r="I175" s="20"/>
      <c r="L175" s="20"/>
      <c r="M175" s="20"/>
      <c r="N175" s="20"/>
    </row>
    <row r="176" spans="1:14" s="18" customFormat="1" x14ac:dyDescent="0.3">
      <c r="A176" s="20"/>
      <c r="B176" s="20"/>
      <c r="C176" s="20"/>
      <c r="D176" s="20"/>
      <c r="E176" s="20"/>
      <c r="F176" s="20"/>
      <c r="G176" s="25"/>
      <c r="I176" s="20"/>
      <c r="L176" s="20"/>
      <c r="M176" s="20"/>
      <c r="N176" s="20"/>
    </row>
    <row r="177" spans="1:14" s="18" customFormat="1" x14ac:dyDescent="0.3">
      <c r="A177" s="20"/>
      <c r="B177" s="20"/>
      <c r="C177" s="20"/>
      <c r="D177" s="20"/>
      <c r="E177" s="20"/>
      <c r="F177" s="20"/>
      <c r="G177" s="25"/>
      <c r="I177" s="20"/>
      <c r="L177" s="20"/>
      <c r="M177" s="20"/>
      <c r="N177" s="20"/>
    </row>
    <row r="178" spans="1:14" s="18" customFormat="1" x14ac:dyDescent="0.3">
      <c r="A178" s="20"/>
      <c r="B178" s="20"/>
      <c r="C178" s="20"/>
      <c r="D178" s="20"/>
      <c r="E178" s="20"/>
      <c r="F178" s="20"/>
      <c r="G178" s="25"/>
      <c r="I178" s="20"/>
      <c r="L178" s="20"/>
      <c r="M178" s="20"/>
      <c r="N178" s="20"/>
    </row>
    <row r="179" spans="1:14" s="18" customFormat="1" x14ac:dyDescent="0.3">
      <c r="A179" s="20"/>
      <c r="B179" s="20"/>
      <c r="C179" s="20"/>
      <c r="D179" s="20"/>
      <c r="E179" s="20"/>
      <c r="F179" s="20"/>
      <c r="G179" s="25"/>
      <c r="I179" s="20"/>
      <c r="L179" s="20"/>
      <c r="M179" s="20"/>
      <c r="N179" s="20"/>
    </row>
    <row r="180" spans="1:14" s="18" customFormat="1" x14ac:dyDescent="0.3">
      <c r="A180" s="20"/>
      <c r="B180" s="20"/>
      <c r="C180" s="20"/>
      <c r="D180" s="20"/>
      <c r="E180" s="20"/>
      <c r="F180" s="20"/>
      <c r="G180" s="25"/>
      <c r="I180" s="20"/>
      <c r="L180" s="20"/>
      <c r="M180" s="20"/>
      <c r="N180" s="20"/>
    </row>
    <row r="181" spans="1:14" s="18" customFormat="1" x14ac:dyDescent="0.3">
      <c r="A181" s="20"/>
      <c r="B181" s="20"/>
      <c r="C181" s="20"/>
      <c r="D181" s="20"/>
      <c r="E181" s="20"/>
      <c r="F181" s="20"/>
      <c r="G181" s="25"/>
      <c r="I181" s="20"/>
      <c r="L181" s="20"/>
      <c r="M181" s="20"/>
      <c r="N181" s="20"/>
    </row>
    <row r="182" spans="1:14" s="18" customFormat="1" x14ac:dyDescent="0.3">
      <c r="A182" s="20"/>
      <c r="B182" s="20"/>
      <c r="C182" s="20"/>
      <c r="D182" s="20"/>
      <c r="E182" s="20"/>
      <c r="F182" s="20"/>
      <c r="G182" s="25"/>
      <c r="I182" s="20"/>
      <c r="L182" s="20"/>
      <c r="M182" s="20"/>
      <c r="N182" s="20"/>
    </row>
    <row r="183" spans="1:14" s="18" customFormat="1" x14ac:dyDescent="0.3">
      <c r="A183" s="20"/>
      <c r="B183" s="20"/>
      <c r="C183" s="20"/>
      <c r="D183" s="20"/>
      <c r="E183" s="20"/>
      <c r="F183" s="20"/>
      <c r="G183" s="25"/>
      <c r="I183" s="20"/>
      <c r="L183" s="20"/>
      <c r="M183" s="20"/>
      <c r="N183" s="20"/>
    </row>
    <row r="184" spans="1:14" s="18" customFormat="1" x14ac:dyDescent="0.3">
      <c r="A184" s="20"/>
      <c r="B184" s="20"/>
      <c r="C184" s="20"/>
      <c r="D184" s="20"/>
      <c r="E184" s="20"/>
      <c r="F184" s="20"/>
      <c r="G184" s="25"/>
      <c r="I184" s="20"/>
      <c r="L184" s="20"/>
      <c r="M184" s="20"/>
      <c r="N184" s="20"/>
    </row>
    <row r="185" spans="1:14" s="18" customFormat="1" x14ac:dyDescent="0.3">
      <c r="A185" s="20"/>
      <c r="B185" s="20"/>
      <c r="C185" s="20"/>
      <c r="D185" s="20"/>
      <c r="E185" s="20"/>
      <c r="F185" s="20"/>
      <c r="G185" s="25"/>
      <c r="I185" s="20"/>
      <c r="L185" s="20"/>
      <c r="M185" s="20"/>
      <c r="N185" s="20"/>
    </row>
    <row r="186" spans="1:14" s="18" customFormat="1" x14ac:dyDescent="0.3">
      <c r="A186" s="20"/>
      <c r="B186" s="20"/>
      <c r="C186" s="20"/>
      <c r="D186" s="20"/>
      <c r="E186" s="20"/>
      <c r="F186" s="20"/>
      <c r="G186" s="25"/>
      <c r="I186" s="20"/>
      <c r="L186" s="20"/>
      <c r="M186" s="20"/>
      <c r="N186" s="20"/>
    </row>
    <row r="187" spans="1:14" s="18" customFormat="1" x14ac:dyDescent="0.3">
      <c r="A187" s="20"/>
      <c r="B187" s="20"/>
      <c r="C187" s="20"/>
      <c r="D187" s="20"/>
      <c r="E187" s="20"/>
      <c r="F187" s="20"/>
      <c r="G187" s="25"/>
      <c r="I187" s="20"/>
      <c r="L187" s="20"/>
      <c r="M187" s="20"/>
      <c r="N187" s="20"/>
    </row>
    <row r="188" spans="1:14" s="18" customFormat="1" x14ac:dyDescent="0.3">
      <c r="A188" s="20"/>
      <c r="B188" s="20"/>
      <c r="C188" s="20"/>
      <c r="D188" s="20"/>
      <c r="E188" s="20"/>
      <c r="F188" s="20"/>
      <c r="G188" s="25"/>
      <c r="I188" s="20"/>
      <c r="L188" s="20"/>
      <c r="M188" s="20"/>
      <c r="N188" s="20"/>
    </row>
    <row r="189" spans="1:14" s="18" customFormat="1" x14ac:dyDescent="0.3">
      <c r="A189" s="20"/>
      <c r="B189" s="20"/>
      <c r="C189" s="20"/>
      <c r="D189" s="20"/>
      <c r="E189" s="20"/>
      <c r="F189" s="20"/>
      <c r="G189" s="25"/>
      <c r="I189" s="20"/>
      <c r="L189" s="20"/>
      <c r="M189" s="20"/>
      <c r="N189" s="20"/>
    </row>
    <row r="190" spans="1:14" x14ac:dyDescent="0.3">
      <c r="L190" s="20"/>
      <c r="M190" s="20"/>
      <c r="N190" s="20"/>
    </row>
    <row r="191" spans="1:14" x14ac:dyDescent="0.3">
      <c r="L191" s="20"/>
      <c r="M191" s="20"/>
      <c r="N191" s="20"/>
    </row>
    <row r="192" spans="1:14" x14ac:dyDescent="0.3">
      <c r="L192" s="20"/>
      <c r="M192" s="20"/>
      <c r="N192" s="20"/>
    </row>
    <row r="193" spans="12:14" x14ac:dyDescent="0.3">
      <c r="L193" s="20"/>
      <c r="M193" s="20"/>
      <c r="N193" s="20"/>
    </row>
    <row r="194" spans="12:14" x14ac:dyDescent="0.3">
      <c r="L194" s="20"/>
      <c r="M194" s="20"/>
      <c r="N194" s="20"/>
    </row>
    <row r="195" spans="12:14" x14ac:dyDescent="0.3">
      <c r="L195" s="20"/>
      <c r="M195" s="20"/>
      <c r="N195" s="20"/>
    </row>
    <row r="196" spans="12:14" x14ac:dyDescent="0.3">
      <c r="L196" s="20"/>
      <c r="M196" s="20"/>
      <c r="N196" s="20"/>
    </row>
    <row r="197" spans="12:14" x14ac:dyDescent="0.3">
      <c r="L197" s="20"/>
      <c r="M197" s="20"/>
      <c r="N197" s="20"/>
    </row>
    <row r="198" spans="12:14" x14ac:dyDescent="0.3">
      <c r="L198" s="20"/>
      <c r="M198" s="20"/>
      <c r="N198" s="20"/>
    </row>
    <row r="199" spans="12:14" x14ac:dyDescent="0.3">
      <c r="L199" s="20"/>
      <c r="M199" s="20"/>
      <c r="N199" s="20"/>
    </row>
    <row r="200" spans="12:14" x14ac:dyDescent="0.3">
      <c r="L200" s="20"/>
      <c r="M200" s="20"/>
      <c r="N200" s="20"/>
    </row>
    <row r="201" spans="12:14" x14ac:dyDescent="0.3">
      <c r="L201" s="20"/>
      <c r="M201" s="20"/>
      <c r="N201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2017 CHaMP Snorkel UTMLatLong</vt:lpstr>
      <vt:lpstr>133s</vt:lpstr>
      <vt:lpstr>213</vt:lpstr>
      <vt:lpstr>218</vt:lpstr>
      <vt:lpstr>231</vt:lpstr>
      <vt:lpstr>320</vt:lpstr>
      <vt:lpstr>323</vt:lpstr>
      <vt:lpstr>436</vt:lpstr>
      <vt:lpstr>595</vt:lpstr>
      <vt:lpstr>713s</vt:lpstr>
      <vt:lpstr>725</vt:lpstr>
      <vt:lpstr>727</vt:lpstr>
      <vt:lpstr>777</vt:lpstr>
      <vt:lpstr>835</vt:lpstr>
      <vt:lpstr>841</vt:lpstr>
      <vt:lpstr>851</vt:lpstr>
      <vt:lpstr>1013</vt:lpstr>
      <vt:lpstr>1129s</vt:lpstr>
      <vt:lpstr>1196</vt:lpstr>
      <vt:lpstr>1288</vt:lpstr>
      <vt:lpstr>1411</vt:lpstr>
      <vt:lpstr>1503</vt:lpstr>
      <vt:lpstr>1582</vt:lpstr>
      <vt:lpstr>1709</vt:lpstr>
      <vt:lpstr>1971</vt:lpstr>
      <vt:lpstr>2159s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YFRP</dc:creator>
  <cp:lastModifiedBy>BPAYFR</cp:lastModifiedBy>
  <dcterms:created xsi:type="dcterms:W3CDTF">2016-03-03T18:20:57Z</dcterms:created>
  <dcterms:modified xsi:type="dcterms:W3CDTF">2020-04-29T22:24:10Z</dcterms:modified>
</cp:coreProperties>
</file>