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BPAYFR\Documents\2006-2019 YFRP\2013-2019 Snorkel\2019 YFRP Snorkel\"/>
    </mc:Choice>
  </mc:AlternateContent>
  <xr:revisionPtr revIDLastSave="0" documentId="13_ncr:1_{85F6C9C6-F4DE-4642-89F8-3E5FC44372EA}" xr6:coauthVersionLast="36" xr6:coauthVersionMax="36" xr10:uidLastSave="{00000000-0000-0000-0000-000000000000}"/>
  <bookViews>
    <workbookView xWindow="0" yWindow="0" windowWidth="28800" windowHeight="12300" tabRatio="778" xr2:uid="{00000000-000D-0000-FFFF-FFFF00000000}"/>
  </bookViews>
  <sheets>
    <sheet name="2019 CHaMP Snorkel UTMLatLong" sheetId="22" r:id="rId1"/>
    <sheet name="133s" sheetId="9" r:id="rId2"/>
    <sheet name="213" sheetId="6" r:id="rId3"/>
    <sheet name="323" sheetId="18" r:id="rId4"/>
    <sheet name="559" sheetId="15" r:id="rId5"/>
    <sheet name="713s" sheetId="3" r:id="rId6"/>
    <sheet name="777" sheetId="8" r:id="rId7"/>
    <sheet name="835" sheetId="2" r:id="rId8"/>
    <sheet name="901s" sheetId="13" r:id="rId9"/>
    <sheet name="1013" sheetId="16" r:id="rId10"/>
    <sheet name="1129s" sheetId="19" r:id="rId11"/>
    <sheet name="1503" sheetId="5" r:id="rId12"/>
    <sheet name="1709" sheetId="14" r:id="rId13"/>
    <sheet name="1971" sheetId="10" r:id="rId14"/>
    <sheet name="2159s" sheetId="21" r:id="rId15"/>
    <sheet name="2166" sheetId="17" r:id="rId16"/>
    <sheet name="TEMPLATE" sheetId="1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7" l="1"/>
  <c r="L44" i="17"/>
  <c r="N43" i="17"/>
  <c r="L43" i="17"/>
  <c r="N42" i="17"/>
  <c r="L42" i="17"/>
  <c r="N41" i="17"/>
  <c r="L41" i="17"/>
  <c r="N40" i="17"/>
  <c r="L40" i="17"/>
  <c r="N39" i="17"/>
  <c r="L39" i="17"/>
  <c r="N38" i="17"/>
  <c r="L38" i="17"/>
  <c r="N37" i="17"/>
  <c r="L37" i="17"/>
  <c r="N36" i="17"/>
  <c r="L36" i="17"/>
  <c r="N35" i="17"/>
  <c r="L35" i="17"/>
  <c r="N34" i="17"/>
  <c r="L34" i="17"/>
  <c r="N33" i="17"/>
  <c r="L33" i="17"/>
  <c r="N32" i="17"/>
  <c r="L32" i="17"/>
  <c r="N31" i="17"/>
  <c r="L31" i="17"/>
  <c r="N30" i="17"/>
  <c r="L30" i="17"/>
  <c r="N29" i="17"/>
  <c r="L29" i="17"/>
  <c r="N28" i="17"/>
  <c r="L28" i="17"/>
  <c r="N27" i="17"/>
  <c r="L27" i="17"/>
  <c r="N26" i="17"/>
  <c r="L26" i="17"/>
  <c r="N25" i="17"/>
  <c r="L25" i="17"/>
  <c r="N24" i="17"/>
  <c r="L24" i="17"/>
  <c r="N23" i="17"/>
  <c r="L23" i="17"/>
  <c r="N22" i="17"/>
  <c r="L22" i="17"/>
  <c r="N21" i="17"/>
  <c r="L21" i="17"/>
  <c r="N20" i="17"/>
  <c r="L20" i="17"/>
  <c r="N19" i="17"/>
  <c r="L19" i="17"/>
  <c r="N18" i="17"/>
  <c r="L18" i="17"/>
  <c r="N17" i="17"/>
  <c r="L17" i="17"/>
  <c r="N16" i="17"/>
  <c r="L16" i="17"/>
  <c r="N15" i="17"/>
  <c r="L15" i="17"/>
  <c r="N14" i="17"/>
  <c r="L14" i="17"/>
  <c r="N13" i="17"/>
  <c r="L13" i="17"/>
  <c r="N12" i="17"/>
  <c r="L12" i="17"/>
  <c r="N11" i="17"/>
  <c r="L11" i="17"/>
  <c r="N10" i="17"/>
  <c r="L10" i="17"/>
  <c r="N9" i="17"/>
  <c r="L9" i="17"/>
  <c r="N8" i="17"/>
  <c r="L8" i="17"/>
  <c r="N7" i="17"/>
  <c r="L7" i="17"/>
  <c r="N6" i="17"/>
  <c r="L6" i="17"/>
  <c r="N5" i="17"/>
  <c r="L5" i="17"/>
  <c r="N4" i="17"/>
  <c r="L4" i="17"/>
  <c r="N3" i="17"/>
  <c r="L3" i="17"/>
  <c r="N44" i="21"/>
  <c r="L44" i="21"/>
  <c r="N43" i="21"/>
  <c r="L43" i="21"/>
  <c r="N42" i="21"/>
  <c r="L42" i="21"/>
  <c r="N41" i="21"/>
  <c r="L41" i="21"/>
  <c r="N40" i="21"/>
  <c r="L40" i="21"/>
  <c r="N39" i="21"/>
  <c r="L39" i="21"/>
  <c r="N38" i="21"/>
  <c r="L38" i="21"/>
  <c r="N37" i="21"/>
  <c r="L37" i="21"/>
  <c r="N36" i="21"/>
  <c r="L36" i="21"/>
  <c r="N35" i="21"/>
  <c r="L35" i="21"/>
  <c r="N34" i="21"/>
  <c r="L34" i="21"/>
  <c r="N33" i="21"/>
  <c r="L33" i="21"/>
  <c r="N32" i="21"/>
  <c r="L32" i="21"/>
  <c r="N31" i="21"/>
  <c r="L31" i="21"/>
  <c r="N30" i="21"/>
  <c r="L30" i="21"/>
  <c r="N29" i="21"/>
  <c r="L29" i="21"/>
  <c r="N28" i="21"/>
  <c r="L28" i="21"/>
  <c r="N27" i="21"/>
  <c r="L27" i="21"/>
  <c r="N26" i="21"/>
  <c r="L26" i="21"/>
  <c r="N25" i="21"/>
  <c r="L25" i="21"/>
  <c r="N24" i="21"/>
  <c r="L24" i="21"/>
  <c r="N23" i="21"/>
  <c r="L23" i="21"/>
  <c r="N22" i="21"/>
  <c r="L22" i="21"/>
  <c r="N21" i="21"/>
  <c r="L21" i="21"/>
  <c r="N20" i="21"/>
  <c r="L20" i="21"/>
  <c r="N19" i="21"/>
  <c r="L19" i="21"/>
  <c r="N18" i="21"/>
  <c r="L18" i="21"/>
  <c r="N17" i="21"/>
  <c r="L17" i="21"/>
  <c r="N16" i="21"/>
  <c r="L16" i="21"/>
  <c r="N15" i="21"/>
  <c r="L15" i="21"/>
  <c r="N14" i="21"/>
  <c r="L14" i="21"/>
  <c r="N13" i="21"/>
  <c r="L13" i="21"/>
  <c r="N12" i="21"/>
  <c r="L12" i="21"/>
  <c r="N11" i="21"/>
  <c r="L11" i="21"/>
  <c r="N10" i="21"/>
  <c r="L10" i="21"/>
  <c r="N9" i="21"/>
  <c r="L9" i="21"/>
  <c r="N8" i="21"/>
  <c r="L8" i="21"/>
  <c r="N7" i="21"/>
  <c r="L7" i="21"/>
  <c r="N6" i="21"/>
  <c r="L6" i="21"/>
  <c r="N5" i="21"/>
  <c r="L5" i="21"/>
  <c r="N4" i="21"/>
  <c r="L4" i="21"/>
  <c r="N3" i="21"/>
  <c r="L3" i="21"/>
  <c r="L45" i="21" s="1"/>
  <c r="N44" i="10"/>
  <c r="L44" i="10"/>
  <c r="N43" i="10"/>
  <c r="L43" i="10"/>
  <c r="N42" i="10"/>
  <c r="L42" i="10"/>
  <c r="N41" i="10"/>
  <c r="L41" i="10"/>
  <c r="N40" i="10"/>
  <c r="L40" i="10"/>
  <c r="N39" i="10"/>
  <c r="L39" i="10"/>
  <c r="N38" i="10"/>
  <c r="L38" i="10"/>
  <c r="N37" i="10"/>
  <c r="L37" i="10"/>
  <c r="N36" i="10"/>
  <c r="L36" i="10"/>
  <c r="N35" i="10"/>
  <c r="L35" i="10"/>
  <c r="N34" i="10"/>
  <c r="L34" i="10"/>
  <c r="N33" i="10"/>
  <c r="L33" i="10"/>
  <c r="N32" i="10"/>
  <c r="L32" i="10"/>
  <c r="N31" i="10"/>
  <c r="L31" i="10"/>
  <c r="N30" i="10"/>
  <c r="L30" i="10"/>
  <c r="N29" i="10"/>
  <c r="L29" i="10"/>
  <c r="N28" i="10"/>
  <c r="L28" i="10"/>
  <c r="N27" i="10"/>
  <c r="L27" i="10"/>
  <c r="N26" i="10"/>
  <c r="L26" i="10"/>
  <c r="N25" i="10"/>
  <c r="L25" i="10"/>
  <c r="N24" i="10"/>
  <c r="L24" i="10"/>
  <c r="N23" i="10"/>
  <c r="L23" i="10"/>
  <c r="N22" i="10"/>
  <c r="L22" i="10"/>
  <c r="N21" i="10"/>
  <c r="L21" i="10"/>
  <c r="N20" i="10"/>
  <c r="L20" i="10"/>
  <c r="N19" i="10"/>
  <c r="L19" i="10"/>
  <c r="N18" i="10"/>
  <c r="L18" i="10"/>
  <c r="N17" i="10"/>
  <c r="L17" i="10"/>
  <c r="N16" i="10"/>
  <c r="L16" i="10"/>
  <c r="N15" i="10"/>
  <c r="L15" i="10"/>
  <c r="N14" i="10"/>
  <c r="L14" i="10"/>
  <c r="N13" i="10"/>
  <c r="L13" i="10"/>
  <c r="N12" i="10"/>
  <c r="L12" i="10"/>
  <c r="N11" i="10"/>
  <c r="L11" i="10"/>
  <c r="N10" i="10"/>
  <c r="L10" i="10"/>
  <c r="N9" i="10"/>
  <c r="L9" i="10"/>
  <c r="N8" i="10"/>
  <c r="L8" i="10"/>
  <c r="N7" i="10"/>
  <c r="L7" i="10"/>
  <c r="N6" i="10"/>
  <c r="L6" i="10"/>
  <c r="N5" i="10"/>
  <c r="L5" i="10"/>
  <c r="N4" i="10"/>
  <c r="L4" i="10"/>
  <c r="N3" i="10"/>
  <c r="L3" i="10"/>
  <c r="N44" i="14"/>
  <c r="L44" i="14"/>
  <c r="N43" i="14"/>
  <c r="L43" i="14"/>
  <c r="N42" i="14"/>
  <c r="L42" i="14"/>
  <c r="N41" i="14"/>
  <c r="L41" i="14"/>
  <c r="N40" i="14"/>
  <c r="L40" i="14"/>
  <c r="N39" i="14"/>
  <c r="L39" i="14"/>
  <c r="N38" i="14"/>
  <c r="L38" i="14"/>
  <c r="N37" i="14"/>
  <c r="L37" i="14"/>
  <c r="N36" i="14"/>
  <c r="L36" i="14"/>
  <c r="N35" i="14"/>
  <c r="L35" i="14"/>
  <c r="N34" i="14"/>
  <c r="L34" i="14"/>
  <c r="N33" i="14"/>
  <c r="L33" i="14"/>
  <c r="N32" i="14"/>
  <c r="L32" i="14"/>
  <c r="N31" i="14"/>
  <c r="L31" i="14"/>
  <c r="N30" i="14"/>
  <c r="L30" i="14"/>
  <c r="N29" i="14"/>
  <c r="L29" i="14"/>
  <c r="N28" i="14"/>
  <c r="L28" i="14"/>
  <c r="N27" i="14"/>
  <c r="L27" i="14"/>
  <c r="N26" i="14"/>
  <c r="L26" i="14"/>
  <c r="N25" i="14"/>
  <c r="L25" i="14"/>
  <c r="N24" i="14"/>
  <c r="L24" i="14"/>
  <c r="N23" i="14"/>
  <c r="L23" i="14"/>
  <c r="N22" i="14"/>
  <c r="L22" i="14"/>
  <c r="N21" i="14"/>
  <c r="L21" i="14"/>
  <c r="N20" i="14"/>
  <c r="L20" i="14"/>
  <c r="N19" i="14"/>
  <c r="L19" i="14"/>
  <c r="N18" i="14"/>
  <c r="L18" i="14"/>
  <c r="N17" i="14"/>
  <c r="L17" i="14"/>
  <c r="N16" i="14"/>
  <c r="L16" i="14"/>
  <c r="N15" i="14"/>
  <c r="L15" i="14"/>
  <c r="N14" i="14"/>
  <c r="L14" i="14"/>
  <c r="N13" i="14"/>
  <c r="L13" i="14"/>
  <c r="N12" i="14"/>
  <c r="L12" i="14"/>
  <c r="N11" i="14"/>
  <c r="L11" i="14"/>
  <c r="N10" i="14"/>
  <c r="L10" i="14"/>
  <c r="N9" i="14"/>
  <c r="L9" i="14"/>
  <c r="N8" i="14"/>
  <c r="L8" i="14"/>
  <c r="N7" i="14"/>
  <c r="L7" i="14"/>
  <c r="N6" i="14"/>
  <c r="L6" i="14"/>
  <c r="N5" i="14"/>
  <c r="L5" i="14"/>
  <c r="N4" i="14"/>
  <c r="L4" i="14"/>
  <c r="N3" i="14"/>
  <c r="L3" i="14"/>
  <c r="L45" i="14" s="1"/>
  <c r="N44" i="5"/>
  <c r="L44" i="5"/>
  <c r="N43" i="5"/>
  <c r="L43" i="5"/>
  <c r="N42" i="5"/>
  <c r="L42" i="5"/>
  <c r="N41" i="5"/>
  <c r="L41" i="5"/>
  <c r="N40" i="5"/>
  <c r="L40" i="5"/>
  <c r="N39" i="5"/>
  <c r="L39" i="5"/>
  <c r="N38" i="5"/>
  <c r="L38" i="5"/>
  <c r="N37" i="5"/>
  <c r="L37" i="5"/>
  <c r="N36" i="5"/>
  <c r="L36" i="5"/>
  <c r="N35" i="5"/>
  <c r="L35" i="5"/>
  <c r="N34" i="5"/>
  <c r="L34" i="5"/>
  <c r="N33" i="5"/>
  <c r="L33" i="5"/>
  <c r="N32" i="5"/>
  <c r="L32" i="5"/>
  <c r="N31" i="5"/>
  <c r="L31" i="5"/>
  <c r="N30" i="5"/>
  <c r="L30" i="5"/>
  <c r="N29" i="5"/>
  <c r="L29" i="5"/>
  <c r="N28" i="5"/>
  <c r="L28" i="5"/>
  <c r="N27" i="5"/>
  <c r="L27" i="5"/>
  <c r="N26" i="5"/>
  <c r="L26" i="5"/>
  <c r="N25" i="5"/>
  <c r="L25" i="5"/>
  <c r="N24" i="5"/>
  <c r="L24" i="5"/>
  <c r="N23" i="5"/>
  <c r="L23" i="5"/>
  <c r="N22" i="5"/>
  <c r="L22" i="5"/>
  <c r="N21" i="5"/>
  <c r="L21" i="5"/>
  <c r="N20" i="5"/>
  <c r="L20" i="5"/>
  <c r="N19" i="5"/>
  <c r="L19" i="5"/>
  <c r="N18" i="5"/>
  <c r="L18" i="5"/>
  <c r="N17" i="5"/>
  <c r="L17" i="5"/>
  <c r="N16" i="5"/>
  <c r="L16" i="5"/>
  <c r="N15" i="5"/>
  <c r="L15" i="5"/>
  <c r="N14" i="5"/>
  <c r="L14" i="5"/>
  <c r="N13" i="5"/>
  <c r="L13" i="5"/>
  <c r="N12" i="5"/>
  <c r="L12" i="5"/>
  <c r="N11" i="5"/>
  <c r="L11" i="5"/>
  <c r="N10" i="5"/>
  <c r="L10" i="5"/>
  <c r="N9" i="5"/>
  <c r="L9" i="5"/>
  <c r="N8" i="5"/>
  <c r="L8" i="5"/>
  <c r="N7" i="5"/>
  <c r="L7" i="5"/>
  <c r="N6" i="5"/>
  <c r="L6" i="5"/>
  <c r="N5" i="5"/>
  <c r="L5" i="5"/>
  <c r="N4" i="5"/>
  <c r="L4" i="5"/>
  <c r="N3" i="5"/>
  <c r="L3" i="5"/>
  <c r="N44" i="19"/>
  <c r="L44" i="19"/>
  <c r="N43" i="19"/>
  <c r="L43" i="19"/>
  <c r="N42" i="19"/>
  <c r="L42" i="19"/>
  <c r="N41" i="19"/>
  <c r="L41" i="19"/>
  <c r="N40" i="19"/>
  <c r="L40" i="19"/>
  <c r="N39" i="19"/>
  <c r="L39" i="19"/>
  <c r="N38" i="19"/>
  <c r="L38" i="19"/>
  <c r="N37" i="19"/>
  <c r="L37" i="19"/>
  <c r="N36" i="19"/>
  <c r="L36" i="19"/>
  <c r="N35" i="19"/>
  <c r="L35" i="19"/>
  <c r="N34" i="19"/>
  <c r="L34" i="19"/>
  <c r="N33" i="19"/>
  <c r="L33" i="19"/>
  <c r="N32" i="19"/>
  <c r="L32" i="19"/>
  <c r="N31" i="19"/>
  <c r="L31" i="19"/>
  <c r="N30" i="19"/>
  <c r="L30" i="19"/>
  <c r="N29" i="19"/>
  <c r="L29" i="19"/>
  <c r="N28" i="19"/>
  <c r="L28" i="19"/>
  <c r="N27" i="19"/>
  <c r="L27" i="19"/>
  <c r="N26" i="19"/>
  <c r="L26" i="19"/>
  <c r="N25" i="19"/>
  <c r="L25" i="19"/>
  <c r="N24" i="19"/>
  <c r="L24" i="19"/>
  <c r="N23" i="19"/>
  <c r="L23" i="19"/>
  <c r="N22" i="19"/>
  <c r="L22" i="19"/>
  <c r="N21" i="19"/>
  <c r="L21" i="19"/>
  <c r="N20" i="19"/>
  <c r="L20" i="19"/>
  <c r="N19" i="19"/>
  <c r="L19" i="19"/>
  <c r="N18" i="19"/>
  <c r="L18" i="19"/>
  <c r="N17" i="19"/>
  <c r="L17" i="19"/>
  <c r="N16" i="19"/>
  <c r="L16" i="19"/>
  <c r="N15" i="19"/>
  <c r="L15" i="19"/>
  <c r="N14" i="19"/>
  <c r="L14" i="19"/>
  <c r="N13" i="19"/>
  <c r="L13" i="19"/>
  <c r="N12" i="19"/>
  <c r="L12" i="19"/>
  <c r="N11" i="19"/>
  <c r="L11" i="19"/>
  <c r="N10" i="19"/>
  <c r="L10" i="19"/>
  <c r="N9" i="19"/>
  <c r="L9" i="19"/>
  <c r="N8" i="19"/>
  <c r="L8" i="19"/>
  <c r="N7" i="19"/>
  <c r="L7" i="19"/>
  <c r="N6" i="19"/>
  <c r="L6" i="19"/>
  <c r="N5" i="19"/>
  <c r="L5" i="19"/>
  <c r="N4" i="19"/>
  <c r="L4" i="19"/>
  <c r="N3" i="19"/>
  <c r="L3" i="19"/>
  <c r="L45" i="19" s="1"/>
  <c r="N44" i="16"/>
  <c r="L44" i="16"/>
  <c r="N43" i="16"/>
  <c r="L43" i="16"/>
  <c r="N42" i="16"/>
  <c r="L42" i="16"/>
  <c r="N41" i="16"/>
  <c r="L41" i="16"/>
  <c r="N40" i="16"/>
  <c r="L40" i="16"/>
  <c r="N39" i="16"/>
  <c r="L39" i="16"/>
  <c r="N38" i="16"/>
  <c r="L38" i="16"/>
  <c r="N37" i="16"/>
  <c r="L37" i="16"/>
  <c r="N36" i="16"/>
  <c r="L36" i="16"/>
  <c r="N35" i="16"/>
  <c r="L35" i="16"/>
  <c r="N34" i="16"/>
  <c r="L34" i="16"/>
  <c r="N33" i="16"/>
  <c r="L33" i="16"/>
  <c r="N32" i="16"/>
  <c r="L32" i="16"/>
  <c r="N31" i="16"/>
  <c r="L31" i="16"/>
  <c r="N30" i="16"/>
  <c r="L30" i="16"/>
  <c r="N29" i="16"/>
  <c r="L29" i="16"/>
  <c r="N28" i="16"/>
  <c r="L28" i="16"/>
  <c r="N27" i="16"/>
  <c r="L27" i="16"/>
  <c r="N26" i="16"/>
  <c r="L26" i="16"/>
  <c r="N25" i="16"/>
  <c r="L25" i="16"/>
  <c r="N24" i="16"/>
  <c r="L24" i="16"/>
  <c r="N23" i="16"/>
  <c r="L23" i="16"/>
  <c r="N22" i="16"/>
  <c r="L22" i="16"/>
  <c r="N21" i="16"/>
  <c r="L21" i="16"/>
  <c r="N20" i="16"/>
  <c r="L20" i="16"/>
  <c r="N19" i="16"/>
  <c r="L19" i="16"/>
  <c r="N18" i="16"/>
  <c r="L18" i="16"/>
  <c r="N17" i="16"/>
  <c r="L17" i="16"/>
  <c r="N16" i="16"/>
  <c r="L16" i="16"/>
  <c r="N15" i="16"/>
  <c r="L15" i="16"/>
  <c r="N14" i="16"/>
  <c r="L14" i="16"/>
  <c r="N13" i="16"/>
  <c r="L13" i="16"/>
  <c r="N12" i="16"/>
  <c r="L12" i="16"/>
  <c r="N11" i="16"/>
  <c r="L11" i="16"/>
  <c r="N10" i="16"/>
  <c r="L10" i="16"/>
  <c r="N9" i="16"/>
  <c r="L9" i="16"/>
  <c r="N8" i="16"/>
  <c r="L8" i="16"/>
  <c r="N7" i="16"/>
  <c r="L7" i="16"/>
  <c r="N6" i="16"/>
  <c r="L6" i="16"/>
  <c r="N5" i="16"/>
  <c r="L5" i="16"/>
  <c r="N4" i="16"/>
  <c r="L4" i="16"/>
  <c r="N3" i="16"/>
  <c r="L3" i="16"/>
  <c r="N44" i="13"/>
  <c r="L44" i="13"/>
  <c r="N43" i="13"/>
  <c r="L43" i="13"/>
  <c r="N42" i="13"/>
  <c r="L42" i="13"/>
  <c r="N41" i="13"/>
  <c r="L41" i="13"/>
  <c r="N40" i="13"/>
  <c r="L40" i="13"/>
  <c r="N39" i="13"/>
  <c r="L39" i="13"/>
  <c r="N38" i="13"/>
  <c r="L38" i="13"/>
  <c r="N37" i="13"/>
  <c r="L37" i="13"/>
  <c r="N36" i="13"/>
  <c r="L36" i="13"/>
  <c r="N35" i="13"/>
  <c r="L35" i="13"/>
  <c r="N34" i="13"/>
  <c r="L34" i="13"/>
  <c r="N33" i="13"/>
  <c r="L33" i="13"/>
  <c r="N32" i="13"/>
  <c r="L32" i="13"/>
  <c r="N31" i="13"/>
  <c r="L31" i="13"/>
  <c r="N30" i="13"/>
  <c r="L30" i="13"/>
  <c r="N29" i="13"/>
  <c r="L29" i="13"/>
  <c r="N28" i="13"/>
  <c r="L28" i="13"/>
  <c r="N27" i="13"/>
  <c r="L27" i="13"/>
  <c r="N26" i="13"/>
  <c r="L26" i="13"/>
  <c r="N25" i="13"/>
  <c r="L25" i="13"/>
  <c r="N24" i="13"/>
  <c r="L24" i="13"/>
  <c r="N23" i="13"/>
  <c r="L23" i="13"/>
  <c r="N22" i="13"/>
  <c r="L22" i="13"/>
  <c r="N21" i="13"/>
  <c r="L21" i="13"/>
  <c r="N20" i="13"/>
  <c r="L20" i="13"/>
  <c r="N19" i="13"/>
  <c r="L19" i="13"/>
  <c r="N18" i="13"/>
  <c r="L18" i="13"/>
  <c r="N17" i="13"/>
  <c r="L17" i="13"/>
  <c r="N16" i="13"/>
  <c r="L16" i="13"/>
  <c r="N15" i="13"/>
  <c r="L15" i="13"/>
  <c r="N14" i="13"/>
  <c r="L14" i="13"/>
  <c r="N13" i="13"/>
  <c r="L13" i="13"/>
  <c r="N12" i="13"/>
  <c r="L12" i="13"/>
  <c r="N11" i="13"/>
  <c r="L11" i="13"/>
  <c r="N10" i="13"/>
  <c r="L10" i="13"/>
  <c r="N9" i="13"/>
  <c r="L9" i="13"/>
  <c r="N8" i="13"/>
  <c r="L8" i="13"/>
  <c r="N7" i="13"/>
  <c r="L7" i="13"/>
  <c r="N6" i="13"/>
  <c r="L6" i="13"/>
  <c r="N5" i="13"/>
  <c r="L5" i="13"/>
  <c r="N4" i="13"/>
  <c r="L4" i="13"/>
  <c r="N3" i="13"/>
  <c r="L3" i="13"/>
  <c r="L45" i="13" s="1"/>
  <c r="N44" i="2"/>
  <c r="L44" i="2"/>
  <c r="N43" i="2"/>
  <c r="L43" i="2"/>
  <c r="N42" i="2"/>
  <c r="L42" i="2"/>
  <c r="N41" i="2"/>
  <c r="L41" i="2"/>
  <c r="N40" i="2"/>
  <c r="L40" i="2"/>
  <c r="N39" i="2"/>
  <c r="L39" i="2"/>
  <c r="N38" i="2"/>
  <c r="L38" i="2"/>
  <c r="N37" i="2"/>
  <c r="L37" i="2"/>
  <c r="N36" i="2"/>
  <c r="L36" i="2"/>
  <c r="N35" i="2"/>
  <c r="L35" i="2"/>
  <c r="N34" i="2"/>
  <c r="L34" i="2"/>
  <c r="N33" i="2"/>
  <c r="L33" i="2"/>
  <c r="N32" i="2"/>
  <c r="L32" i="2"/>
  <c r="N31" i="2"/>
  <c r="L31" i="2"/>
  <c r="N30" i="2"/>
  <c r="L30" i="2"/>
  <c r="N29" i="2"/>
  <c r="L29" i="2"/>
  <c r="N28" i="2"/>
  <c r="L28" i="2"/>
  <c r="N27" i="2"/>
  <c r="L27" i="2"/>
  <c r="N26" i="2"/>
  <c r="L26" i="2"/>
  <c r="N25" i="2"/>
  <c r="L25" i="2"/>
  <c r="N24" i="2"/>
  <c r="L24" i="2"/>
  <c r="N23" i="2"/>
  <c r="L23" i="2"/>
  <c r="N22" i="2"/>
  <c r="L22" i="2"/>
  <c r="N21" i="2"/>
  <c r="L21" i="2"/>
  <c r="N20" i="2"/>
  <c r="L20" i="2"/>
  <c r="N19" i="2"/>
  <c r="L19" i="2"/>
  <c r="N18" i="2"/>
  <c r="L18" i="2"/>
  <c r="N17" i="2"/>
  <c r="L17" i="2"/>
  <c r="N16" i="2"/>
  <c r="L16" i="2"/>
  <c r="N15" i="2"/>
  <c r="L15" i="2"/>
  <c r="N14" i="2"/>
  <c r="L14" i="2"/>
  <c r="N13" i="2"/>
  <c r="L13" i="2"/>
  <c r="N12" i="2"/>
  <c r="L12" i="2"/>
  <c r="N11" i="2"/>
  <c r="L11" i="2"/>
  <c r="N10" i="2"/>
  <c r="L10" i="2"/>
  <c r="N9" i="2"/>
  <c r="L9" i="2"/>
  <c r="N8" i="2"/>
  <c r="L8" i="2"/>
  <c r="N7" i="2"/>
  <c r="L7" i="2"/>
  <c r="N6" i="2"/>
  <c r="L6" i="2"/>
  <c r="N5" i="2"/>
  <c r="L5" i="2"/>
  <c r="N4" i="2"/>
  <c r="L4" i="2"/>
  <c r="N3" i="2"/>
  <c r="L3" i="2"/>
  <c r="N44" i="8"/>
  <c r="L44" i="8"/>
  <c r="N43" i="8"/>
  <c r="L43" i="8"/>
  <c r="N42" i="8"/>
  <c r="L42" i="8"/>
  <c r="N41" i="8"/>
  <c r="L41" i="8"/>
  <c r="N40" i="8"/>
  <c r="L40" i="8"/>
  <c r="N39" i="8"/>
  <c r="L39" i="8"/>
  <c r="N38" i="8"/>
  <c r="L38" i="8"/>
  <c r="N37" i="8"/>
  <c r="L37" i="8"/>
  <c r="N36" i="8"/>
  <c r="L36" i="8"/>
  <c r="N35" i="8"/>
  <c r="L35" i="8"/>
  <c r="N34" i="8"/>
  <c r="L34" i="8"/>
  <c r="N33" i="8"/>
  <c r="L33" i="8"/>
  <c r="N32" i="8"/>
  <c r="L32" i="8"/>
  <c r="N31" i="8"/>
  <c r="L31" i="8"/>
  <c r="N30" i="8"/>
  <c r="L30" i="8"/>
  <c r="N29" i="8"/>
  <c r="L29" i="8"/>
  <c r="N28" i="8"/>
  <c r="L28" i="8"/>
  <c r="N27" i="8"/>
  <c r="L27" i="8"/>
  <c r="N26" i="8"/>
  <c r="L26" i="8"/>
  <c r="N25" i="8"/>
  <c r="L25" i="8"/>
  <c r="N24" i="8"/>
  <c r="L24" i="8"/>
  <c r="N23" i="8"/>
  <c r="L23" i="8"/>
  <c r="N22" i="8"/>
  <c r="L22" i="8"/>
  <c r="N21" i="8"/>
  <c r="L21" i="8"/>
  <c r="N20" i="8"/>
  <c r="L20" i="8"/>
  <c r="N19" i="8"/>
  <c r="L19" i="8"/>
  <c r="N18" i="8"/>
  <c r="L18" i="8"/>
  <c r="N17" i="8"/>
  <c r="L17" i="8"/>
  <c r="N16" i="8"/>
  <c r="L16" i="8"/>
  <c r="N15" i="8"/>
  <c r="L15" i="8"/>
  <c r="N14" i="8"/>
  <c r="L14" i="8"/>
  <c r="N13" i="8"/>
  <c r="L13" i="8"/>
  <c r="N12" i="8"/>
  <c r="L12" i="8"/>
  <c r="N11" i="8"/>
  <c r="L11" i="8"/>
  <c r="N10" i="8"/>
  <c r="L10" i="8"/>
  <c r="N9" i="8"/>
  <c r="L9" i="8"/>
  <c r="N8" i="8"/>
  <c r="L8" i="8"/>
  <c r="N7" i="8"/>
  <c r="L7" i="8"/>
  <c r="N6" i="8"/>
  <c r="L6" i="8"/>
  <c r="N5" i="8"/>
  <c r="L5" i="8"/>
  <c r="N4" i="8"/>
  <c r="L4" i="8"/>
  <c r="N3" i="8"/>
  <c r="L3" i="8"/>
  <c r="L45" i="8" s="1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L14" i="3"/>
  <c r="N13" i="3"/>
  <c r="L13" i="3"/>
  <c r="N12" i="3"/>
  <c r="L12" i="3"/>
  <c r="N11" i="3"/>
  <c r="L11" i="3"/>
  <c r="N10" i="3"/>
  <c r="L10" i="3"/>
  <c r="N9" i="3"/>
  <c r="L9" i="3"/>
  <c r="N8" i="3"/>
  <c r="L8" i="3"/>
  <c r="N7" i="3"/>
  <c r="L7" i="3"/>
  <c r="N6" i="3"/>
  <c r="L6" i="3"/>
  <c r="N5" i="3"/>
  <c r="L5" i="3"/>
  <c r="N4" i="3"/>
  <c r="L4" i="3"/>
  <c r="N3" i="3"/>
  <c r="L3" i="3"/>
  <c r="N44" i="15"/>
  <c r="L44" i="15"/>
  <c r="N43" i="15"/>
  <c r="L43" i="15"/>
  <c r="N42" i="15"/>
  <c r="L42" i="15"/>
  <c r="N41" i="15"/>
  <c r="L41" i="15"/>
  <c r="N40" i="15"/>
  <c r="L40" i="15"/>
  <c r="N39" i="15"/>
  <c r="L39" i="15"/>
  <c r="N38" i="15"/>
  <c r="L38" i="15"/>
  <c r="N37" i="15"/>
  <c r="L37" i="15"/>
  <c r="N36" i="15"/>
  <c r="L36" i="15"/>
  <c r="N35" i="15"/>
  <c r="L35" i="15"/>
  <c r="N34" i="15"/>
  <c r="L34" i="15"/>
  <c r="N33" i="15"/>
  <c r="L33" i="15"/>
  <c r="N32" i="15"/>
  <c r="L32" i="15"/>
  <c r="N31" i="15"/>
  <c r="L31" i="15"/>
  <c r="N30" i="15"/>
  <c r="L30" i="15"/>
  <c r="N29" i="15"/>
  <c r="L29" i="15"/>
  <c r="N28" i="15"/>
  <c r="L28" i="15"/>
  <c r="N27" i="15"/>
  <c r="L27" i="15"/>
  <c r="N26" i="15"/>
  <c r="L26" i="15"/>
  <c r="N25" i="15"/>
  <c r="L25" i="15"/>
  <c r="N24" i="15"/>
  <c r="L24" i="15"/>
  <c r="N23" i="15"/>
  <c r="L23" i="15"/>
  <c r="N22" i="15"/>
  <c r="L22" i="15"/>
  <c r="N21" i="15"/>
  <c r="L21" i="15"/>
  <c r="N20" i="15"/>
  <c r="L20" i="15"/>
  <c r="N19" i="15"/>
  <c r="L19" i="15"/>
  <c r="N18" i="15"/>
  <c r="L18" i="15"/>
  <c r="N17" i="15"/>
  <c r="L17" i="15"/>
  <c r="N16" i="15"/>
  <c r="L16" i="15"/>
  <c r="N15" i="15"/>
  <c r="L15" i="15"/>
  <c r="N14" i="15"/>
  <c r="L14" i="15"/>
  <c r="N13" i="15"/>
  <c r="L13" i="15"/>
  <c r="N12" i="15"/>
  <c r="L12" i="15"/>
  <c r="N11" i="15"/>
  <c r="L11" i="15"/>
  <c r="N10" i="15"/>
  <c r="L10" i="15"/>
  <c r="N9" i="15"/>
  <c r="L9" i="15"/>
  <c r="N8" i="15"/>
  <c r="L8" i="15"/>
  <c r="N7" i="15"/>
  <c r="L7" i="15"/>
  <c r="N6" i="15"/>
  <c r="L6" i="15"/>
  <c r="N5" i="15"/>
  <c r="L5" i="15"/>
  <c r="N4" i="15"/>
  <c r="L4" i="15"/>
  <c r="N3" i="15"/>
  <c r="L3" i="15"/>
  <c r="L45" i="15" s="1"/>
  <c r="N44" i="9"/>
  <c r="L44" i="9"/>
  <c r="N43" i="9"/>
  <c r="L43" i="9"/>
  <c r="N42" i="9"/>
  <c r="L42" i="9"/>
  <c r="N41" i="9"/>
  <c r="L41" i="9"/>
  <c r="N40" i="9"/>
  <c r="L40" i="9"/>
  <c r="N39" i="9"/>
  <c r="L39" i="9"/>
  <c r="N38" i="9"/>
  <c r="L38" i="9"/>
  <c r="N37" i="9"/>
  <c r="L37" i="9"/>
  <c r="N36" i="9"/>
  <c r="L36" i="9"/>
  <c r="N35" i="9"/>
  <c r="L35" i="9"/>
  <c r="N34" i="9"/>
  <c r="L34" i="9"/>
  <c r="N33" i="9"/>
  <c r="L33" i="9"/>
  <c r="N32" i="9"/>
  <c r="L32" i="9"/>
  <c r="N31" i="9"/>
  <c r="L31" i="9"/>
  <c r="N30" i="9"/>
  <c r="L30" i="9"/>
  <c r="N29" i="9"/>
  <c r="L29" i="9"/>
  <c r="N28" i="9"/>
  <c r="L28" i="9"/>
  <c r="N27" i="9"/>
  <c r="L27" i="9"/>
  <c r="N26" i="9"/>
  <c r="L26" i="9"/>
  <c r="N25" i="9"/>
  <c r="L25" i="9"/>
  <c r="N24" i="9"/>
  <c r="L24" i="9"/>
  <c r="N23" i="9"/>
  <c r="L23" i="9"/>
  <c r="N22" i="9"/>
  <c r="L22" i="9"/>
  <c r="N21" i="9"/>
  <c r="L21" i="9"/>
  <c r="N20" i="9"/>
  <c r="L20" i="9"/>
  <c r="N19" i="9"/>
  <c r="L19" i="9"/>
  <c r="N18" i="9"/>
  <c r="L18" i="9"/>
  <c r="N17" i="9"/>
  <c r="L17" i="9"/>
  <c r="N16" i="9"/>
  <c r="L16" i="9"/>
  <c r="N15" i="9"/>
  <c r="L15" i="9"/>
  <c r="N14" i="9"/>
  <c r="L14" i="9"/>
  <c r="N13" i="9"/>
  <c r="L13" i="9"/>
  <c r="N12" i="9"/>
  <c r="L12" i="9"/>
  <c r="N11" i="9"/>
  <c r="L11" i="9"/>
  <c r="N10" i="9"/>
  <c r="L10" i="9"/>
  <c r="N9" i="9"/>
  <c r="L9" i="9"/>
  <c r="N8" i="9"/>
  <c r="L8" i="9"/>
  <c r="N7" i="9"/>
  <c r="L7" i="9"/>
  <c r="N6" i="9"/>
  <c r="L6" i="9"/>
  <c r="N5" i="9"/>
  <c r="L5" i="9"/>
  <c r="N4" i="9"/>
  <c r="L4" i="9"/>
  <c r="N3" i="9"/>
  <c r="L3" i="9"/>
  <c r="N44" i="6"/>
  <c r="L44" i="6"/>
  <c r="N43" i="6"/>
  <c r="L43" i="6"/>
  <c r="N42" i="6"/>
  <c r="L42" i="6"/>
  <c r="N41" i="6"/>
  <c r="L41" i="6"/>
  <c r="N40" i="6"/>
  <c r="L40" i="6"/>
  <c r="N39" i="6"/>
  <c r="L39" i="6"/>
  <c r="N38" i="6"/>
  <c r="L38" i="6"/>
  <c r="N37" i="6"/>
  <c r="L37" i="6"/>
  <c r="N36" i="6"/>
  <c r="L36" i="6"/>
  <c r="N35" i="6"/>
  <c r="L35" i="6"/>
  <c r="N34" i="6"/>
  <c r="L34" i="6"/>
  <c r="N33" i="6"/>
  <c r="L33" i="6"/>
  <c r="N32" i="6"/>
  <c r="L32" i="6"/>
  <c r="N31" i="6"/>
  <c r="L31" i="6"/>
  <c r="N30" i="6"/>
  <c r="L30" i="6"/>
  <c r="N29" i="6"/>
  <c r="L29" i="6"/>
  <c r="N28" i="6"/>
  <c r="L28" i="6"/>
  <c r="N27" i="6"/>
  <c r="L27" i="6"/>
  <c r="N26" i="6"/>
  <c r="L26" i="6"/>
  <c r="N25" i="6"/>
  <c r="L25" i="6"/>
  <c r="N24" i="6"/>
  <c r="L24" i="6"/>
  <c r="N23" i="6"/>
  <c r="L23" i="6"/>
  <c r="N22" i="6"/>
  <c r="L22" i="6"/>
  <c r="N21" i="6"/>
  <c r="L21" i="6"/>
  <c r="N20" i="6"/>
  <c r="L20" i="6"/>
  <c r="N19" i="6"/>
  <c r="L19" i="6"/>
  <c r="N18" i="6"/>
  <c r="L18" i="6"/>
  <c r="N17" i="6"/>
  <c r="L17" i="6"/>
  <c r="N16" i="6"/>
  <c r="L16" i="6"/>
  <c r="N15" i="6"/>
  <c r="L15" i="6"/>
  <c r="N14" i="6"/>
  <c r="L14" i="6"/>
  <c r="N13" i="6"/>
  <c r="L13" i="6"/>
  <c r="N12" i="6"/>
  <c r="L12" i="6"/>
  <c r="N11" i="6"/>
  <c r="L11" i="6"/>
  <c r="N10" i="6"/>
  <c r="L10" i="6"/>
  <c r="N9" i="6"/>
  <c r="L9" i="6"/>
  <c r="N8" i="6"/>
  <c r="L8" i="6"/>
  <c r="N7" i="6"/>
  <c r="L7" i="6"/>
  <c r="N6" i="6"/>
  <c r="L6" i="6"/>
  <c r="N5" i="6"/>
  <c r="L5" i="6"/>
  <c r="N4" i="6"/>
  <c r="L4" i="6"/>
  <c r="N3" i="6"/>
  <c r="L3" i="6"/>
  <c r="L45" i="6" s="1"/>
  <c r="N44" i="18"/>
  <c r="L44" i="18"/>
  <c r="N43" i="18"/>
  <c r="L43" i="18"/>
  <c r="N42" i="18"/>
  <c r="L42" i="18"/>
  <c r="N41" i="18"/>
  <c r="L41" i="18"/>
  <c r="N40" i="18"/>
  <c r="L40" i="18"/>
  <c r="N39" i="18"/>
  <c r="L39" i="18"/>
  <c r="N38" i="18"/>
  <c r="L38" i="18"/>
  <c r="N37" i="18"/>
  <c r="L37" i="18"/>
  <c r="N36" i="18"/>
  <c r="L36" i="18"/>
  <c r="N35" i="18"/>
  <c r="L35" i="18"/>
  <c r="N34" i="18"/>
  <c r="L34" i="18"/>
  <c r="N33" i="18"/>
  <c r="L33" i="18"/>
  <c r="N32" i="18"/>
  <c r="L32" i="18"/>
  <c r="N31" i="18"/>
  <c r="L31" i="18"/>
  <c r="N30" i="18"/>
  <c r="L30" i="18"/>
  <c r="N29" i="18"/>
  <c r="L29" i="18"/>
  <c r="N28" i="18"/>
  <c r="L28" i="18"/>
  <c r="N27" i="18"/>
  <c r="L27" i="18"/>
  <c r="N26" i="18"/>
  <c r="L26" i="18"/>
  <c r="N25" i="18"/>
  <c r="L25" i="18"/>
  <c r="N24" i="18"/>
  <c r="L24" i="18"/>
  <c r="N23" i="18"/>
  <c r="L23" i="18"/>
  <c r="N22" i="18"/>
  <c r="L22" i="18"/>
  <c r="N21" i="18"/>
  <c r="L21" i="18"/>
  <c r="N20" i="18"/>
  <c r="L20" i="18"/>
  <c r="N19" i="18"/>
  <c r="L19" i="18"/>
  <c r="N18" i="18"/>
  <c r="L18" i="18"/>
  <c r="N17" i="18"/>
  <c r="L17" i="18"/>
  <c r="N16" i="18"/>
  <c r="L16" i="18"/>
  <c r="N15" i="18"/>
  <c r="L15" i="18"/>
  <c r="N14" i="18"/>
  <c r="L14" i="18"/>
  <c r="N13" i="18"/>
  <c r="L13" i="18"/>
  <c r="N12" i="18"/>
  <c r="L12" i="18"/>
  <c r="N11" i="18"/>
  <c r="L11" i="18"/>
  <c r="N10" i="18"/>
  <c r="L10" i="18"/>
  <c r="N9" i="18"/>
  <c r="L9" i="18"/>
  <c r="N8" i="18"/>
  <c r="L8" i="18"/>
  <c r="N7" i="18"/>
  <c r="L7" i="18"/>
  <c r="N6" i="18"/>
  <c r="L6" i="18"/>
  <c r="N5" i="18"/>
  <c r="L5" i="18"/>
  <c r="N4" i="18"/>
  <c r="L4" i="18"/>
  <c r="N3" i="18"/>
  <c r="L3" i="18"/>
  <c r="N45" i="15" l="1"/>
  <c r="N45" i="8"/>
  <c r="N45" i="13"/>
  <c r="N45" i="19"/>
  <c r="N45" i="14"/>
  <c r="N45" i="21"/>
  <c r="N45" i="6"/>
  <c r="L45" i="18"/>
  <c r="L45" i="9"/>
  <c r="L45" i="3"/>
  <c r="L45" i="2"/>
  <c r="L45" i="16"/>
  <c r="L45" i="5"/>
  <c r="L45" i="10"/>
  <c r="L45" i="17"/>
  <c r="N45" i="9"/>
  <c r="N45" i="3"/>
  <c r="N45" i="2"/>
  <c r="N45" i="16"/>
  <c r="N45" i="5"/>
  <c r="N45" i="10"/>
  <c r="N45" i="17"/>
  <c r="N45" i="18"/>
</calcChain>
</file>

<file path=xl/sharedStrings.xml><?xml version="1.0" encoding="utf-8"?>
<sst xmlns="http://schemas.openxmlformats.org/spreadsheetml/2006/main" count="5675" uniqueCount="285">
  <si>
    <t>Page:  1      of 1</t>
  </si>
  <si>
    <t>Survey Type:</t>
  </si>
  <si>
    <t>Species:</t>
  </si>
  <si>
    <t>Habitat:</t>
  </si>
  <si>
    <t>Structure:</t>
  </si>
  <si>
    <t>Site:</t>
  </si>
  <si>
    <t>Chinook</t>
  </si>
  <si>
    <t>CH</t>
  </si>
  <si>
    <t>Fast</t>
  </si>
  <si>
    <t>F</t>
  </si>
  <si>
    <t>Natural wood</t>
  </si>
  <si>
    <t>NW</t>
  </si>
  <si>
    <t>Date:</t>
  </si>
  <si>
    <t>Rainbow</t>
  </si>
  <si>
    <t>RT</t>
  </si>
  <si>
    <t>Slow</t>
  </si>
  <si>
    <t>S</t>
  </si>
  <si>
    <t>placed wood</t>
  </si>
  <si>
    <t>PW</t>
  </si>
  <si>
    <t>Bull Trout</t>
  </si>
  <si>
    <t>BT</t>
  </si>
  <si>
    <t>Non Turbulent</t>
  </si>
  <si>
    <t>NT</t>
  </si>
  <si>
    <t>Natural boulder</t>
  </si>
  <si>
    <t>NB</t>
  </si>
  <si>
    <t>Visibility:</t>
  </si>
  <si>
    <t>Cutthroat</t>
  </si>
  <si>
    <t>CT</t>
  </si>
  <si>
    <t>Backwater</t>
  </si>
  <si>
    <t>BW</t>
  </si>
  <si>
    <t>Visit:</t>
  </si>
  <si>
    <t>Side Channel</t>
  </si>
  <si>
    <t>SC</t>
  </si>
  <si>
    <t>Notes:</t>
  </si>
  <si>
    <t>Sculpin</t>
  </si>
  <si>
    <t>Rapid</t>
  </si>
  <si>
    <t>RAP</t>
  </si>
  <si>
    <t>Edge:&gt; 25m BFW,</t>
  </si>
  <si>
    <t>Sucker</t>
  </si>
  <si>
    <t>SU</t>
  </si>
  <si>
    <t>Scour Pool</t>
  </si>
  <si>
    <t>SP</t>
  </si>
  <si>
    <t>vel &lt; 0.15 m/s,</t>
  </si>
  <si>
    <t>Weather:</t>
  </si>
  <si>
    <t>Unknown</t>
  </si>
  <si>
    <t>UNK</t>
  </si>
  <si>
    <t>Riffle</t>
  </si>
  <si>
    <t>E</t>
  </si>
  <si>
    <t>Number</t>
  </si>
  <si>
    <t>Species</t>
  </si>
  <si>
    <t>Size</t>
  </si>
  <si>
    <t>Snorkeler</t>
  </si>
  <si>
    <t>Lane</t>
  </si>
  <si>
    <t>Unit</t>
  </si>
  <si>
    <t>Habitat</t>
  </si>
  <si>
    <t>Structure</t>
  </si>
  <si>
    <t>Time</t>
  </si>
  <si>
    <t xml:space="preserve">Comments </t>
  </si>
  <si>
    <t>TL</t>
  </si>
  <si>
    <r>
      <rPr>
        <sz val="8"/>
        <color theme="1"/>
        <rFont val="Calibri"/>
        <family val="2"/>
        <scheme val="minor"/>
      </rPr>
      <t xml:space="preserve">depth &lt; 0.61m. </t>
    </r>
    <r>
      <rPr>
        <sz val="11"/>
        <color theme="1"/>
        <rFont val="Calibri"/>
        <family val="2"/>
        <scheme val="minor"/>
      </rPr>
      <t xml:space="preserve">  </t>
    </r>
  </si>
  <si>
    <t xml:space="preserve">2018 Snorkel Survey Form </t>
  </si>
  <si>
    <t xml:space="preserve">Recorder: </t>
  </si>
  <si>
    <r>
      <t>H</t>
    </r>
    <r>
      <rPr>
        <sz val="9"/>
        <color theme="1"/>
        <rFont val="Calibri"/>
        <family val="2"/>
      </rPr>
      <t>₂O temp:</t>
    </r>
  </si>
  <si>
    <t>NoF</t>
  </si>
  <si>
    <t>CoF</t>
  </si>
  <si>
    <r>
      <t xml:space="preserve">Natural off-channel 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</si>
  <si>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Created off-channel  </t>
    </r>
    <r>
      <rPr>
        <b/>
        <sz val="10"/>
        <color theme="1"/>
        <rFont val="Calibri"/>
        <family val="2"/>
        <scheme val="minor"/>
      </rPr>
      <t xml:space="preserve"> </t>
    </r>
  </si>
  <si>
    <t>Time:</t>
  </si>
  <si>
    <t>SS</t>
  </si>
  <si>
    <t>RIF</t>
  </si>
  <si>
    <t>OCP</t>
  </si>
  <si>
    <t>OPEN</t>
  </si>
  <si>
    <t>EG</t>
  </si>
  <si>
    <t>Snorkelers</t>
  </si>
  <si>
    <t>LANES</t>
  </si>
  <si>
    <t>SUNNY</t>
  </si>
  <si>
    <t>BP</t>
  </si>
  <si>
    <t xml:space="preserve">OPEN </t>
  </si>
  <si>
    <t>FAST</t>
  </si>
  <si>
    <t>SLOW</t>
  </si>
  <si>
    <t>EDGE</t>
  </si>
  <si>
    <t>VEG</t>
  </si>
  <si>
    <t>Mtn whitefish</t>
  </si>
  <si>
    <t>MWF</t>
  </si>
  <si>
    <t>of:</t>
  </si>
  <si>
    <t>Page:  1</t>
  </si>
  <si>
    <t>of: 2</t>
  </si>
  <si>
    <t>BEAVER POOL</t>
  </si>
  <si>
    <t>OFF-CHANNEL</t>
  </si>
  <si>
    <t>Off-Channel Pool</t>
  </si>
  <si>
    <t>Off-Channel</t>
  </si>
  <si>
    <t>Placed wood</t>
  </si>
  <si>
    <r>
      <t>H</t>
    </r>
    <r>
      <rPr>
        <sz val="10"/>
        <color theme="1"/>
        <rFont val="Calibri"/>
        <family val="2"/>
      </rPr>
      <t>₂O temp:</t>
    </r>
  </si>
  <si>
    <t>RR - RL</t>
  </si>
  <si>
    <t>Beaver Pool</t>
  </si>
  <si>
    <t>PAGE: 1</t>
  </si>
  <si>
    <t xml:space="preserve">2019 Snorkel Survey Form </t>
  </si>
  <si>
    <t>page:</t>
  </si>
  <si>
    <t>KB</t>
  </si>
  <si>
    <t>AM</t>
  </si>
  <si>
    <t>BED</t>
  </si>
  <si>
    <t>SIDE</t>
  </si>
  <si>
    <t>LWD</t>
  </si>
  <si>
    <t>3 TOTAL</t>
  </si>
  <si>
    <t>RR</t>
  </si>
  <si>
    <t>SAM</t>
  </si>
  <si>
    <t>GROUND WATER</t>
  </si>
  <si>
    <t>PC</t>
  </si>
  <si>
    <t>WHIRLING DISEASE</t>
  </si>
  <si>
    <t>AC</t>
  </si>
  <si>
    <t>EB</t>
  </si>
  <si>
    <t>RIFFLE</t>
  </si>
  <si>
    <t>ROCK</t>
  </si>
  <si>
    <t>POOL</t>
  </si>
  <si>
    <t>COVER</t>
  </si>
  <si>
    <t>NFO</t>
  </si>
  <si>
    <t>PAGE</t>
  </si>
  <si>
    <t>1 OF 1</t>
  </si>
  <si>
    <t>WARM SUNNY</t>
  </si>
  <si>
    <t>FROG</t>
  </si>
  <si>
    <t>UNDER BANK</t>
  </si>
  <si>
    <t>BANK SIDE</t>
  </si>
  <si>
    <t>GETTING BREEZY</t>
  </si>
  <si>
    <t>RIVER RIGHT</t>
  </si>
  <si>
    <t>RIVER LEFT</t>
  </si>
  <si>
    <t>BOULDER</t>
  </si>
  <si>
    <t>CLEAR SUNNY</t>
  </si>
  <si>
    <t xml:space="preserve">PAGE </t>
  </si>
  <si>
    <t xml:space="preserve">EG </t>
  </si>
  <si>
    <t xml:space="preserve">AC </t>
  </si>
  <si>
    <t xml:space="preserve">SAM </t>
  </si>
  <si>
    <t>STERLING</t>
  </si>
  <si>
    <t>RIFF</t>
  </si>
  <si>
    <t>AD</t>
  </si>
  <si>
    <t>Triston</t>
  </si>
  <si>
    <t>PC CLEAR</t>
  </si>
  <si>
    <t>RL</t>
  </si>
  <si>
    <t xml:space="preserve"> NT</t>
  </si>
  <si>
    <t>LB</t>
  </si>
  <si>
    <t>UNDER ROCK</t>
  </si>
  <si>
    <t>BOLUDER</t>
  </si>
  <si>
    <t>OND</t>
  </si>
  <si>
    <t xml:space="preserve"> BOULDER</t>
  </si>
  <si>
    <t>NE</t>
  </si>
  <si>
    <t>OEN</t>
  </si>
  <si>
    <t>Page:  1      of 2</t>
  </si>
  <si>
    <t>WATER SNAKE</t>
  </si>
  <si>
    <t>SNAKE</t>
  </si>
  <si>
    <t>DEAD</t>
  </si>
  <si>
    <t>PAGES:</t>
  </si>
  <si>
    <t>1 OF 4</t>
  </si>
  <si>
    <t>BEAVER POND</t>
  </si>
  <si>
    <t>1 DEAD FISH</t>
  </si>
  <si>
    <t>visibility at 1</t>
  </si>
  <si>
    <t>ADULT</t>
  </si>
  <si>
    <t>ONE DUCK</t>
  </si>
  <si>
    <t>RAPID</t>
  </si>
  <si>
    <t>BREEZY</t>
  </si>
  <si>
    <t>FEMALE</t>
  </si>
  <si>
    <t>PAGE:</t>
  </si>
  <si>
    <t>LITTLE</t>
  </si>
  <si>
    <t xml:space="preserve">1 FROG </t>
  </si>
  <si>
    <t>OFF CHANNEL</t>
  </si>
  <si>
    <t>UNDERCUT</t>
  </si>
  <si>
    <t>BIZMARK COLORED</t>
  </si>
  <si>
    <t>AM/EG</t>
  </si>
  <si>
    <t>WARM</t>
  </si>
  <si>
    <t xml:space="preserve">RT </t>
  </si>
  <si>
    <t>WHAT WE SNORKELED BELOW THE SITE</t>
  </si>
  <si>
    <t xml:space="preserve">CH </t>
  </si>
  <si>
    <t>C</t>
  </si>
  <si>
    <t xml:space="preserve">TL </t>
  </si>
  <si>
    <t>DAM</t>
  </si>
  <si>
    <t>UNDER COVER</t>
  </si>
  <si>
    <t>SMALL</t>
  </si>
  <si>
    <t>degrees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</si>
  <si>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</si>
  <si>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</si>
  <si>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</si>
  <si>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</si>
  <si>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</si>
  <si>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</si>
  <si>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</si>
  <si>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</si>
  <si>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</si>
  <si>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</si>
  <si>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</si>
  <si>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</si>
  <si>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</si>
  <si>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</si>
  <si>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</si>
  <si>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</si>
  <si>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</si>
  <si>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</si>
  <si>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</si>
  <si>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</si>
  <si>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</si>
  <si>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</si>
  <si>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</si>
  <si>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</si>
  <si>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</si>
  <si>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</si>
  <si>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</si>
  <si>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</si>
  <si>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</si>
  <si>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</si>
  <si>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</si>
  <si>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</si>
  <si>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</si>
  <si>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</si>
  <si>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</si>
  <si>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</si>
  <si>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</si>
  <si>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</si>
  <si>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</si>
  <si>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</si>
  <si>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</si>
  <si>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133s</t>
  </si>
  <si>
    <t>901s</t>
  </si>
  <si>
    <t>713s</t>
  </si>
  <si>
    <t>1129s</t>
  </si>
  <si>
    <t>2159s</t>
  </si>
  <si>
    <t>SiteTotal</t>
  </si>
  <si>
    <t>Totals……………………………………………………</t>
  </si>
  <si>
    <t>Site</t>
  </si>
  <si>
    <t>Site #</t>
  </si>
  <si>
    <t>Stream and Location</t>
  </si>
  <si>
    <t>Category</t>
  </si>
  <si>
    <t>Panel</t>
  </si>
  <si>
    <t>N</t>
  </si>
  <si>
    <t>Latitude</t>
  </si>
  <si>
    <t>Longitude</t>
  </si>
  <si>
    <t>YFI00001-000133</t>
  </si>
  <si>
    <t>Adaptive Management-Treatment</t>
  </si>
  <si>
    <t>Annual</t>
  </si>
  <si>
    <t>133 subsample</t>
  </si>
  <si>
    <t>Pond Series 2 lower reach subsample</t>
  </si>
  <si>
    <t>Depositional</t>
  </si>
  <si>
    <t>YFI00001-000213</t>
  </si>
  <si>
    <t>Yankee Fork below West Fork</t>
  </si>
  <si>
    <t>Mainstem Control</t>
  </si>
  <si>
    <t>YFI00001-000323</t>
  </si>
  <si>
    <t>Yankee Fork below Adair Creek</t>
  </si>
  <si>
    <t>Rotating Panel 2 → Annual</t>
  </si>
  <si>
    <t>Rotating Panel 1 → Annual</t>
  </si>
  <si>
    <t>YFI00001-000559</t>
  </si>
  <si>
    <t>Yankee Fork above Fivemile Creek</t>
  </si>
  <si>
    <t>Floodplain Enhancement-Treatment</t>
  </si>
  <si>
    <t>YFI00001-000713</t>
  </si>
  <si>
    <t>713 subsample</t>
  </si>
  <si>
    <t>Pond Series 1 above lower pond subsample</t>
  </si>
  <si>
    <t>YFI00001-000777</t>
  </si>
  <si>
    <t>Yankee Fork lower Preachers Cove reach</t>
  </si>
  <si>
    <t>YFI00001-000835</t>
  </si>
  <si>
    <t>Yankee Fork mid Preachers Cove reach</t>
  </si>
  <si>
    <t>Step Panel 2013,2014,2016,2017,2018,2021</t>
  </si>
  <si>
    <t>YFI00001-000901</t>
  </si>
  <si>
    <t>Step Panel 2013,2014,2015,2018,2021</t>
  </si>
  <si>
    <t>901 subsample</t>
  </si>
  <si>
    <t xml:space="preserve">Pond Series 2 upper reach subsample </t>
  </si>
  <si>
    <t>YFT00001-001013</t>
  </si>
  <si>
    <t>West Fork above new mouth</t>
  </si>
  <si>
    <t>Reconnection-Control</t>
  </si>
  <si>
    <t>YFI00001-001129</t>
  </si>
  <si>
    <t>1129 subsample</t>
  </si>
  <si>
    <t xml:space="preserve">Pond Series 3 lower reach subsample </t>
  </si>
  <si>
    <t>Step Panel 2013,2014,2017,2020</t>
  </si>
  <si>
    <t>YFI00001-001503</t>
  </si>
  <si>
    <t>Yankee Fork above Jerrys Creek</t>
  </si>
  <si>
    <t>YFI00001-001709</t>
  </si>
  <si>
    <t>1709 side channel 1</t>
  </si>
  <si>
    <t>Side Channel 1 below West Fork</t>
  </si>
  <si>
    <t>Reconnection - Treatment</t>
  </si>
  <si>
    <t>YFI00001-001971</t>
  </si>
  <si>
    <t>Yankee Fork new channel above West Fork</t>
  </si>
  <si>
    <t>Reconnection-Treatment</t>
  </si>
  <si>
    <t>Step Panel 2016,2017,2020</t>
  </si>
  <si>
    <t>YFI00001-002159</t>
  </si>
  <si>
    <t>2159 subsample</t>
  </si>
  <si>
    <t>Pond Series 3 upper reach subsample</t>
  </si>
  <si>
    <t>YFI00001-002166</t>
  </si>
  <si>
    <t>Yankee Fork upper Preachers Cove reach</t>
  </si>
  <si>
    <t>Step Panel 2013,2014,2015,2016,2019</t>
  </si>
  <si>
    <t>UTM 11T WGS84/NAD83</t>
  </si>
  <si>
    <t>2019 Yankee Fork Restoration Project CHaMP Site Snorkel Survey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</si>
</sst>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3" fillId="0" borderId="0"/>
    <xf numFmtId="0" fontId="13" fillId="0" borderId="0"/>
  </cellStyleXfs>
  <cellXfs count="23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 applyAlignment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3" fillId="0" borderId="7" xfId="0" applyFont="1" applyBorder="1"/>
    <xf numFmtId="0" fontId="4" fillId="0" borderId="0" xfId="0" applyFont="1"/>
    <xf numFmtId="0" fontId="5" fillId="0" borderId="8" xfId="0" applyFont="1" applyBorder="1" applyAlignment="1">
      <alignment horizontal="center"/>
    </xf>
    <xf numFmtId="0" fontId="0" fillId="0" borderId="10" xfId="0" applyBorder="1"/>
    <xf numFmtId="14" fontId="4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Fill="1" applyBorder="1"/>
    <xf numFmtId="0" fontId="0" fillId="0" borderId="13" xfId="0" applyBorder="1" applyAlignment="1">
      <alignment horizontal="center" vertical="center"/>
    </xf>
    <xf numFmtId="0" fontId="4" fillId="0" borderId="6" xfId="0" applyFont="1" applyBorder="1"/>
    <xf numFmtId="0" fontId="0" fillId="0" borderId="0" xfId="0" applyBorder="1"/>
    <xf numFmtId="0" fontId="3" fillId="0" borderId="7" xfId="0" applyFont="1" applyFill="1" applyBorder="1"/>
    <xf numFmtId="0" fontId="6" fillId="0" borderId="0" xfId="0" applyFont="1"/>
    <xf numFmtId="0" fontId="0" fillId="0" borderId="15" xfId="0" applyBorder="1" applyAlignment="1">
      <alignment horizontal="center"/>
    </xf>
    <xf numFmtId="0" fontId="3" fillId="0" borderId="0" xfId="0" applyFont="1"/>
    <xf numFmtId="0" fontId="1" fillId="0" borderId="8" xfId="0" applyFont="1" applyBorder="1" applyAlignment="1">
      <alignment horizontal="center" vertical="center"/>
    </xf>
    <xf numFmtId="0" fontId="0" fillId="0" borderId="6" xfId="0" applyBorder="1"/>
    <xf numFmtId="0" fontId="0" fillId="0" borderId="16" xfId="0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1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17" xfId="0" applyFont="1" applyBorder="1" applyAlignment="1"/>
    <xf numFmtId="0" fontId="0" fillId="0" borderId="3" xfId="0" applyBorder="1"/>
    <xf numFmtId="0" fontId="4" fillId="0" borderId="10" xfId="0" applyFont="1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0" xfId="0" applyFont="1"/>
    <xf numFmtId="0" fontId="0" fillId="0" borderId="18" xfId="0" applyBorder="1"/>
    <xf numFmtId="0" fontId="0" fillId="0" borderId="25" xfId="0" applyBorder="1"/>
    <xf numFmtId="20" fontId="0" fillId="2" borderId="9" xfId="0" applyNumberFormat="1" applyFill="1" applyBorder="1" applyAlignment="1">
      <alignment horizontal="center" vertical="center"/>
    </xf>
    <xf numFmtId="0" fontId="1" fillId="0" borderId="1" xfId="0" applyFont="1" applyBorder="1"/>
    <xf numFmtId="0" fontId="1" fillId="0" borderId="26" xfId="0" applyFont="1" applyBorder="1"/>
    <xf numFmtId="0" fontId="0" fillId="0" borderId="24" xfId="0" applyBorder="1" applyAlignment="1">
      <alignment horizontal="center"/>
    </xf>
    <xf numFmtId="0" fontId="1" fillId="0" borderId="14" xfId="0" applyFont="1" applyBorder="1"/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27" xfId="0" applyFont="1" applyBorder="1"/>
    <xf numFmtId="0" fontId="0" fillId="0" borderId="29" xfId="0" applyBorder="1" applyAlignment="1">
      <alignment horizontal="center"/>
    </xf>
    <xf numFmtId="0" fontId="0" fillId="0" borderId="28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9" xfId="0" applyBorder="1"/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20" fontId="0" fillId="0" borderId="19" xfId="0" applyNumberForma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/>
    <xf numFmtId="0" fontId="0" fillId="0" borderId="3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1" fillId="0" borderId="38" xfId="0" applyFont="1" applyBorder="1"/>
    <xf numFmtId="0" fontId="2" fillId="0" borderId="38" xfId="0" applyFont="1" applyBorder="1"/>
    <xf numFmtId="0" fontId="1" fillId="0" borderId="39" xfId="0" applyFont="1" applyBorder="1" applyAlignment="1"/>
    <xf numFmtId="0" fontId="0" fillId="0" borderId="40" xfId="0" applyBorder="1"/>
    <xf numFmtId="0" fontId="1" fillId="0" borderId="41" xfId="0" applyFont="1" applyBorder="1"/>
    <xf numFmtId="0" fontId="1" fillId="0" borderId="42" xfId="0" applyFont="1" applyBorder="1" applyAlignment="1"/>
    <xf numFmtId="0" fontId="1" fillId="0" borderId="4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44" xfId="0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4" fillId="0" borderId="47" xfId="0" applyFont="1" applyBorder="1"/>
    <xf numFmtId="0" fontId="0" fillId="0" borderId="47" xfId="0" applyBorder="1"/>
    <xf numFmtId="0" fontId="6" fillId="0" borderId="0" xfId="0" applyFont="1" applyBorder="1"/>
    <xf numFmtId="0" fontId="0" fillId="0" borderId="48" xfId="0" applyBorder="1"/>
    <xf numFmtId="0" fontId="1" fillId="0" borderId="49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44" xfId="0" applyBorder="1"/>
    <xf numFmtId="0" fontId="0" fillId="0" borderId="50" xfId="0" applyBorder="1"/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1" xfId="0" applyBorder="1"/>
    <xf numFmtId="0" fontId="0" fillId="0" borderId="52" xfId="0" applyFill="1" applyBorder="1" applyAlignment="1">
      <alignment horizontal="center" vertical="center"/>
    </xf>
    <xf numFmtId="0" fontId="0" fillId="0" borderId="34" xfId="0" applyBorder="1"/>
    <xf numFmtId="0" fontId="0" fillId="0" borderId="53" xfId="0" applyBorder="1"/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5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60" xfId="0" applyFill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56" xfId="0" applyFill="1" applyBorder="1" applyAlignment="1">
      <alignment horizontal="center" vertical="center"/>
    </xf>
    <xf numFmtId="0" fontId="1" fillId="0" borderId="66" xfId="0" applyFont="1" applyBorder="1" applyAlignment="1">
      <alignment horizontal="center"/>
    </xf>
    <xf numFmtId="0" fontId="1" fillId="0" borderId="61" xfId="0" applyFont="1" applyFill="1" applyBorder="1" applyAlignment="1">
      <alignment horizontal="center" vertical="center"/>
    </xf>
    <xf numFmtId="20" fontId="0" fillId="0" borderId="61" xfId="0" applyNumberFormat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40" xfId="0" applyFont="1" applyBorder="1"/>
    <xf numFmtId="1" fontId="0" fillId="0" borderId="44" xfId="0" applyNumberFormat="1" applyBorder="1" applyAlignment="1">
      <alignment horizontal="center"/>
    </xf>
    <xf numFmtId="0" fontId="0" fillId="0" borderId="46" xfId="0" applyFill="1" applyBorder="1" applyAlignment="1">
      <alignment horizontal="center" vertical="center"/>
    </xf>
    <xf numFmtId="0" fontId="0" fillId="0" borderId="55" xfId="0" applyBorder="1"/>
    <xf numFmtId="0" fontId="0" fillId="0" borderId="0" xfId="0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47" xfId="0" applyFont="1" applyBorder="1"/>
    <xf numFmtId="0" fontId="1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/>
    <xf numFmtId="0" fontId="0" fillId="0" borderId="6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 applyAlignment="1">
      <alignment horizontal="left"/>
    </xf>
    <xf numFmtId="0" fontId="0" fillId="0" borderId="71" xfId="0" applyBorder="1" applyAlignment="1">
      <alignment horizontal="center"/>
    </xf>
    <xf numFmtId="0" fontId="3" fillId="0" borderId="10" xfId="0" applyFont="1" applyBorder="1"/>
    <xf numFmtId="0" fontId="0" fillId="0" borderId="7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73" xfId="0" applyBorder="1" applyAlignment="1">
      <alignment horizontal="center" vertical="center"/>
    </xf>
    <xf numFmtId="16" fontId="0" fillId="0" borderId="3" xfId="0" applyNumberFormat="1" applyBorder="1"/>
    <xf numFmtId="0" fontId="0" fillId="0" borderId="32" xfId="0" applyBorder="1"/>
    <xf numFmtId="0" fontId="0" fillId="0" borderId="57" xfId="0" applyBorder="1"/>
    <xf numFmtId="0" fontId="0" fillId="0" borderId="0" xfId="0" applyFill="1" applyBorder="1" applyAlignment="1">
      <alignment horizontal="center"/>
    </xf>
    <xf numFmtId="0" fontId="0" fillId="0" borderId="61" xfId="0" applyBorder="1"/>
    <xf numFmtId="0" fontId="0" fillId="0" borderId="62" xfId="0" applyBorder="1"/>
    <xf numFmtId="0" fontId="1" fillId="0" borderId="74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0" fillId="0" borderId="61" xfId="0" applyFont="1" applyFill="1" applyBorder="1" applyAlignment="1">
      <alignment horizontal="center" vertical="center"/>
    </xf>
    <xf numFmtId="20" fontId="0" fillId="0" borderId="34" xfId="0" applyNumberFormat="1" applyBorder="1" applyAlignment="1">
      <alignment horizontal="center"/>
    </xf>
    <xf numFmtId="20" fontId="0" fillId="0" borderId="34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/>
    </xf>
    <xf numFmtId="20" fontId="0" fillId="0" borderId="34" xfId="0" applyNumberFormat="1" applyBorder="1"/>
    <xf numFmtId="0" fontId="0" fillId="0" borderId="56" xfId="0" applyBorder="1" applyAlignment="1">
      <alignment horizontal="center" vertical="center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0" fillId="0" borderId="34" xfId="0" applyFont="1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0" fontId="0" fillId="2" borderId="61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" fillId="0" borderId="0" xfId="0" applyFont="1" applyAlignment="1"/>
    <xf numFmtId="0" fontId="15" fillId="0" borderId="21" xfId="1" applyFont="1" applyFill="1" applyBorder="1" applyAlignment="1">
      <alignment wrapText="1"/>
    </xf>
    <xf numFmtId="0" fontId="1" fillId="0" borderId="21" xfId="2" applyFont="1" applyFill="1" applyBorder="1" applyAlignment="1">
      <alignment horizontal="center"/>
    </xf>
    <xf numFmtId="0" fontId="1" fillId="0" borderId="21" xfId="2" applyFont="1" applyFill="1" applyBorder="1" applyAlignment="1">
      <alignment horizontal="left" wrapText="1"/>
    </xf>
    <xf numFmtId="1" fontId="1" fillId="0" borderId="21" xfId="2" applyNumberFormat="1" applyFont="1" applyFill="1" applyBorder="1" applyAlignment="1">
      <alignment horizontal="center" wrapText="1"/>
    </xf>
    <xf numFmtId="164" fontId="1" fillId="0" borderId="21" xfId="2" applyNumberFormat="1" applyFont="1" applyFill="1" applyBorder="1" applyAlignment="1">
      <alignment horizontal="center" wrapText="1"/>
    </xf>
    <xf numFmtId="0" fontId="1" fillId="0" borderId="0" xfId="2" applyFont="1" applyFill="1" applyAlignment="1">
      <alignment horizontal="center"/>
    </xf>
    <xf numFmtId="0" fontId="16" fillId="0" borderId="21" xfId="1" applyFont="1" applyFill="1" applyBorder="1" applyAlignment="1">
      <alignment wrapText="1"/>
    </xf>
    <xf numFmtId="0" fontId="1" fillId="0" borderId="32" xfId="2" applyFont="1" applyFill="1" applyBorder="1" applyAlignment="1">
      <alignment horizontal="center"/>
    </xf>
    <xf numFmtId="0" fontId="13" fillId="0" borderId="32" xfId="2" applyFill="1" applyBorder="1" applyAlignment="1">
      <alignment horizontal="left"/>
    </xf>
    <xf numFmtId="1" fontId="13" fillId="0" borderId="32" xfId="2" applyNumberFormat="1" applyFill="1" applyBorder="1" applyAlignment="1">
      <alignment horizontal="center"/>
    </xf>
    <xf numFmtId="164" fontId="13" fillId="0" borderId="32" xfId="2" applyNumberFormat="1" applyFill="1" applyBorder="1" applyAlignment="1">
      <alignment horizontal="center"/>
    </xf>
    <xf numFmtId="0" fontId="13" fillId="0" borderId="0" xfId="2" applyFill="1" applyAlignment="1">
      <alignment horizontal="center"/>
    </xf>
    <xf numFmtId="0" fontId="1" fillId="0" borderId="84" xfId="2" applyFont="1" applyFill="1" applyBorder="1" applyAlignment="1">
      <alignment horizontal="center"/>
    </xf>
    <xf numFmtId="0" fontId="13" fillId="0" borderId="84" xfId="2" applyFill="1" applyBorder="1" applyAlignment="1">
      <alignment horizontal="left"/>
    </xf>
    <xf numFmtId="1" fontId="13" fillId="0" borderId="84" xfId="2" applyNumberFormat="1" applyFill="1" applyBorder="1" applyAlignment="1">
      <alignment horizontal="center"/>
    </xf>
    <xf numFmtId="164" fontId="13" fillId="0" borderId="84" xfId="2" applyNumberFormat="1" applyFill="1" applyBorder="1" applyAlignment="1">
      <alignment horizontal="center"/>
    </xf>
    <xf numFmtId="0" fontId="13" fillId="0" borderId="21" xfId="2" applyFill="1" applyBorder="1" applyAlignment="1">
      <alignment horizontal="left"/>
    </xf>
    <xf numFmtId="1" fontId="13" fillId="0" borderId="21" xfId="2" applyNumberFormat="1" applyFill="1" applyBorder="1" applyAlignment="1">
      <alignment horizontal="center"/>
    </xf>
    <xf numFmtId="164" fontId="13" fillId="0" borderId="21" xfId="2" applyNumberFormat="1" applyFill="1" applyBorder="1" applyAlignment="1">
      <alignment horizontal="center"/>
    </xf>
    <xf numFmtId="0" fontId="0" fillId="0" borderId="84" xfId="2" applyFont="1" applyFill="1" applyBorder="1" applyAlignment="1">
      <alignment horizontal="left"/>
    </xf>
    <xf numFmtId="0" fontId="13" fillId="0" borderId="0" xfId="3" applyFill="1"/>
    <xf numFmtId="0" fontId="13" fillId="0" borderId="0" xfId="2" applyFill="1" applyAlignment="1">
      <alignment horizontal="left"/>
    </xf>
    <xf numFmtId="1" fontId="13" fillId="0" borderId="0" xfId="2" applyNumberFormat="1" applyFill="1" applyAlignment="1">
      <alignment horizontal="center"/>
    </xf>
    <xf numFmtId="164" fontId="13" fillId="0" borderId="0" xfId="2" applyNumberFormat="1" applyFill="1" applyAlignment="1">
      <alignment horizontal="center"/>
    </xf>
    <xf numFmtId="0" fontId="1" fillId="0" borderId="0" xfId="3" applyFont="1" applyFill="1"/>
    <xf numFmtId="1" fontId="1" fillId="0" borderId="0" xfId="2" applyNumberFormat="1" applyFont="1" applyFill="1" applyAlignment="1">
      <alignment horizontal="left"/>
    </xf>
  </cellXfs>
  <cellStyles count="4">
    <cellStyle name="Normal" xfId="0" builtinId="0"/>
    <cellStyle name="Normal 10" xfId="3" xr:uid="{8A35C540-F483-4309-8C36-42C6E72FF2E8}"/>
    <cellStyle name="Normal 8" xfId="2" xr:uid="{8B35CA48-E22B-4B4B-B469-A87F6939EDC3}"/>
    <cellStyle name="Normal_Sheet1" xfId="1" xr:uid="{51D307BB-556D-4A57-9DCE-631D1333E5E3}"/>
  </cellStyles>
  <dxfs count="0"/>
  <tableStyles count="0" defaultTableStyle="TableStyleMedium2" defaultPivotStyle="PivotStyleLight16"/>
  <colors>
    <mruColors>
      <color rgb="FFFF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175-07C1-4E0C-B3B1-1CB12A771D1E}">
  <dimension ref="A1:I17"/>
  <sheetViews>
    <sheetView tabSelected="1" workbookViewId="0">
      <pane xSplit="2" topLeftCell="C1" activePane="topRight" state="frozen"/>
      <selection pane="topRight" activeCell="B22" sqref="B22"/>
    </sheetView>
  </sheetViews>
  <sheetFormatPr defaultColWidth="9" defaultRowHeight="14.4" x14ac:dyDescent="0.3"/>
  <cols>
    <col min="1" max="1" width="15.88671875" style="231" bestFit="1" customWidth="1"/>
    <col min="2" max="2" width="17.5546875" style="216" customWidth="1"/>
    <col min="3" max="3" width="37.6640625" style="232" customWidth="1"/>
    <col min="4" max="4" width="29.5546875" style="232" customWidth="1"/>
    <col min="5" max="5" width="36.44140625" style="232" customWidth="1"/>
    <col min="6" max="6" width="8.5546875" style="233" customWidth="1"/>
    <col min="7" max="7" width="10.44140625" style="233" customWidth="1"/>
    <col min="8" max="8" width="8.5546875" style="234" customWidth="1"/>
    <col min="9" max="9" width="10.44140625" style="234" customWidth="1"/>
    <col min="10" max="16384" width="9" style="222"/>
  </cols>
  <sheetData>
    <row r="1" spans="1:9" x14ac:dyDescent="0.3">
      <c r="A1" s="235" t="s">
        <v>284</v>
      </c>
      <c r="F1" s="236" t="s">
        <v>283</v>
      </c>
    </row>
    <row r="2" spans="1:9" s="216" customFormat="1" x14ac:dyDescent="0.3">
      <c r="A2" s="211" t="s">
        <v>224</v>
      </c>
      <c r="B2" s="212" t="s">
        <v>225</v>
      </c>
      <c r="C2" s="213" t="s">
        <v>226</v>
      </c>
      <c r="D2" s="213" t="s">
        <v>227</v>
      </c>
      <c r="E2" s="213" t="s">
        <v>228</v>
      </c>
      <c r="F2" s="214" t="s">
        <v>47</v>
      </c>
      <c r="G2" s="214" t="s">
        <v>229</v>
      </c>
      <c r="H2" s="215" t="s">
        <v>230</v>
      </c>
      <c r="I2" s="215" t="s">
        <v>231</v>
      </c>
    </row>
    <row r="3" spans="1:9" x14ac:dyDescent="0.3">
      <c r="A3" s="217" t="s">
        <v>232</v>
      </c>
      <c r="B3" s="223" t="s">
        <v>235</v>
      </c>
      <c r="C3" s="224" t="s">
        <v>236</v>
      </c>
      <c r="D3" s="224" t="s">
        <v>233</v>
      </c>
      <c r="E3" s="224" t="s">
        <v>234</v>
      </c>
      <c r="F3" s="225">
        <v>681526</v>
      </c>
      <c r="G3" s="225">
        <v>4911572</v>
      </c>
      <c r="H3" s="226">
        <v>44.334720375769002</v>
      </c>
      <c r="I3" s="226">
        <v>-114.72302741383101</v>
      </c>
    </row>
    <row r="4" spans="1:9" x14ac:dyDescent="0.3">
      <c r="A4" s="217" t="s">
        <v>238</v>
      </c>
      <c r="B4" s="218">
        <v>213</v>
      </c>
      <c r="C4" s="219" t="s">
        <v>239</v>
      </c>
      <c r="D4" s="219" t="s">
        <v>240</v>
      </c>
      <c r="E4" s="219" t="s">
        <v>234</v>
      </c>
      <c r="F4" s="220">
        <v>681396</v>
      </c>
      <c r="G4" s="220">
        <v>4913037</v>
      </c>
      <c r="H4" s="221">
        <v>44.347931791553997</v>
      </c>
      <c r="I4" s="221">
        <v>-114.724146754188</v>
      </c>
    </row>
    <row r="5" spans="1:9" x14ac:dyDescent="0.3">
      <c r="A5" s="217" t="s">
        <v>241</v>
      </c>
      <c r="B5" s="218">
        <v>323</v>
      </c>
      <c r="C5" s="219" t="s">
        <v>242</v>
      </c>
      <c r="D5" s="219" t="s">
        <v>237</v>
      </c>
      <c r="E5" s="219" t="s">
        <v>243</v>
      </c>
      <c r="F5" s="220">
        <v>682791</v>
      </c>
      <c r="G5" s="220">
        <v>4917064</v>
      </c>
      <c r="H5" s="221">
        <v>44.383807529555703</v>
      </c>
      <c r="I5" s="221">
        <v>-114.70524395057799</v>
      </c>
    </row>
    <row r="6" spans="1:9" x14ac:dyDescent="0.3">
      <c r="A6" s="217" t="s">
        <v>245</v>
      </c>
      <c r="B6" s="218">
        <v>559</v>
      </c>
      <c r="C6" s="219" t="s">
        <v>246</v>
      </c>
      <c r="D6" s="219" t="s">
        <v>237</v>
      </c>
      <c r="E6" s="219" t="s">
        <v>244</v>
      </c>
      <c r="F6" s="220">
        <v>687012</v>
      </c>
      <c r="G6" s="220">
        <v>4919965</v>
      </c>
      <c r="H6" s="221">
        <v>44.408826372943501</v>
      </c>
      <c r="I6" s="221">
        <v>-114.651253108413</v>
      </c>
    </row>
    <row r="7" spans="1:9" x14ac:dyDescent="0.3">
      <c r="A7" s="217" t="s">
        <v>248</v>
      </c>
      <c r="B7" s="223" t="s">
        <v>249</v>
      </c>
      <c r="C7" s="230" t="s">
        <v>250</v>
      </c>
      <c r="D7" s="224" t="s">
        <v>233</v>
      </c>
      <c r="E7" s="224" t="s">
        <v>234</v>
      </c>
      <c r="F7" s="225">
        <v>682051</v>
      </c>
      <c r="G7" s="225">
        <v>4908682</v>
      </c>
      <c r="H7" s="226">
        <v>44.308590967940198</v>
      </c>
      <c r="I7" s="226">
        <v>-114.71745600812901</v>
      </c>
    </row>
    <row r="8" spans="1:9" x14ac:dyDescent="0.3">
      <c r="A8" s="217" t="s">
        <v>251</v>
      </c>
      <c r="B8" s="218">
        <v>777</v>
      </c>
      <c r="C8" s="219" t="s">
        <v>252</v>
      </c>
      <c r="D8" s="219" t="s">
        <v>240</v>
      </c>
      <c r="E8" s="219" t="s">
        <v>234</v>
      </c>
      <c r="F8" s="220">
        <v>681035</v>
      </c>
      <c r="G8" s="220">
        <v>4914153</v>
      </c>
      <c r="H8" s="221">
        <v>44.358061303136999</v>
      </c>
      <c r="I8" s="221">
        <v>-114.728284441922</v>
      </c>
    </row>
    <row r="9" spans="1:9" x14ac:dyDescent="0.3">
      <c r="A9" s="217" t="s">
        <v>253</v>
      </c>
      <c r="B9" s="218">
        <v>835</v>
      </c>
      <c r="C9" s="219" t="s">
        <v>254</v>
      </c>
      <c r="D9" s="219" t="s">
        <v>247</v>
      </c>
      <c r="E9" s="219" t="s">
        <v>234</v>
      </c>
      <c r="F9" s="220">
        <v>680957</v>
      </c>
      <c r="G9" s="220">
        <v>4914609</v>
      </c>
      <c r="H9" s="221">
        <v>44.3621828708268</v>
      </c>
      <c r="I9" s="221">
        <v>-114.72910393386999</v>
      </c>
    </row>
    <row r="10" spans="1:9" x14ac:dyDescent="0.3">
      <c r="A10" s="217" t="s">
        <v>256</v>
      </c>
      <c r="B10" s="223" t="s">
        <v>258</v>
      </c>
      <c r="C10" s="224" t="s">
        <v>259</v>
      </c>
      <c r="D10" s="224" t="s">
        <v>233</v>
      </c>
      <c r="E10" s="224" t="s">
        <v>257</v>
      </c>
      <c r="F10" s="225">
        <v>681542</v>
      </c>
      <c r="G10" s="225">
        <v>4911666</v>
      </c>
      <c r="H10" s="226">
        <v>44.335561986624597</v>
      </c>
      <c r="I10" s="226">
        <v>-114.722794133417</v>
      </c>
    </row>
    <row r="11" spans="1:9" x14ac:dyDescent="0.3">
      <c r="A11" s="217" t="s">
        <v>260</v>
      </c>
      <c r="B11" s="218">
        <v>1013</v>
      </c>
      <c r="C11" s="219" t="s">
        <v>261</v>
      </c>
      <c r="D11" s="219" t="s">
        <v>262</v>
      </c>
      <c r="E11" s="219" t="s">
        <v>255</v>
      </c>
      <c r="F11" s="220">
        <v>680704</v>
      </c>
      <c r="G11" s="220">
        <v>4913603</v>
      </c>
      <c r="H11" s="221">
        <v>44.3531960746081</v>
      </c>
      <c r="I11" s="221">
        <v>-114.732625649767</v>
      </c>
    </row>
    <row r="12" spans="1:9" x14ac:dyDescent="0.3">
      <c r="A12" s="217" t="s">
        <v>263</v>
      </c>
      <c r="B12" s="223" t="s">
        <v>264</v>
      </c>
      <c r="C12" s="224" t="s">
        <v>265</v>
      </c>
      <c r="D12" s="224" t="s">
        <v>233</v>
      </c>
      <c r="E12" s="224" t="s">
        <v>234</v>
      </c>
      <c r="F12" s="225">
        <v>681610</v>
      </c>
      <c r="G12" s="225">
        <v>4912098</v>
      </c>
      <c r="H12" s="226">
        <v>44.3394311895429</v>
      </c>
      <c r="I12" s="226">
        <v>-114.721791284937</v>
      </c>
    </row>
    <row r="13" spans="1:9" x14ac:dyDescent="0.3">
      <c r="A13" s="217" t="s">
        <v>267</v>
      </c>
      <c r="B13" s="218">
        <v>1503</v>
      </c>
      <c r="C13" s="219" t="s">
        <v>268</v>
      </c>
      <c r="D13" s="219" t="s">
        <v>240</v>
      </c>
      <c r="E13" s="219" t="s">
        <v>234</v>
      </c>
      <c r="F13" s="220">
        <v>681677</v>
      </c>
      <c r="G13" s="220">
        <v>4911654</v>
      </c>
      <c r="H13" s="221">
        <v>44.335420273799699</v>
      </c>
      <c r="I13" s="221">
        <v>-114.721106248903</v>
      </c>
    </row>
    <row r="14" spans="1:9" x14ac:dyDescent="0.3">
      <c r="A14" s="217" t="s">
        <v>269</v>
      </c>
      <c r="B14" s="223" t="s">
        <v>270</v>
      </c>
      <c r="C14" s="224" t="s">
        <v>271</v>
      </c>
      <c r="D14" s="224" t="s">
        <v>272</v>
      </c>
      <c r="E14" s="224"/>
      <c r="F14" s="225">
        <v>681075</v>
      </c>
      <c r="G14" s="225">
        <v>4913448</v>
      </c>
      <c r="H14" s="226">
        <v>44.3517092423252</v>
      </c>
      <c r="I14" s="226">
        <v>-114.728028077293</v>
      </c>
    </row>
    <row r="15" spans="1:9" x14ac:dyDescent="0.3">
      <c r="A15" s="217" t="s">
        <v>273</v>
      </c>
      <c r="B15" s="218">
        <v>1971</v>
      </c>
      <c r="C15" s="219" t="s">
        <v>274</v>
      </c>
      <c r="D15" s="219" t="s">
        <v>275</v>
      </c>
      <c r="E15" s="219" t="s">
        <v>276</v>
      </c>
      <c r="F15" s="220">
        <v>680861</v>
      </c>
      <c r="G15" s="220">
        <v>4913727</v>
      </c>
      <c r="H15" s="221">
        <v>44.354272453383501</v>
      </c>
      <c r="I15" s="221">
        <v>-114.730614163998</v>
      </c>
    </row>
    <row r="16" spans="1:9" x14ac:dyDescent="0.3">
      <c r="A16" s="217" t="s">
        <v>277</v>
      </c>
      <c r="B16" s="223" t="s">
        <v>278</v>
      </c>
      <c r="C16" s="224" t="s">
        <v>279</v>
      </c>
      <c r="D16" s="224" t="s">
        <v>233</v>
      </c>
      <c r="E16" s="224" t="s">
        <v>266</v>
      </c>
      <c r="F16" s="225">
        <v>681454</v>
      </c>
      <c r="G16" s="225">
        <v>4912518</v>
      </c>
      <c r="H16" s="226">
        <v>44.343248451006097</v>
      </c>
      <c r="I16" s="226">
        <v>-114.723600424563</v>
      </c>
    </row>
    <row r="17" spans="1:9" x14ac:dyDescent="0.3">
      <c r="A17" s="217" t="s">
        <v>280</v>
      </c>
      <c r="B17" s="212">
        <v>2166</v>
      </c>
      <c r="C17" s="227" t="s">
        <v>281</v>
      </c>
      <c r="D17" s="227" t="s">
        <v>247</v>
      </c>
      <c r="E17" s="227" t="s">
        <v>282</v>
      </c>
      <c r="F17" s="228">
        <v>681083</v>
      </c>
      <c r="G17" s="228">
        <v>4915010</v>
      </c>
      <c r="H17" s="229">
        <v>44.365758764340796</v>
      </c>
      <c r="I17" s="229">
        <v>-114.727384418524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10" max="10" width="17.88671875" customWidth="1"/>
    <col min="11" max="11" width="8.109375" customWidth="1"/>
    <col min="12" max="12" width="8.6640625" customWidth="1"/>
    <col min="13" max="15" width="8.44140625" customWidth="1"/>
  </cols>
  <sheetData>
    <row r="1" spans="1:15" ht="15" thickBot="1" x14ac:dyDescent="0.35">
      <c r="A1" s="84"/>
      <c r="B1" s="85"/>
      <c r="C1" s="85"/>
      <c r="D1" s="86" t="s">
        <v>60</v>
      </c>
      <c r="E1" s="85"/>
      <c r="F1" s="85"/>
      <c r="G1" s="85"/>
      <c r="H1" s="87"/>
      <c r="I1" s="88" t="s">
        <v>0</v>
      </c>
      <c r="J1" s="89"/>
      <c r="K1" s="210" t="s">
        <v>223</v>
      </c>
      <c r="L1" s="49"/>
      <c r="M1" s="50"/>
      <c r="N1" s="50"/>
    </row>
    <row r="2" spans="1:15" ht="15.6" thickTop="1" thickBot="1" x14ac:dyDescent="0.35">
      <c r="A2" s="90" t="s">
        <v>61</v>
      </c>
      <c r="B2" s="2" t="s">
        <v>72</v>
      </c>
      <c r="C2" s="2"/>
      <c r="D2" s="3"/>
      <c r="E2" s="2"/>
      <c r="F2" s="2"/>
      <c r="G2" s="6"/>
      <c r="H2" s="46"/>
      <c r="I2" s="56" t="s">
        <v>73</v>
      </c>
      <c r="J2" s="91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92" t="s">
        <v>5</v>
      </c>
      <c r="B3" s="93">
        <v>1013</v>
      </c>
      <c r="C3" s="7" t="s">
        <v>2</v>
      </c>
      <c r="D3" s="8"/>
      <c r="E3" s="7" t="s">
        <v>3</v>
      </c>
      <c r="F3" s="9"/>
      <c r="G3" s="94" t="s">
        <v>4</v>
      </c>
      <c r="H3" s="8"/>
      <c r="I3" s="22" t="s">
        <v>109</v>
      </c>
      <c r="J3" s="95">
        <v>1</v>
      </c>
      <c r="K3" s="204" t="s">
        <v>176</v>
      </c>
      <c r="L3" s="204">
        <f>SUMIFS($A$11:$A$401,$B$11:$B$401,"CH",$F$11:$F$401,"1")</f>
        <v>2</v>
      </c>
      <c r="M3" s="204" t="s">
        <v>7</v>
      </c>
      <c r="N3" s="204">
        <f>SUMIFS($A$11:$A$401,$B$11:$B$401,"RT",$F$11:$F$401,"1")</f>
        <v>5</v>
      </c>
      <c r="O3" s="204" t="s">
        <v>14</v>
      </c>
    </row>
    <row r="4" spans="1:15" ht="15.6" thickTop="1" thickBot="1" x14ac:dyDescent="0.35">
      <c r="A4" s="90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96" t="s">
        <v>10</v>
      </c>
      <c r="H4" s="15" t="s">
        <v>11</v>
      </c>
      <c r="I4" s="97" t="s">
        <v>68</v>
      </c>
      <c r="J4" s="95">
        <v>2</v>
      </c>
      <c r="K4" s="204" t="s">
        <v>177</v>
      </c>
      <c r="L4" s="204">
        <f>SUMIFS($A$11:$A$401,$B$11:$B$401,"CH",$F$11:$F$401,"2")</f>
        <v>1</v>
      </c>
      <c r="M4" s="204" t="s">
        <v>7</v>
      </c>
      <c r="N4" s="204">
        <f>SUMIFS($A$11:$A$401,$B$11:$B$401,"RT",$F$11:$F$401,"2")</f>
        <v>0</v>
      </c>
      <c r="O4" s="204" t="s">
        <v>14</v>
      </c>
    </row>
    <row r="5" spans="1:15" ht="15" thickTop="1" x14ac:dyDescent="0.3">
      <c r="A5" s="98" t="s">
        <v>67</v>
      </c>
      <c r="B5" s="55">
        <v>0.52430555555555558</v>
      </c>
      <c r="C5" s="11" t="s">
        <v>13</v>
      </c>
      <c r="D5" s="12" t="s">
        <v>14</v>
      </c>
      <c r="E5" s="13" t="s">
        <v>15</v>
      </c>
      <c r="F5" s="12" t="s">
        <v>16</v>
      </c>
      <c r="G5" s="96" t="s">
        <v>17</v>
      </c>
      <c r="H5" s="15" t="s">
        <v>18</v>
      </c>
      <c r="I5" s="97" t="s">
        <v>58</v>
      </c>
      <c r="J5" s="95">
        <v>3</v>
      </c>
      <c r="K5" s="204" t="s">
        <v>178</v>
      </c>
      <c r="L5" s="204">
        <f>SUMIFS($A$11:$A$401,$B$11:$B$401,"CH",$F$11:$F$401,"3")</f>
        <v>1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99" t="s">
        <v>12</v>
      </c>
      <c r="B6" s="161">
        <v>43698</v>
      </c>
      <c r="C6" s="11" t="s">
        <v>19</v>
      </c>
      <c r="D6" s="12" t="s">
        <v>20</v>
      </c>
      <c r="E6" s="13" t="s">
        <v>21</v>
      </c>
      <c r="F6" s="12" t="s">
        <v>22</v>
      </c>
      <c r="G6" s="96" t="s">
        <v>23</v>
      </c>
      <c r="H6" s="15" t="s">
        <v>24</v>
      </c>
      <c r="I6" s="97" t="s">
        <v>98</v>
      </c>
      <c r="J6" s="95">
        <v>4</v>
      </c>
      <c r="K6" s="204" t="s">
        <v>179</v>
      </c>
      <c r="L6" s="204">
        <f>SUMIFS($A$11:$A$401,$B$11:$B$401,"CH",$F$11:$F$401,"4")</f>
        <v>6</v>
      </c>
      <c r="M6" s="204" t="s">
        <v>7</v>
      </c>
      <c r="N6" s="204">
        <f>SUMIFS($A$11:$A$401,$B$11:$B$401,"RT",$F$11:$F$401,"4")</f>
        <v>0</v>
      </c>
      <c r="O6" s="204" t="s">
        <v>14</v>
      </c>
    </row>
    <row r="7" spans="1:15" x14ac:dyDescent="0.3">
      <c r="A7" s="100" t="s">
        <v>62</v>
      </c>
      <c r="B7" s="18">
        <v>14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97" t="s">
        <v>99</v>
      </c>
      <c r="J7" s="95">
        <v>5</v>
      </c>
      <c r="K7" s="204" t="s">
        <v>180</v>
      </c>
      <c r="L7" s="204">
        <f>SUMIFS($A$11:$A$401,$B$11:$B$401,"CH",$F$11:$F$401,"5")</f>
        <v>1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01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97"/>
      <c r="J8" s="95"/>
      <c r="K8" s="204" t="s">
        <v>181</v>
      </c>
      <c r="L8" s="204">
        <f>SUMIFS($A$11:$A$401,$B$11:$B$401,"CH",$F$11:$F$401,"6")</f>
        <v>1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01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102" t="s">
        <v>37</v>
      </c>
      <c r="H9" s="25"/>
      <c r="I9" s="28"/>
      <c r="J9" s="103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1</v>
      </c>
      <c r="O9" s="204" t="s">
        <v>14</v>
      </c>
    </row>
    <row r="10" spans="1:15" ht="15" thickTop="1" x14ac:dyDescent="0.3">
      <c r="A10" s="104" t="s">
        <v>33</v>
      </c>
      <c r="B10" s="22"/>
      <c r="C10" s="11" t="s">
        <v>38</v>
      </c>
      <c r="D10" s="12" t="s">
        <v>39</v>
      </c>
      <c r="E10" s="105" t="s">
        <v>40</v>
      </c>
      <c r="F10" s="27" t="s">
        <v>41</v>
      </c>
      <c r="G10" s="102" t="s">
        <v>42</v>
      </c>
      <c r="H10" s="9"/>
      <c r="I10" s="106" t="s">
        <v>43</v>
      </c>
      <c r="J10" s="107" t="s">
        <v>118</v>
      </c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108"/>
      <c r="B11" s="29"/>
      <c r="C11" s="28" t="s">
        <v>44</v>
      </c>
      <c r="D11" s="12" t="s">
        <v>45</v>
      </c>
      <c r="E11" s="105" t="s">
        <v>46</v>
      </c>
      <c r="F11" s="30" t="s">
        <v>69</v>
      </c>
      <c r="G11" s="22" t="s">
        <v>59</v>
      </c>
      <c r="H11" s="30" t="s">
        <v>47</v>
      </c>
      <c r="I11" s="97"/>
      <c r="J11" s="103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120" t="s">
        <v>48</v>
      </c>
      <c r="B12" s="33" t="s">
        <v>49</v>
      </c>
      <c r="C12" s="151" t="s">
        <v>50</v>
      </c>
      <c r="D12" s="153" t="s">
        <v>51</v>
      </c>
      <c r="E12" s="33" t="s">
        <v>52</v>
      </c>
      <c r="F12" s="33" t="s">
        <v>53</v>
      </c>
      <c r="G12" s="33" t="s">
        <v>54</v>
      </c>
      <c r="H12" s="33" t="s">
        <v>55</v>
      </c>
      <c r="I12" s="33" t="s">
        <v>56</v>
      </c>
      <c r="J12" s="121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ht="15" thickTop="1" x14ac:dyDescent="0.3">
      <c r="A13" s="122">
        <v>2</v>
      </c>
      <c r="B13" s="60" t="s">
        <v>7</v>
      </c>
      <c r="C13" s="128">
        <v>30</v>
      </c>
      <c r="D13" s="152" t="s">
        <v>109</v>
      </c>
      <c r="E13" s="130">
        <v>1</v>
      </c>
      <c r="F13" s="35">
        <v>1</v>
      </c>
      <c r="G13" s="35" t="s">
        <v>41</v>
      </c>
      <c r="H13" s="35" t="s">
        <v>120</v>
      </c>
      <c r="I13" s="74">
        <v>0.52430555555555558</v>
      </c>
      <c r="J13" s="123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109">
        <v>3</v>
      </c>
      <c r="B14" s="61" t="s">
        <v>14</v>
      </c>
      <c r="C14" s="82">
        <v>30</v>
      </c>
      <c r="D14" s="131" t="s">
        <v>109</v>
      </c>
      <c r="E14" s="130">
        <v>1</v>
      </c>
      <c r="F14" s="39">
        <v>1</v>
      </c>
      <c r="G14" s="35" t="s">
        <v>41</v>
      </c>
      <c r="H14" s="39" t="s">
        <v>102</v>
      </c>
      <c r="I14" s="39"/>
      <c r="J14" s="110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109">
        <v>2</v>
      </c>
      <c r="B15" s="61" t="s">
        <v>14</v>
      </c>
      <c r="C15" s="39">
        <v>60</v>
      </c>
      <c r="D15" s="131" t="s">
        <v>109</v>
      </c>
      <c r="E15" s="130">
        <v>1</v>
      </c>
      <c r="F15" s="39">
        <v>1</v>
      </c>
      <c r="G15" s="35" t="s">
        <v>41</v>
      </c>
      <c r="H15" s="39" t="s">
        <v>102</v>
      </c>
      <c r="I15" s="39"/>
      <c r="J15" s="110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109">
        <v>1</v>
      </c>
      <c r="B16" s="61" t="s">
        <v>32</v>
      </c>
      <c r="C16" s="39">
        <v>30</v>
      </c>
      <c r="D16" s="131" t="s">
        <v>68</v>
      </c>
      <c r="E16" s="130">
        <v>2</v>
      </c>
      <c r="F16" s="39">
        <v>2</v>
      </c>
      <c r="G16" s="35" t="s">
        <v>41</v>
      </c>
      <c r="H16" s="39" t="s">
        <v>102</v>
      </c>
      <c r="I16" s="39"/>
      <c r="J16" s="110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109">
        <v>1</v>
      </c>
      <c r="B17" s="61" t="s">
        <v>32</v>
      </c>
      <c r="C17" s="39">
        <v>10</v>
      </c>
      <c r="D17" s="131" t="s">
        <v>68</v>
      </c>
      <c r="E17" s="130">
        <v>2</v>
      </c>
      <c r="F17" s="35">
        <v>2</v>
      </c>
      <c r="G17" s="35" t="s">
        <v>41</v>
      </c>
      <c r="H17" s="39" t="s">
        <v>71</v>
      </c>
      <c r="I17" s="39"/>
      <c r="J17" s="110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6</v>
      </c>
      <c r="B18" s="61" t="s">
        <v>83</v>
      </c>
      <c r="C18" s="39">
        <v>250</v>
      </c>
      <c r="D18" s="131" t="s">
        <v>99</v>
      </c>
      <c r="E18" s="130">
        <v>5</v>
      </c>
      <c r="F18" s="39">
        <v>2</v>
      </c>
      <c r="G18" s="35" t="s">
        <v>41</v>
      </c>
      <c r="H18" s="39" t="s">
        <v>71</v>
      </c>
      <c r="I18" s="39"/>
      <c r="J18" s="110" t="s">
        <v>121</v>
      </c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1</v>
      </c>
      <c r="B19" s="61" t="s">
        <v>7</v>
      </c>
      <c r="C19" s="39">
        <v>30</v>
      </c>
      <c r="D19" s="131" t="s">
        <v>68</v>
      </c>
      <c r="E19" s="130">
        <v>2</v>
      </c>
      <c r="F19" s="39">
        <v>2</v>
      </c>
      <c r="G19" s="35" t="s">
        <v>41</v>
      </c>
      <c r="H19" s="39"/>
      <c r="I19" s="39"/>
      <c r="J19" s="110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1</v>
      </c>
      <c r="B20" s="61" t="s">
        <v>7</v>
      </c>
      <c r="C20" s="39">
        <v>50</v>
      </c>
      <c r="D20" s="131" t="s">
        <v>99</v>
      </c>
      <c r="E20" s="130">
        <v>5</v>
      </c>
      <c r="F20" s="39">
        <v>3</v>
      </c>
      <c r="G20" s="129" t="s">
        <v>111</v>
      </c>
      <c r="H20" s="39" t="s">
        <v>78</v>
      </c>
      <c r="I20" s="39"/>
      <c r="J20" s="110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1</v>
      </c>
      <c r="B21" s="61" t="s">
        <v>32</v>
      </c>
      <c r="C21" s="39">
        <v>50</v>
      </c>
      <c r="D21" s="131" t="s">
        <v>99</v>
      </c>
      <c r="E21" s="130">
        <v>5</v>
      </c>
      <c r="F21" s="35">
        <v>4</v>
      </c>
      <c r="G21" s="39" t="s">
        <v>22</v>
      </c>
      <c r="H21" s="39" t="s">
        <v>78</v>
      </c>
      <c r="I21" s="39"/>
      <c r="J21" s="110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1</v>
      </c>
      <c r="B22" s="61" t="s">
        <v>32</v>
      </c>
      <c r="C22" s="39">
        <v>75</v>
      </c>
      <c r="D22" s="131" t="s">
        <v>58</v>
      </c>
      <c r="E22" s="130">
        <v>2</v>
      </c>
      <c r="F22" s="39">
        <v>4</v>
      </c>
      <c r="G22" s="39" t="s">
        <v>22</v>
      </c>
      <c r="H22" s="39" t="s">
        <v>71</v>
      </c>
      <c r="I22" s="39"/>
      <c r="J22" s="110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6</v>
      </c>
      <c r="B23" s="61" t="s">
        <v>7</v>
      </c>
      <c r="C23" s="39">
        <v>30</v>
      </c>
      <c r="D23" s="131" t="s">
        <v>109</v>
      </c>
      <c r="E23" s="130">
        <v>1</v>
      </c>
      <c r="F23" s="39">
        <v>4</v>
      </c>
      <c r="G23" s="39" t="s">
        <v>22</v>
      </c>
      <c r="H23" s="39" t="s">
        <v>71</v>
      </c>
      <c r="I23" s="39"/>
      <c r="J23" s="110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09">
        <v>1</v>
      </c>
      <c r="B24" s="61" t="s">
        <v>7</v>
      </c>
      <c r="C24" s="39">
        <v>30</v>
      </c>
      <c r="D24" s="131" t="s">
        <v>109</v>
      </c>
      <c r="E24" s="130">
        <v>1</v>
      </c>
      <c r="F24" s="39">
        <v>5</v>
      </c>
      <c r="G24" s="39" t="s">
        <v>41</v>
      </c>
      <c r="H24" s="39" t="s">
        <v>71</v>
      </c>
      <c r="I24" s="39"/>
      <c r="J24" s="110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109">
        <v>1</v>
      </c>
      <c r="B25" s="61" t="s">
        <v>7</v>
      </c>
      <c r="C25" s="39">
        <v>30</v>
      </c>
      <c r="D25" s="131" t="s">
        <v>68</v>
      </c>
      <c r="E25" s="130">
        <v>1</v>
      </c>
      <c r="F25" s="39">
        <v>6</v>
      </c>
      <c r="G25" s="39" t="s">
        <v>111</v>
      </c>
      <c r="H25" s="39" t="s">
        <v>11</v>
      </c>
      <c r="I25" s="39"/>
      <c r="J25" s="110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109">
        <v>1</v>
      </c>
      <c r="B26" s="61" t="s">
        <v>32</v>
      </c>
      <c r="C26" s="39">
        <v>10</v>
      </c>
      <c r="D26" s="131" t="s">
        <v>68</v>
      </c>
      <c r="E26" s="130">
        <v>2</v>
      </c>
      <c r="F26" s="39">
        <v>6</v>
      </c>
      <c r="G26" s="39" t="s">
        <v>111</v>
      </c>
      <c r="H26" s="39" t="s">
        <v>71</v>
      </c>
      <c r="I26" s="39"/>
      <c r="J26" s="110" t="s">
        <v>122</v>
      </c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109">
        <v>1</v>
      </c>
      <c r="B27" s="61" t="s">
        <v>32</v>
      </c>
      <c r="C27" s="39">
        <v>60</v>
      </c>
      <c r="D27" s="131" t="s">
        <v>68</v>
      </c>
      <c r="E27" s="130">
        <v>2</v>
      </c>
      <c r="F27" s="39">
        <v>6</v>
      </c>
      <c r="G27" s="39" t="s">
        <v>111</v>
      </c>
      <c r="H27" s="39" t="s">
        <v>71</v>
      </c>
      <c r="I27" s="39"/>
      <c r="J27" s="110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109">
        <v>1</v>
      </c>
      <c r="B28" s="61" t="s">
        <v>14</v>
      </c>
      <c r="C28" s="39">
        <v>120</v>
      </c>
      <c r="D28" s="131" t="s">
        <v>98</v>
      </c>
      <c r="E28" s="130">
        <v>4</v>
      </c>
      <c r="F28" s="39">
        <v>7</v>
      </c>
      <c r="G28" s="39" t="s">
        <v>22</v>
      </c>
      <c r="H28" s="39" t="s">
        <v>71</v>
      </c>
      <c r="I28" s="39"/>
      <c r="J28" s="110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109">
        <v>1</v>
      </c>
      <c r="B29" s="61" t="s">
        <v>32</v>
      </c>
      <c r="C29" s="39">
        <v>60</v>
      </c>
      <c r="D29" s="131" t="s">
        <v>99</v>
      </c>
      <c r="E29" s="130">
        <v>5</v>
      </c>
      <c r="F29" s="39">
        <v>7</v>
      </c>
      <c r="G29" s="39" t="s">
        <v>22</v>
      </c>
      <c r="H29" s="39" t="s">
        <v>71</v>
      </c>
      <c r="I29" s="39"/>
      <c r="J29" s="110"/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ht="15" thickBot="1" x14ac:dyDescent="0.35">
      <c r="A30" s="113">
        <v>1</v>
      </c>
      <c r="B30" s="78" t="s">
        <v>119</v>
      </c>
      <c r="C30" s="78">
        <v>0</v>
      </c>
      <c r="D30" s="180" t="s">
        <v>99</v>
      </c>
      <c r="E30" s="181">
        <v>5</v>
      </c>
      <c r="F30" s="78">
        <v>7</v>
      </c>
      <c r="G30" s="78" t="s">
        <v>22</v>
      </c>
      <c r="H30" s="78" t="s">
        <v>71</v>
      </c>
      <c r="I30" s="192">
        <v>0.57291666666666663</v>
      </c>
      <c r="J30" s="125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1:15" x14ac:dyDescent="0.3"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1:15" x14ac:dyDescent="0.3"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1:15" x14ac:dyDescent="0.3"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1:15" x14ac:dyDescent="0.3"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1:15" x14ac:dyDescent="0.3"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1:15" x14ac:dyDescent="0.3"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1:15" x14ac:dyDescent="0.3"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1:15" x14ac:dyDescent="0.3"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1:15" x14ac:dyDescent="0.3"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1:15" x14ac:dyDescent="0.3"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1:15" x14ac:dyDescent="0.3"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1:15" x14ac:dyDescent="0.3"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1:15" x14ac:dyDescent="0.3">
      <c r="K45" s="204" t="s">
        <v>222</v>
      </c>
      <c r="L45" s="204">
        <f>SUM(L3:L44)</f>
        <v>12</v>
      </c>
      <c r="M45" s="204" t="s">
        <v>7</v>
      </c>
      <c r="N45" s="204">
        <f>SUM(N3:N44)</f>
        <v>6</v>
      </c>
      <c r="O45" s="204" t="s">
        <v>14</v>
      </c>
    </row>
    <row r="46" spans="11:15" x14ac:dyDescent="0.3">
      <c r="K46" s="204"/>
      <c r="L46" s="204"/>
      <c r="M46" s="204"/>
      <c r="N46" s="204"/>
    </row>
    <row r="47" spans="11:15" x14ac:dyDescent="0.3">
      <c r="K47" s="204"/>
      <c r="N47" s="204"/>
    </row>
    <row r="48" spans="11:15" x14ac:dyDescent="0.3"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23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9" max="9" width="6.88671875" customWidth="1"/>
    <col min="10" max="10" width="19.88671875" bestFit="1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97</v>
      </c>
      <c r="J1" s="182" t="s">
        <v>103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68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 t="s">
        <v>220</v>
      </c>
      <c r="C3" s="7" t="s">
        <v>2</v>
      </c>
      <c r="D3" s="8"/>
      <c r="E3" s="7" t="s">
        <v>3</v>
      </c>
      <c r="F3" s="9"/>
      <c r="G3" s="10" t="s">
        <v>4</v>
      </c>
      <c r="H3" s="8"/>
      <c r="J3" s="9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166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/>
      <c r="J4" s="9" t="s">
        <v>98</v>
      </c>
      <c r="K4" s="204" t="s">
        <v>177</v>
      </c>
      <c r="L4" s="204">
        <f>SUMIFS($A$11:$A$401,$B$11:$B$401,"CH",$F$11:$F$401,"2")</f>
        <v>0</v>
      </c>
      <c r="M4" s="204" t="s">
        <v>7</v>
      </c>
      <c r="N4" s="204">
        <f>SUMIFS($A$11:$A$401,$B$11:$B$401,"RT",$F$11:$F$401,"2")</f>
        <v>137</v>
      </c>
      <c r="O4" s="204" t="s">
        <v>14</v>
      </c>
    </row>
    <row r="5" spans="1:15" ht="15" thickTop="1" x14ac:dyDescent="0.3">
      <c r="A5" s="54" t="s">
        <v>67</v>
      </c>
      <c r="B5" s="55">
        <v>0.5805555555555556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/>
      <c r="J5" s="9" t="s">
        <v>99</v>
      </c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46</v>
      </c>
      <c r="O5" s="204" t="s">
        <v>14</v>
      </c>
    </row>
    <row r="6" spans="1:15" x14ac:dyDescent="0.3">
      <c r="A6" s="53" t="s">
        <v>12</v>
      </c>
      <c r="B6" s="161">
        <v>43704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/>
      <c r="J6" s="9" t="s">
        <v>72</v>
      </c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15</v>
      </c>
      <c r="O6" s="204" t="s">
        <v>14</v>
      </c>
    </row>
    <row r="7" spans="1:15" x14ac:dyDescent="0.3">
      <c r="A7" s="47" t="s">
        <v>62</v>
      </c>
      <c r="B7" s="18">
        <v>14</v>
      </c>
      <c r="C7" s="11" t="s">
        <v>26</v>
      </c>
      <c r="D7" s="12" t="s">
        <v>27</v>
      </c>
      <c r="E7" s="11" t="s">
        <v>87</v>
      </c>
      <c r="F7" s="12" t="s">
        <v>76</v>
      </c>
      <c r="G7" s="19" t="s">
        <v>65</v>
      </c>
      <c r="H7" s="15" t="s">
        <v>63</v>
      </c>
      <c r="I7" s="50"/>
      <c r="J7" s="9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83</v>
      </c>
      <c r="O7" s="204" t="s">
        <v>14</v>
      </c>
    </row>
    <row r="8" spans="1:15" ht="15" thickBot="1" x14ac:dyDescent="0.35">
      <c r="A8" s="16" t="s">
        <v>25</v>
      </c>
      <c r="B8" s="41">
        <v>1</v>
      </c>
      <c r="C8" s="13" t="s">
        <v>82</v>
      </c>
      <c r="D8" s="12" t="s">
        <v>83</v>
      </c>
      <c r="E8" s="13" t="s">
        <v>88</v>
      </c>
      <c r="F8" s="12" t="s">
        <v>70</v>
      </c>
      <c r="G8" s="21" t="s">
        <v>66</v>
      </c>
      <c r="H8" s="15" t="s">
        <v>64</v>
      </c>
      <c r="I8" s="50"/>
      <c r="J8" s="9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17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116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/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618</v>
      </c>
      <c r="O10" s="204" t="s">
        <v>14</v>
      </c>
    </row>
    <row r="11" spans="1:15" ht="15" thickBot="1" x14ac:dyDescent="0.35">
      <c r="A11" s="11"/>
      <c r="B11" s="22"/>
      <c r="C11" s="11" t="s">
        <v>44</v>
      </c>
      <c r="D11" s="12" t="s">
        <v>45</v>
      </c>
      <c r="E11" s="26" t="s">
        <v>46</v>
      </c>
      <c r="F11" s="12" t="s">
        <v>69</v>
      </c>
      <c r="G11" t="s">
        <v>59</v>
      </c>
      <c r="H11" s="12" t="s">
        <v>47</v>
      </c>
      <c r="I11" s="50"/>
      <c r="J11" s="8" t="s">
        <v>107</v>
      </c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36</v>
      </c>
      <c r="O11" s="204" t="s">
        <v>14</v>
      </c>
    </row>
    <row r="12" spans="1:15" ht="15" thickBot="1" x14ac:dyDescent="0.35">
      <c r="A12" s="141" t="s">
        <v>48</v>
      </c>
      <c r="B12" s="142" t="s">
        <v>49</v>
      </c>
      <c r="C12" s="142" t="s">
        <v>50</v>
      </c>
      <c r="D12" s="142" t="s">
        <v>51</v>
      </c>
      <c r="E12" s="142" t="s">
        <v>52</v>
      </c>
      <c r="F12" s="142" t="s">
        <v>53</v>
      </c>
      <c r="G12" s="142" t="s">
        <v>54</v>
      </c>
      <c r="H12" s="142" t="s">
        <v>55</v>
      </c>
      <c r="I12" s="142" t="s">
        <v>56</v>
      </c>
      <c r="J12" s="143" t="s">
        <v>57</v>
      </c>
      <c r="K12" s="204" t="s">
        <v>185</v>
      </c>
      <c r="L12" s="204">
        <f>SUMIFS($A$11:$A$401,$B$11:$B$401,"CH",$F$11:$F$401,"10")</f>
        <v>1</v>
      </c>
      <c r="M12" s="204" t="s">
        <v>7</v>
      </c>
      <c r="N12" s="204">
        <f>SUMIFS($A$11:$A$401,$B$11:$B$401,"RT",$F$11:$F$401,"10")</f>
        <v>90</v>
      </c>
      <c r="O12" s="204" t="s">
        <v>14</v>
      </c>
    </row>
    <row r="13" spans="1:15" ht="15" thickTop="1" x14ac:dyDescent="0.3">
      <c r="A13" s="109">
        <v>10</v>
      </c>
      <c r="B13" s="61" t="s">
        <v>14</v>
      </c>
      <c r="C13" s="39">
        <v>50</v>
      </c>
      <c r="D13" s="82" t="s">
        <v>72</v>
      </c>
      <c r="E13" s="35">
        <v>3</v>
      </c>
      <c r="F13" s="35">
        <v>1</v>
      </c>
      <c r="G13" s="35" t="s">
        <v>22</v>
      </c>
      <c r="H13" s="39" t="s">
        <v>71</v>
      </c>
      <c r="I13" s="39">
        <v>1356</v>
      </c>
      <c r="J13" s="110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109">
        <v>10</v>
      </c>
      <c r="B14" s="61" t="s">
        <v>14</v>
      </c>
      <c r="C14" s="39">
        <v>50</v>
      </c>
      <c r="D14" s="82" t="s">
        <v>72</v>
      </c>
      <c r="E14" s="35">
        <v>3</v>
      </c>
      <c r="F14" s="35">
        <v>1</v>
      </c>
      <c r="G14" s="35" t="s">
        <v>22</v>
      </c>
      <c r="H14" s="39" t="s">
        <v>71</v>
      </c>
      <c r="I14" s="39"/>
      <c r="J14" s="110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109">
        <v>25</v>
      </c>
      <c r="B15" s="61" t="s">
        <v>14</v>
      </c>
      <c r="C15" s="39">
        <v>50</v>
      </c>
      <c r="D15" s="82" t="s">
        <v>98</v>
      </c>
      <c r="E15" s="35">
        <v>1</v>
      </c>
      <c r="F15" s="35">
        <v>1</v>
      </c>
      <c r="G15" s="35" t="s">
        <v>22</v>
      </c>
      <c r="H15" s="39" t="s">
        <v>71</v>
      </c>
      <c r="I15" s="39"/>
      <c r="J15" s="110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109">
        <v>3</v>
      </c>
      <c r="B16" s="61" t="s">
        <v>83</v>
      </c>
      <c r="C16" s="39">
        <v>50</v>
      </c>
      <c r="D16" s="82" t="s">
        <v>98</v>
      </c>
      <c r="E16" s="35">
        <v>1</v>
      </c>
      <c r="F16" s="35">
        <v>1</v>
      </c>
      <c r="G16" s="35" t="s">
        <v>22</v>
      </c>
      <c r="H16" s="39" t="s">
        <v>71</v>
      </c>
      <c r="I16" s="39"/>
      <c r="J16" s="110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109">
        <v>10</v>
      </c>
      <c r="B17" s="61" t="s">
        <v>14</v>
      </c>
      <c r="C17" s="39">
        <v>40</v>
      </c>
      <c r="D17" s="82" t="s">
        <v>72</v>
      </c>
      <c r="E17" s="35">
        <v>3</v>
      </c>
      <c r="F17" s="35">
        <v>1</v>
      </c>
      <c r="G17" s="35" t="s">
        <v>22</v>
      </c>
      <c r="H17" s="39" t="s">
        <v>100</v>
      </c>
      <c r="I17" s="39"/>
      <c r="J17" s="110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10</v>
      </c>
      <c r="B18" s="61" t="s">
        <v>14</v>
      </c>
      <c r="C18" s="39">
        <v>40</v>
      </c>
      <c r="D18" s="82" t="s">
        <v>72</v>
      </c>
      <c r="E18" s="35">
        <v>1</v>
      </c>
      <c r="F18" s="39">
        <v>1</v>
      </c>
      <c r="G18" s="35" t="s">
        <v>22</v>
      </c>
      <c r="H18" s="39" t="s">
        <v>71</v>
      </c>
      <c r="I18" s="39"/>
      <c r="J18" s="110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1</v>
      </c>
      <c r="B19" s="61" t="s">
        <v>83</v>
      </c>
      <c r="C19" s="39">
        <v>50</v>
      </c>
      <c r="D19" s="82" t="s">
        <v>98</v>
      </c>
      <c r="E19" s="35">
        <v>1</v>
      </c>
      <c r="F19" s="39">
        <v>1</v>
      </c>
      <c r="G19" s="35" t="s">
        <v>22</v>
      </c>
      <c r="H19" s="39" t="s">
        <v>71</v>
      </c>
      <c r="I19" s="39"/>
      <c r="J19" s="110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12</v>
      </c>
      <c r="B20" s="61" t="s">
        <v>14</v>
      </c>
      <c r="C20" s="39">
        <v>50</v>
      </c>
      <c r="D20" s="39" t="s">
        <v>72</v>
      </c>
      <c r="E20" s="39">
        <v>3</v>
      </c>
      <c r="F20" s="39">
        <v>1</v>
      </c>
      <c r="G20" s="35" t="s">
        <v>22</v>
      </c>
      <c r="H20" s="39" t="s">
        <v>100</v>
      </c>
      <c r="I20" s="39"/>
      <c r="J20" s="110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20</v>
      </c>
      <c r="B21" s="61" t="s">
        <v>14</v>
      </c>
      <c r="C21" s="39">
        <v>40</v>
      </c>
      <c r="D21" s="39" t="s">
        <v>98</v>
      </c>
      <c r="E21" s="39">
        <v>1</v>
      </c>
      <c r="F21" s="39">
        <v>1</v>
      </c>
      <c r="G21" s="35" t="s">
        <v>22</v>
      </c>
      <c r="H21" s="39" t="s">
        <v>71</v>
      </c>
      <c r="I21" s="39"/>
      <c r="J21" s="110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1</v>
      </c>
      <c r="B22" s="61" t="s">
        <v>83</v>
      </c>
      <c r="C22" s="39">
        <v>50</v>
      </c>
      <c r="D22" s="39" t="s">
        <v>98</v>
      </c>
      <c r="E22" s="39">
        <v>1</v>
      </c>
      <c r="F22" s="39">
        <v>1</v>
      </c>
      <c r="G22" s="35" t="s">
        <v>22</v>
      </c>
      <c r="H22" s="39" t="s">
        <v>71</v>
      </c>
      <c r="I22" s="39"/>
      <c r="J22" s="110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5</v>
      </c>
      <c r="B23" s="61" t="s">
        <v>14</v>
      </c>
      <c r="C23" s="39">
        <v>40</v>
      </c>
      <c r="D23" s="39" t="s">
        <v>72</v>
      </c>
      <c r="E23" s="39">
        <v>3</v>
      </c>
      <c r="F23" s="39">
        <v>1</v>
      </c>
      <c r="G23" s="39" t="s">
        <v>22</v>
      </c>
      <c r="H23" s="39" t="s">
        <v>18</v>
      </c>
      <c r="I23" s="39"/>
      <c r="J23" s="110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09">
        <v>7</v>
      </c>
      <c r="B24" s="61" t="s">
        <v>14</v>
      </c>
      <c r="C24" s="39">
        <v>50</v>
      </c>
      <c r="D24" s="39" t="s">
        <v>72</v>
      </c>
      <c r="E24" s="39">
        <v>3</v>
      </c>
      <c r="F24" s="39">
        <v>1</v>
      </c>
      <c r="G24" s="39" t="s">
        <v>22</v>
      </c>
      <c r="H24" s="39" t="s">
        <v>71</v>
      </c>
      <c r="I24" s="39"/>
      <c r="J24" s="110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109">
        <v>25</v>
      </c>
      <c r="B25" s="61" t="s">
        <v>14</v>
      </c>
      <c r="C25" s="39">
        <v>40</v>
      </c>
      <c r="D25" s="39" t="s">
        <v>98</v>
      </c>
      <c r="E25" s="39">
        <v>1</v>
      </c>
      <c r="F25" s="39">
        <v>1</v>
      </c>
      <c r="G25" s="39" t="s">
        <v>22</v>
      </c>
      <c r="H25" s="39" t="s">
        <v>71</v>
      </c>
      <c r="I25" s="39"/>
      <c r="J25" s="110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109">
        <v>5</v>
      </c>
      <c r="B26" s="61" t="s">
        <v>14</v>
      </c>
      <c r="C26" s="39">
        <v>30</v>
      </c>
      <c r="D26" s="39" t="s">
        <v>99</v>
      </c>
      <c r="E26" s="39">
        <v>2</v>
      </c>
      <c r="F26" s="39">
        <v>1</v>
      </c>
      <c r="G26" s="39" t="s">
        <v>22</v>
      </c>
      <c r="H26" s="39" t="s">
        <v>71</v>
      </c>
      <c r="I26" s="39"/>
      <c r="J26" s="110"/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109">
        <v>10</v>
      </c>
      <c r="B27" s="61" t="s">
        <v>14</v>
      </c>
      <c r="C27" s="39">
        <v>40</v>
      </c>
      <c r="D27" s="39" t="s">
        <v>98</v>
      </c>
      <c r="E27" s="39">
        <v>1</v>
      </c>
      <c r="F27" s="39">
        <v>1</v>
      </c>
      <c r="G27" s="39" t="s">
        <v>22</v>
      </c>
      <c r="H27" s="39" t="s">
        <v>101</v>
      </c>
      <c r="I27" s="39"/>
      <c r="J27" s="110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109">
        <v>1</v>
      </c>
      <c r="B28" s="61" t="s">
        <v>14</v>
      </c>
      <c r="C28" s="39">
        <v>30</v>
      </c>
      <c r="D28" s="39" t="s">
        <v>72</v>
      </c>
      <c r="E28" s="39">
        <v>3</v>
      </c>
      <c r="F28" s="39">
        <v>1</v>
      </c>
      <c r="G28" s="39" t="s">
        <v>22</v>
      </c>
      <c r="H28" s="39" t="s">
        <v>100</v>
      </c>
      <c r="I28" s="39"/>
      <c r="J28" s="110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109">
        <v>1</v>
      </c>
      <c r="B29" s="61" t="s">
        <v>14</v>
      </c>
      <c r="C29" s="39">
        <v>40</v>
      </c>
      <c r="D29" s="39" t="s">
        <v>72</v>
      </c>
      <c r="E29" s="39">
        <v>2</v>
      </c>
      <c r="F29" s="39">
        <v>1</v>
      </c>
      <c r="G29" s="39" t="s">
        <v>22</v>
      </c>
      <c r="H29" s="39" t="s">
        <v>81</v>
      </c>
      <c r="I29" s="39"/>
      <c r="J29" s="110"/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109">
        <v>15</v>
      </c>
      <c r="B30" s="61" t="s">
        <v>14</v>
      </c>
      <c r="C30" s="39">
        <v>40</v>
      </c>
      <c r="D30" s="39" t="s">
        <v>99</v>
      </c>
      <c r="E30" s="39">
        <v>1</v>
      </c>
      <c r="F30" s="39">
        <v>1</v>
      </c>
      <c r="G30" s="39" t="s">
        <v>22</v>
      </c>
      <c r="H30" s="39" t="s">
        <v>71</v>
      </c>
      <c r="I30" s="39"/>
      <c r="J30" s="110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109">
        <v>10</v>
      </c>
      <c r="B31" s="61" t="s">
        <v>14</v>
      </c>
      <c r="C31" s="39">
        <v>40</v>
      </c>
      <c r="D31" s="39" t="s">
        <v>98</v>
      </c>
      <c r="E31" s="39">
        <v>2</v>
      </c>
      <c r="F31" s="39">
        <v>2</v>
      </c>
      <c r="G31" s="39" t="s">
        <v>41</v>
      </c>
      <c r="H31" s="39" t="s">
        <v>71</v>
      </c>
      <c r="I31" s="68"/>
      <c r="J31" s="110"/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138">
        <v>12</v>
      </c>
      <c r="B32" s="80" t="s">
        <v>14</v>
      </c>
      <c r="C32" s="80">
        <v>40</v>
      </c>
      <c r="D32" s="80" t="s">
        <v>72</v>
      </c>
      <c r="E32" s="69">
        <v>3</v>
      </c>
      <c r="F32" s="39">
        <v>2</v>
      </c>
      <c r="G32" s="39" t="s">
        <v>41</v>
      </c>
      <c r="H32" s="39" t="s">
        <v>81</v>
      </c>
      <c r="I32" s="69"/>
      <c r="J32" s="116"/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138">
        <v>5</v>
      </c>
      <c r="B33" s="80" t="s">
        <v>14</v>
      </c>
      <c r="C33" s="80">
        <v>40</v>
      </c>
      <c r="D33" s="69" t="s">
        <v>72</v>
      </c>
      <c r="E33" s="69">
        <v>3</v>
      </c>
      <c r="F33" s="39">
        <v>2</v>
      </c>
      <c r="G33" s="39" t="s">
        <v>41</v>
      </c>
      <c r="H33" s="39" t="s">
        <v>101</v>
      </c>
      <c r="I33" s="69"/>
      <c r="J33" s="116"/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x14ac:dyDescent="0.3">
      <c r="A34" s="138">
        <v>20</v>
      </c>
      <c r="B34" s="80" t="s">
        <v>14</v>
      </c>
      <c r="C34" s="80">
        <v>40</v>
      </c>
      <c r="D34" s="69" t="s">
        <v>98</v>
      </c>
      <c r="E34" s="69">
        <v>1</v>
      </c>
      <c r="F34" s="39">
        <v>2</v>
      </c>
      <c r="G34" s="39" t="s">
        <v>41</v>
      </c>
      <c r="H34" s="39" t="s">
        <v>102</v>
      </c>
      <c r="I34" s="69"/>
      <c r="J34" s="116"/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A35" s="138">
        <v>5</v>
      </c>
      <c r="B35" s="80" t="s">
        <v>14</v>
      </c>
      <c r="C35" s="80">
        <v>40</v>
      </c>
      <c r="D35" s="69" t="s">
        <v>98</v>
      </c>
      <c r="E35" s="69">
        <v>1</v>
      </c>
      <c r="F35" s="69">
        <v>2</v>
      </c>
      <c r="G35" s="39" t="s">
        <v>41</v>
      </c>
      <c r="H35" s="39" t="s">
        <v>102</v>
      </c>
      <c r="I35" s="69"/>
      <c r="J35" s="116"/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A36" s="138">
        <v>10</v>
      </c>
      <c r="B36" s="80" t="s">
        <v>14</v>
      </c>
      <c r="C36" s="80">
        <v>40</v>
      </c>
      <c r="D36" s="69" t="s">
        <v>98</v>
      </c>
      <c r="E36" s="69">
        <v>1</v>
      </c>
      <c r="F36" s="69">
        <v>2</v>
      </c>
      <c r="G36" s="39" t="s">
        <v>41</v>
      </c>
      <c r="H36" s="39" t="s">
        <v>81</v>
      </c>
      <c r="I36" s="69"/>
      <c r="J36" s="116"/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A37" s="138">
        <v>10</v>
      </c>
      <c r="B37" s="80" t="s">
        <v>14</v>
      </c>
      <c r="C37" s="80">
        <v>30</v>
      </c>
      <c r="D37" s="69" t="s">
        <v>72</v>
      </c>
      <c r="E37" s="69">
        <v>3</v>
      </c>
      <c r="F37" s="69">
        <v>2</v>
      </c>
      <c r="G37" s="39" t="s">
        <v>41</v>
      </c>
      <c r="H37" s="39" t="s">
        <v>81</v>
      </c>
      <c r="I37" s="69"/>
      <c r="J37" s="116"/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x14ac:dyDescent="0.3">
      <c r="A38" s="138">
        <v>15</v>
      </c>
      <c r="B38" s="80" t="s">
        <v>14</v>
      </c>
      <c r="C38" s="80">
        <v>50</v>
      </c>
      <c r="D38" s="69" t="s">
        <v>72</v>
      </c>
      <c r="E38" s="69">
        <v>3</v>
      </c>
      <c r="F38" s="69">
        <v>2</v>
      </c>
      <c r="G38" s="39" t="s">
        <v>41</v>
      </c>
      <c r="H38" s="39" t="s">
        <v>81</v>
      </c>
      <c r="I38" s="69"/>
      <c r="J38" s="116"/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x14ac:dyDescent="0.3">
      <c r="A39" s="156">
        <v>1</v>
      </c>
      <c r="B39" s="35" t="s">
        <v>14</v>
      </c>
      <c r="C39" s="35">
        <v>50</v>
      </c>
      <c r="D39" s="35" t="s">
        <v>99</v>
      </c>
      <c r="E39" s="35">
        <v>2</v>
      </c>
      <c r="F39" s="35">
        <v>2</v>
      </c>
      <c r="G39" s="39" t="s">
        <v>41</v>
      </c>
      <c r="H39" s="35" t="s">
        <v>81</v>
      </c>
      <c r="I39" s="35"/>
      <c r="J39" s="123"/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A40" s="111">
        <v>1</v>
      </c>
      <c r="B40" s="39" t="s">
        <v>14</v>
      </c>
      <c r="C40" s="39">
        <v>40</v>
      </c>
      <c r="D40" s="39" t="s">
        <v>98</v>
      </c>
      <c r="E40" s="39">
        <v>1</v>
      </c>
      <c r="F40" s="39">
        <v>2</v>
      </c>
      <c r="G40" s="39" t="s">
        <v>41</v>
      </c>
      <c r="H40" s="39" t="s">
        <v>81</v>
      </c>
      <c r="I40" s="39"/>
      <c r="J40" s="110"/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A41" s="111">
        <v>6</v>
      </c>
      <c r="B41" s="39" t="s">
        <v>14</v>
      </c>
      <c r="C41" s="39">
        <v>40</v>
      </c>
      <c r="D41" s="39" t="s">
        <v>98</v>
      </c>
      <c r="E41" s="39">
        <v>1</v>
      </c>
      <c r="F41" s="39">
        <v>2</v>
      </c>
      <c r="G41" s="39" t="s">
        <v>41</v>
      </c>
      <c r="H41" s="39" t="s">
        <v>102</v>
      </c>
      <c r="I41" s="39"/>
      <c r="J41" s="110"/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x14ac:dyDescent="0.3">
      <c r="A42" s="111">
        <v>8</v>
      </c>
      <c r="B42" s="39" t="s">
        <v>14</v>
      </c>
      <c r="C42" s="39">
        <v>40</v>
      </c>
      <c r="D42" s="39" t="s">
        <v>72</v>
      </c>
      <c r="E42" s="39">
        <v>3</v>
      </c>
      <c r="F42" s="39">
        <v>2</v>
      </c>
      <c r="G42" s="39" t="s">
        <v>41</v>
      </c>
      <c r="H42" s="39" t="s">
        <v>102</v>
      </c>
      <c r="I42" s="39"/>
      <c r="J42" s="110"/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A43" s="111">
        <v>1</v>
      </c>
      <c r="B43" s="39" t="s">
        <v>14</v>
      </c>
      <c r="C43" s="39">
        <v>60</v>
      </c>
      <c r="D43" s="39" t="s">
        <v>99</v>
      </c>
      <c r="E43" s="39">
        <v>2</v>
      </c>
      <c r="F43" s="39">
        <v>2</v>
      </c>
      <c r="G43" s="39" t="s">
        <v>41</v>
      </c>
      <c r="H43" s="39" t="s">
        <v>71</v>
      </c>
      <c r="I43" s="39"/>
      <c r="J43" s="110"/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A44" s="111">
        <v>6</v>
      </c>
      <c r="B44" s="39" t="s">
        <v>14</v>
      </c>
      <c r="C44" s="39">
        <v>30</v>
      </c>
      <c r="D44" s="39" t="s">
        <v>72</v>
      </c>
      <c r="E44" s="39">
        <v>3</v>
      </c>
      <c r="F44" s="39">
        <v>2</v>
      </c>
      <c r="G44" s="39" t="s">
        <v>41</v>
      </c>
      <c r="H44" s="39" t="s">
        <v>102</v>
      </c>
      <c r="I44" s="39"/>
      <c r="J44" s="110"/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A45" s="111">
        <v>7</v>
      </c>
      <c r="B45" s="39" t="s">
        <v>14</v>
      </c>
      <c r="C45" s="39">
        <v>40</v>
      </c>
      <c r="D45" s="39" t="s">
        <v>98</v>
      </c>
      <c r="E45" s="39">
        <v>1</v>
      </c>
      <c r="F45" s="39">
        <v>2</v>
      </c>
      <c r="G45" s="39" t="s">
        <v>41</v>
      </c>
      <c r="H45" s="39" t="s">
        <v>71</v>
      </c>
      <c r="I45" s="39"/>
      <c r="J45" s="110"/>
      <c r="K45" s="204" t="s">
        <v>222</v>
      </c>
      <c r="L45" s="204">
        <f>SUM(L3:L44)</f>
        <v>1</v>
      </c>
      <c r="M45" s="204" t="s">
        <v>7</v>
      </c>
      <c r="N45" s="204">
        <f>SUM(N3:N44)</f>
        <v>1324</v>
      </c>
      <c r="O45" s="204" t="s">
        <v>14</v>
      </c>
    </row>
    <row r="46" spans="1:15" ht="15" thickBot="1" x14ac:dyDescent="0.35">
      <c r="A46" s="113">
        <v>20</v>
      </c>
      <c r="B46" s="78" t="s">
        <v>14</v>
      </c>
      <c r="C46" s="78">
        <v>40</v>
      </c>
      <c r="D46" s="78" t="s">
        <v>98</v>
      </c>
      <c r="E46" s="78">
        <v>1</v>
      </c>
      <c r="F46" s="78">
        <v>2</v>
      </c>
      <c r="G46" s="39" t="s">
        <v>41</v>
      </c>
      <c r="H46" s="78" t="s">
        <v>71</v>
      </c>
      <c r="I46" s="78"/>
      <c r="J46" s="125"/>
      <c r="K46" s="204"/>
      <c r="L46" s="204"/>
      <c r="M46" s="204"/>
      <c r="N46" s="204"/>
    </row>
    <row r="47" spans="1:15" x14ac:dyDescent="0.3">
      <c r="A47" s="156">
        <v>5</v>
      </c>
      <c r="B47" s="35" t="s">
        <v>14</v>
      </c>
      <c r="C47" s="35">
        <v>50</v>
      </c>
      <c r="D47" s="35" t="s">
        <v>99</v>
      </c>
      <c r="E47" s="35">
        <v>2</v>
      </c>
      <c r="F47" s="35">
        <v>3</v>
      </c>
      <c r="G47" s="35" t="s">
        <v>22</v>
      </c>
      <c r="H47" s="35" t="s">
        <v>71</v>
      </c>
      <c r="I47" s="35"/>
      <c r="J47" s="123"/>
      <c r="K47" s="204"/>
      <c r="N47" s="204"/>
    </row>
    <row r="48" spans="1:15" x14ac:dyDescent="0.3">
      <c r="A48" s="111">
        <v>1</v>
      </c>
      <c r="B48" s="39" t="s">
        <v>14</v>
      </c>
      <c r="C48" s="39">
        <v>60</v>
      </c>
      <c r="D48" s="39" t="s">
        <v>99</v>
      </c>
      <c r="E48" s="39">
        <v>2</v>
      </c>
      <c r="F48" s="39">
        <v>3</v>
      </c>
      <c r="G48" s="39" t="s">
        <v>22</v>
      </c>
      <c r="H48" s="39" t="s">
        <v>71</v>
      </c>
      <c r="I48" s="39"/>
      <c r="J48" s="110"/>
      <c r="K48" s="204"/>
      <c r="N48" s="204"/>
    </row>
    <row r="49" spans="1:14" x14ac:dyDescent="0.3">
      <c r="A49" s="111">
        <v>40</v>
      </c>
      <c r="B49" s="39" t="s">
        <v>14</v>
      </c>
      <c r="C49" s="39">
        <v>40</v>
      </c>
      <c r="D49" s="39" t="s">
        <v>98</v>
      </c>
      <c r="E49" s="39">
        <v>1</v>
      </c>
      <c r="F49" s="39">
        <v>3</v>
      </c>
      <c r="G49" s="39" t="s">
        <v>22</v>
      </c>
      <c r="H49" s="39" t="s">
        <v>71</v>
      </c>
      <c r="I49" s="126">
        <v>0.59027777777777779</v>
      </c>
      <c r="J49" s="110"/>
      <c r="K49" s="204"/>
      <c r="N49" s="204"/>
    </row>
    <row r="50" spans="1:14" x14ac:dyDescent="0.3">
      <c r="A50" s="111">
        <v>5</v>
      </c>
      <c r="B50" s="39" t="s">
        <v>14</v>
      </c>
      <c r="C50" s="39">
        <v>40</v>
      </c>
      <c r="D50" s="39" t="s">
        <v>99</v>
      </c>
      <c r="E50" s="39">
        <v>2</v>
      </c>
      <c r="F50" s="39">
        <v>4</v>
      </c>
      <c r="G50" s="39" t="s">
        <v>41</v>
      </c>
      <c r="H50" s="39" t="s">
        <v>71</v>
      </c>
      <c r="I50" s="39"/>
      <c r="J50" s="110"/>
      <c r="K50" s="204"/>
      <c r="N50" s="204"/>
    </row>
    <row r="51" spans="1:14" x14ac:dyDescent="0.3">
      <c r="A51" s="111">
        <v>1</v>
      </c>
      <c r="B51" s="39" t="s">
        <v>83</v>
      </c>
      <c r="C51" s="39">
        <v>40</v>
      </c>
      <c r="D51" s="39" t="s">
        <v>72</v>
      </c>
      <c r="E51" s="39">
        <v>3</v>
      </c>
      <c r="F51" s="39">
        <v>4</v>
      </c>
      <c r="G51" s="39" t="s">
        <v>41</v>
      </c>
      <c r="H51" s="39" t="s">
        <v>71</v>
      </c>
      <c r="I51" s="39"/>
      <c r="J51" s="110"/>
      <c r="K51" s="204"/>
      <c r="N51" s="204"/>
    </row>
    <row r="52" spans="1:14" x14ac:dyDescent="0.3">
      <c r="A52" s="111">
        <v>10</v>
      </c>
      <c r="B52" s="39" t="s">
        <v>14</v>
      </c>
      <c r="C52" s="39">
        <v>40</v>
      </c>
      <c r="D52" s="39" t="s">
        <v>72</v>
      </c>
      <c r="E52" s="39">
        <v>3</v>
      </c>
      <c r="F52" s="39">
        <v>4</v>
      </c>
      <c r="G52" s="39" t="s">
        <v>41</v>
      </c>
      <c r="H52" s="39" t="s">
        <v>81</v>
      </c>
      <c r="I52" s="39"/>
      <c r="J52" s="110"/>
      <c r="K52" s="204"/>
      <c r="N52" s="204"/>
    </row>
    <row r="53" spans="1:14" x14ac:dyDescent="0.3">
      <c r="A53" s="111">
        <v>3</v>
      </c>
      <c r="B53" s="39" t="s">
        <v>14</v>
      </c>
      <c r="C53" s="39">
        <v>40</v>
      </c>
      <c r="D53" s="39" t="s">
        <v>99</v>
      </c>
      <c r="E53" s="39">
        <v>2</v>
      </c>
      <c r="F53" s="39">
        <v>5</v>
      </c>
      <c r="G53" s="39" t="s">
        <v>22</v>
      </c>
      <c r="H53" s="39" t="s">
        <v>71</v>
      </c>
      <c r="I53" s="39"/>
      <c r="J53" s="110"/>
      <c r="K53" s="204"/>
      <c r="N53" s="204"/>
    </row>
    <row r="54" spans="1:14" x14ac:dyDescent="0.3">
      <c r="A54" s="111">
        <v>40</v>
      </c>
      <c r="B54" s="39" t="s">
        <v>14</v>
      </c>
      <c r="C54" s="39">
        <v>40</v>
      </c>
      <c r="D54" s="39" t="s">
        <v>72</v>
      </c>
      <c r="E54" s="39">
        <v>3</v>
      </c>
      <c r="F54" s="39">
        <v>5</v>
      </c>
      <c r="G54" s="39" t="s">
        <v>22</v>
      </c>
      <c r="H54" s="39" t="s">
        <v>71</v>
      </c>
      <c r="I54" s="39"/>
      <c r="J54" s="110"/>
      <c r="K54" s="204"/>
      <c r="N54" s="204"/>
    </row>
    <row r="55" spans="1:14" x14ac:dyDescent="0.3">
      <c r="A55" s="111">
        <v>40</v>
      </c>
      <c r="B55" s="39" t="s">
        <v>14</v>
      </c>
      <c r="C55" s="39">
        <v>40</v>
      </c>
      <c r="D55" s="39" t="s">
        <v>98</v>
      </c>
      <c r="E55" s="39">
        <v>1</v>
      </c>
      <c r="F55" s="39">
        <v>5</v>
      </c>
      <c r="G55" s="39" t="s">
        <v>22</v>
      </c>
      <c r="H55" s="39" t="s">
        <v>71</v>
      </c>
      <c r="I55" s="39"/>
      <c r="J55" s="110"/>
      <c r="K55" s="204"/>
      <c r="N55" s="204"/>
    </row>
    <row r="56" spans="1:14" x14ac:dyDescent="0.3">
      <c r="A56" s="111">
        <v>1</v>
      </c>
      <c r="B56" s="39" t="s">
        <v>83</v>
      </c>
      <c r="C56" s="39">
        <v>40</v>
      </c>
      <c r="D56" s="39" t="s">
        <v>72</v>
      </c>
      <c r="E56" s="39">
        <v>3</v>
      </c>
      <c r="F56" s="39">
        <v>6</v>
      </c>
      <c r="G56" s="39" t="s">
        <v>41</v>
      </c>
      <c r="H56" s="39" t="s">
        <v>71</v>
      </c>
      <c r="I56" s="39"/>
      <c r="J56" s="110"/>
      <c r="K56" s="204"/>
      <c r="N56" s="204"/>
    </row>
    <row r="57" spans="1:14" x14ac:dyDescent="0.3">
      <c r="A57" s="111">
        <v>7</v>
      </c>
      <c r="B57" s="39" t="s">
        <v>14</v>
      </c>
      <c r="C57" s="39">
        <v>40</v>
      </c>
      <c r="D57" s="39" t="s">
        <v>98</v>
      </c>
      <c r="E57" s="39">
        <v>1</v>
      </c>
      <c r="F57" s="39">
        <v>6</v>
      </c>
      <c r="G57" s="39" t="s">
        <v>41</v>
      </c>
      <c r="H57" s="39" t="s">
        <v>71</v>
      </c>
      <c r="I57" s="39"/>
      <c r="J57" s="110"/>
      <c r="K57" s="204"/>
      <c r="N57" s="204"/>
    </row>
    <row r="58" spans="1:14" x14ac:dyDescent="0.3">
      <c r="A58" s="111">
        <v>10</v>
      </c>
      <c r="B58" s="39" t="s">
        <v>14</v>
      </c>
      <c r="C58" s="39">
        <v>40</v>
      </c>
      <c r="D58" s="39" t="s">
        <v>99</v>
      </c>
      <c r="E58" s="39">
        <v>2</v>
      </c>
      <c r="F58" s="39">
        <v>6</v>
      </c>
      <c r="G58" s="39" t="s">
        <v>41</v>
      </c>
      <c r="H58" s="39" t="s">
        <v>71</v>
      </c>
      <c r="I58" s="39"/>
      <c r="J58" s="110"/>
      <c r="K58" s="204"/>
      <c r="N58" s="204"/>
    </row>
    <row r="59" spans="1:14" x14ac:dyDescent="0.3">
      <c r="A59" s="111">
        <v>10</v>
      </c>
      <c r="B59" s="39" t="s">
        <v>14</v>
      </c>
      <c r="C59" s="39">
        <v>40</v>
      </c>
      <c r="D59" s="39" t="s">
        <v>72</v>
      </c>
      <c r="E59" s="39">
        <v>3</v>
      </c>
      <c r="F59" s="39">
        <v>7</v>
      </c>
      <c r="G59" s="39" t="s">
        <v>22</v>
      </c>
      <c r="H59" s="39" t="s">
        <v>71</v>
      </c>
      <c r="I59" s="39"/>
      <c r="J59" s="110"/>
      <c r="K59" s="204"/>
      <c r="N59" s="204"/>
    </row>
    <row r="60" spans="1:14" x14ac:dyDescent="0.3">
      <c r="A60" s="111">
        <v>15</v>
      </c>
      <c r="B60" s="39" t="s">
        <v>14</v>
      </c>
      <c r="C60" s="39">
        <v>40</v>
      </c>
      <c r="D60" s="39" t="s">
        <v>98</v>
      </c>
      <c r="E60" s="39">
        <v>1</v>
      </c>
      <c r="F60" s="39">
        <v>7</v>
      </c>
      <c r="G60" s="39" t="s">
        <v>22</v>
      </c>
      <c r="H60" s="39" t="s">
        <v>102</v>
      </c>
      <c r="I60" s="39"/>
      <c r="J60" s="110"/>
      <c r="K60" s="204"/>
      <c r="N60" s="204"/>
    </row>
    <row r="61" spans="1:14" x14ac:dyDescent="0.3">
      <c r="A61" s="111">
        <v>20</v>
      </c>
      <c r="B61" s="39" t="s">
        <v>14</v>
      </c>
      <c r="C61" s="39">
        <v>40</v>
      </c>
      <c r="D61" s="39" t="s">
        <v>105</v>
      </c>
      <c r="E61" s="39">
        <v>0</v>
      </c>
      <c r="F61" s="39">
        <v>7</v>
      </c>
      <c r="G61" s="39" t="s">
        <v>22</v>
      </c>
      <c r="H61" s="39"/>
      <c r="I61" s="39"/>
      <c r="J61" s="110" t="s">
        <v>106</v>
      </c>
      <c r="K61" s="204"/>
      <c r="N61" s="204"/>
    </row>
    <row r="62" spans="1:14" x14ac:dyDescent="0.3">
      <c r="A62" s="111">
        <v>4</v>
      </c>
      <c r="B62" s="39" t="s">
        <v>14</v>
      </c>
      <c r="C62" s="39">
        <v>30</v>
      </c>
      <c r="D62" s="39" t="s">
        <v>99</v>
      </c>
      <c r="E62" s="39">
        <v>2</v>
      </c>
      <c r="F62" s="39">
        <v>7</v>
      </c>
      <c r="G62" s="39" t="s">
        <v>22</v>
      </c>
      <c r="H62" s="39" t="s">
        <v>71</v>
      </c>
      <c r="I62" s="39"/>
      <c r="J62" s="110"/>
      <c r="K62" s="204"/>
      <c r="N62" s="204"/>
    </row>
    <row r="63" spans="1:14" x14ac:dyDescent="0.3">
      <c r="A63" s="111">
        <v>25</v>
      </c>
      <c r="B63" s="39" t="s">
        <v>14</v>
      </c>
      <c r="C63" s="39">
        <v>40</v>
      </c>
      <c r="D63" s="39" t="s">
        <v>98</v>
      </c>
      <c r="E63" s="39">
        <v>1</v>
      </c>
      <c r="F63" s="39">
        <v>7</v>
      </c>
      <c r="G63" s="39" t="s">
        <v>22</v>
      </c>
      <c r="H63" s="39" t="s">
        <v>71</v>
      </c>
      <c r="I63" s="39"/>
      <c r="J63" s="110"/>
      <c r="K63" s="204"/>
      <c r="N63" s="204"/>
    </row>
    <row r="64" spans="1:14" x14ac:dyDescent="0.3">
      <c r="A64" s="111">
        <v>1</v>
      </c>
      <c r="B64" s="39" t="s">
        <v>83</v>
      </c>
      <c r="C64" s="39">
        <v>40</v>
      </c>
      <c r="D64" s="39" t="s">
        <v>99</v>
      </c>
      <c r="E64" s="39">
        <v>2</v>
      </c>
      <c r="F64" s="39">
        <v>7</v>
      </c>
      <c r="G64" s="39" t="s">
        <v>22</v>
      </c>
      <c r="H64" s="39" t="s">
        <v>71</v>
      </c>
      <c r="I64" s="39"/>
      <c r="J64" s="110"/>
      <c r="K64" s="204"/>
      <c r="N64" s="204"/>
    </row>
    <row r="65" spans="1:14" x14ac:dyDescent="0.3">
      <c r="A65" s="111">
        <v>1</v>
      </c>
      <c r="B65" s="39" t="s">
        <v>14</v>
      </c>
      <c r="C65" s="39">
        <v>60</v>
      </c>
      <c r="D65" s="39" t="s">
        <v>99</v>
      </c>
      <c r="E65" s="39">
        <v>2</v>
      </c>
      <c r="F65" s="39">
        <v>7</v>
      </c>
      <c r="G65" s="39" t="s">
        <v>22</v>
      </c>
      <c r="H65" s="39" t="s">
        <v>71</v>
      </c>
      <c r="I65" s="39"/>
      <c r="J65" s="110"/>
      <c r="K65" s="204"/>
      <c r="N65" s="204"/>
    </row>
    <row r="66" spans="1:14" x14ac:dyDescent="0.3">
      <c r="A66" s="144">
        <v>35</v>
      </c>
      <c r="B66" s="76" t="s">
        <v>14</v>
      </c>
      <c r="C66" s="76">
        <v>40</v>
      </c>
      <c r="D66" s="76" t="s">
        <v>98</v>
      </c>
      <c r="E66" s="76">
        <v>1</v>
      </c>
      <c r="F66" s="76">
        <v>7</v>
      </c>
      <c r="G66" s="39" t="s">
        <v>22</v>
      </c>
      <c r="H66" s="76"/>
      <c r="I66" s="76"/>
      <c r="J66" s="127"/>
      <c r="K66" s="204"/>
      <c r="N66" s="204"/>
    </row>
    <row r="67" spans="1:14" x14ac:dyDescent="0.3">
      <c r="A67" s="61">
        <v>14</v>
      </c>
      <c r="B67" s="39" t="s">
        <v>83</v>
      </c>
      <c r="C67" s="39">
        <v>40</v>
      </c>
      <c r="D67" s="39" t="s">
        <v>99</v>
      </c>
      <c r="E67" s="39">
        <v>2</v>
      </c>
      <c r="F67" s="39">
        <v>7</v>
      </c>
      <c r="G67" s="39" t="s">
        <v>22</v>
      </c>
      <c r="H67" s="39" t="s">
        <v>71</v>
      </c>
      <c r="I67" s="39"/>
      <c r="J67" s="39"/>
      <c r="K67" s="204"/>
      <c r="N67" s="204"/>
    </row>
    <row r="68" spans="1:14" x14ac:dyDescent="0.3">
      <c r="A68" s="122">
        <v>1</v>
      </c>
      <c r="B68" s="35" t="s">
        <v>14</v>
      </c>
      <c r="C68" s="35">
        <v>110</v>
      </c>
      <c r="D68" s="35" t="s">
        <v>98</v>
      </c>
      <c r="E68" s="35">
        <v>1</v>
      </c>
      <c r="F68" s="35">
        <v>7</v>
      </c>
      <c r="G68" s="39" t="s">
        <v>22</v>
      </c>
      <c r="H68" s="35" t="s">
        <v>102</v>
      </c>
      <c r="I68" s="35"/>
      <c r="J68" s="123"/>
      <c r="K68" s="204"/>
      <c r="N68" s="204"/>
    </row>
    <row r="69" spans="1:14" x14ac:dyDescent="0.3">
      <c r="A69" s="111">
        <v>5</v>
      </c>
      <c r="B69" s="61" t="s">
        <v>14</v>
      </c>
      <c r="C69" s="61">
        <v>50</v>
      </c>
      <c r="D69" s="61" t="s">
        <v>99</v>
      </c>
      <c r="E69" s="61">
        <v>2</v>
      </c>
      <c r="F69" s="61">
        <v>7</v>
      </c>
      <c r="G69" s="39" t="s">
        <v>22</v>
      </c>
      <c r="H69" s="61" t="s">
        <v>102</v>
      </c>
      <c r="I69" s="77"/>
      <c r="J69" s="112"/>
      <c r="K69" s="204"/>
      <c r="N69" s="204"/>
    </row>
    <row r="70" spans="1:14" x14ac:dyDescent="0.3">
      <c r="A70" s="111">
        <v>5</v>
      </c>
      <c r="B70" s="61" t="s">
        <v>14</v>
      </c>
      <c r="C70" s="61">
        <v>40</v>
      </c>
      <c r="D70" s="61" t="s">
        <v>72</v>
      </c>
      <c r="E70" s="61">
        <v>3</v>
      </c>
      <c r="F70" s="61">
        <v>8</v>
      </c>
      <c r="G70" s="61" t="s">
        <v>41</v>
      </c>
      <c r="H70" s="61" t="s">
        <v>81</v>
      </c>
      <c r="I70" s="77"/>
      <c r="J70" s="112"/>
      <c r="K70" s="204"/>
      <c r="N70" s="204"/>
    </row>
    <row r="71" spans="1:14" x14ac:dyDescent="0.3">
      <c r="A71" s="111">
        <v>1</v>
      </c>
      <c r="B71" s="61" t="s">
        <v>14</v>
      </c>
      <c r="C71" s="61">
        <v>30</v>
      </c>
      <c r="D71" s="61" t="s">
        <v>99</v>
      </c>
      <c r="E71" s="61">
        <v>2</v>
      </c>
      <c r="F71" s="61">
        <v>8</v>
      </c>
      <c r="G71" s="61" t="s">
        <v>41</v>
      </c>
      <c r="H71" s="61" t="s">
        <v>81</v>
      </c>
      <c r="I71" s="77"/>
      <c r="J71" s="112"/>
      <c r="K71" s="204"/>
      <c r="N71" s="204"/>
    </row>
    <row r="72" spans="1:14" x14ac:dyDescent="0.3">
      <c r="A72" s="111">
        <v>15</v>
      </c>
      <c r="B72" s="61" t="s">
        <v>14</v>
      </c>
      <c r="C72" s="61">
        <v>40</v>
      </c>
      <c r="D72" s="61" t="s">
        <v>98</v>
      </c>
      <c r="E72" s="61">
        <v>1</v>
      </c>
      <c r="F72" s="61">
        <v>8</v>
      </c>
      <c r="G72" s="61" t="s">
        <v>41</v>
      </c>
      <c r="H72" s="61" t="s">
        <v>71</v>
      </c>
      <c r="I72" s="77"/>
      <c r="J72" s="112"/>
      <c r="K72" s="204"/>
      <c r="N72" s="204"/>
    </row>
    <row r="73" spans="1:14" x14ac:dyDescent="0.3">
      <c r="A73" s="111">
        <v>10</v>
      </c>
      <c r="B73" s="61" t="s">
        <v>14</v>
      </c>
      <c r="C73" s="61">
        <v>40</v>
      </c>
      <c r="D73" s="61" t="s">
        <v>72</v>
      </c>
      <c r="E73" s="61">
        <v>3</v>
      </c>
      <c r="F73" s="61">
        <v>8</v>
      </c>
      <c r="G73" s="61" t="s">
        <v>41</v>
      </c>
      <c r="H73" s="61" t="s">
        <v>81</v>
      </c>
      <c r="I73" s="77"/>
      <c r="J73" s="112"/>
      <c r="K73" s="204"/>
      <c r="N73" s="204"/>
    </row>
    <row r="74" spans="1:14" x14ac:dyDescent="0.3">
      <c r="A74" s="111">
        <v>40</v>
      </c>
      <c r="B74" s="61" t="s">
        <v>14</v>
      </c>
      <c r="C74" s="61">
        <v>45</v>
      </c>
      <c r="D74" s="61" t="s">
        <v>98</v>
      </c>
      <c r="E74" s="61">
        <v>1</v>
      </c>
      <c r="F74" s="61">
        <v>8</v>
      </c>
      <c r="G74" s="61" t="s">
        <v>41</v>
      </c>
      <c r="H74" s="61" t="s">
        <v>71</v>
      </c>
      <c r="I74" s="77"/>
      <c r="J74" s="112"/>
      <c r="K74" s="204"/>
      <c r="N74" s="204"/>
    </row>
    <row r="75" spans="1:14" x14ac:dyDescent="0.3">
      <c r="A75" s="111">
        <v>30</v>
      </c>
      <c r="B75" s="61" t="s">
        <v>14</v>
      </c>
      <c r="C75" s="61">
        <v>40</v>
      </c>
      <c r="D75" s="61" t="s">
        <v>98</v>
      </c>
      <c r="E75" s="61">
        <v>1</v>
      </c>
      <c r="F75" s="61">
        <v>8</v>
      </c>
      <c r="G75" s="61" t="s">
        <v>41</v>
      </c>
      <c r="H75" s="61" t="s">
        <v>71</v>
      </c>
      <c r="I75" s="77"/>
      <c r="J75" s="112"/>
      <c r="K75" s="204"/>
      <c r="N75" s="204"/>
    </row>
    <row r="76" spans="1:14" x14ac:dyDescent="0.3">
      <c r="A76" s="111">
        <v>1</v>
      </c>
      <c r="B76" s="61" t="s">
        <v>83</v>
      </c>
      <c r="C76" s="61">
        <v>50</v>
      </c>
      <c r="D76" s="61" t="s">
        <v>99</v>
      </c>
      <c r="E76" s="61">
        <v>2</v>
      </c>
      <c r="F76" s="61">
        <v>8</v>
      </c>
      <c r="G76" s="61" t="s">
        <v>41</v>
      </c>
      <c r="H76" s="61" t="s">
        <v>71</v>
      </c>
      <c r="I76" s="77"/>
      <c r="J76" s="110"/>
      <c r="K76" s="204"/>
      <c r="N76" s="204"/>
    </row>
    <row r="77" spans="1:14" x14ac:dyDescent="0.3">
      <c r="A77" s="111">
        <v>20</v>
      </c>
      <c r="B77" s="61" t="s">
        <v>14</v>
      </c>
      <c r="C77" s="61">
        <v>40</v>
      </c>
      <c r="D77" s="61" t="s">
        <v>72</v>
      </c>
      <c r="E77" s="61">
        <v>3</v>
      </c>
      <c r="F77" s="61">
        <v>8</v>
      </c>
      <c r="G77" s="61" t="s">
        <v>41</v>
      </c>
      <c r="H77" s="61" t="s">
        <v>71</v>
      </c>
      <c r="I77" s="77"/>
      <c r="J77" s="112"/>
      <c r="K77" s="204"/>
      <c r="N77" s="204"/>
    </row>
    <row r="78" spans="1:14" x14ac:dyDescent="0.3">
      <c r="A78" s="111">
        <v>1</v>
      </c>
      <c r="B78" s="61" t="s">
        <v>14</v>
      </c>
      <c r="C78" s="61">
        <v>60</v>
      </c>
      <c r="D78" s="61" t="s">
        <v>98</v>
      </c>
      <c r="E78" s="61">
        <v>1</v>
      </c>
      <c r="F78" s="61">
        <v>8</v>
      </c>
      <c r="G78" s="61" t="s">
        <v>41</v>
      </c>
      <c r="H78" s="61" t="s">
        <v>71</v>
      </c>
      <c r="I78" s="77"/>
      <c r="J78" s="112"/>
      <c r="K78" s="204"/>
      <c r="N78" s="204"/>
    </row>
    <row r="79" spans="1:14" x14ac:dyDescent="0.3">
      <c r="A79" s="111">
        <v>6</v>
      </c>
      <c r="B79" s="61" t="s">
        <v>14</v>
      </c>
      <c r="C79" s="61">
        <v>40</v>
      </c>
      <c r="D79" s="61" t="s">
        <v>99</v>
      </c>
      <c r="E79" s="61">
        <v>2</v>
      </c>
      <c r="F79" s="61">
        <v>8</v>
      </c>
      <c r="G79" s="61" t="s">
        <v>41</v>
      </c>
      <c r="H79" s="61" t="s">
        <v>81</v>
      </c>
      <c r="I79" s="77"/>
      <c r="J79" s="110"/>
      <c r="K79" s="204"/>
      <c r="N79" s="204"/>
    </row>
    <row r="80" spans="1:14" x14ac:dyDescent="0.3">
      <c r="A80" s="111">
        <v>2</v>
      </c>
      <c r="B80" s="61" t="s">
        <v>14</v>
      </c>
      <c r="C80" s="61">
        <v>50</v>
      </c>
      <c r="D80" s="61" t="s">
        <v>99</v>
      </c>
      <c r="E80" s="61">
        <v>2</v>
      </c>
      <c r="F80" s="61">
        <v>8</v>
      </c>
      <c r="G80" s="61" t="s">
        <v>41</v>
      </c>
      <c r="H80" s="61" t="s">
        <v>81</v>
      </c>
      <c r="I80" s="77"/>
      <c r="J80" s="112"/>
      <c r="K80" s="204"/>
      <c r="N80" s="204"/>
    </row>
    <row r="81" spans="1:14" x14ac:dyDescent="0.3">
      <c r="A81" s="111">
        <v>30</v>
      </c>
      <c r="B81" s="61" t="s">
        <v>14</v>
      </c>
      <c r="C81" s="61">
        <v>40</v>
      </c>
      <c r="D81" s="61" t="s">
        <v>98</v>
      </c>
      <c r="E81" s="61">
        <v>1</v>
      </c>
      <c r="F81" s="61">
        <v>8</v>
      </c>
      <c r="G81" s="61" t="s">
        <v>41</v>
      </c>
      <c r="H81" s="61"/>
      <c r="I81" s="77"/>
      <c r="J81" s="112"/>
      <c r="K81" s="204"/>
      <c r="N81" s="204"/>
    </row>
    <row r="82" spans="1:14" x14ac:dyDescent="0.3">
      <c r="A82" s="111">
        <v>1</v>
      </c>
      <c r="B82" s="61" t="s">
        <v>83</v>
      </c>
      <c r="C82" s="61">
        <v>40</v>
      </c>
      <c r="D82" s="61" t="s">
        <v>98</v>
      </c>
      <c r="E82" s="61">
        <v>1</v>
      </c>
      <c r="F82" s="61">
        <v>8</v>
      </c>
      <c r="G82" s="61" t="s">
        <v>41</v>
      </c>
      <c r="H82" s="61"/>
      <c r="I82" s="77"/>
      <c r="J82" s="110"/>
      <c r="K82" s="204"/>
      <c r="N82" s="204"/>
    </row>
    <row r="83" spans="1:14" x14ac:dyDescent="0.3">
      <c r="A83" s="111">
        <v>2</v>
      </c>
      <c r="B83" s="61" t="s">
        <v>14</v>
      </c>
      <c r="C83" s="61">
        <v>50</v>
      </c>
      <c r="D83" s="61" t="s">
        <v>99</v>
      </c>
      <c r="E83" s="61">
        <v>2</v>
      </c>
      <c r="F83" s="61">
        <v>8</v>
      </c>
      <c r="G83" s="61" t="s">
        <v>41</v>
      </c>
      <c r="H83" s="61"/>
      <c r="I83" s="77"/>
      <c r="J83" s="112"/>
      <c r="K83" s="204"/>
      <c r="N83" s="204"/>
    </row>
    <row r="84" spans="1:14" x14ac:dyDescent="0.3">
      <c r="A84" s="111">
        <v>10</v>
      </c>
      <c r="B84" s="61" t="s">
        <v>14</v>
      </c>
      <c r="C84" s="61">
        <v>40</v>
      </c>
      <c r="D84" s="61" t="s">
        <v>99</v>
      </c>
      <c r="E84" s="61">
        <v>2</v>
      </c>
      <c r="F84" s="61">
        <v>8</v>
      </c>
      <c r="G84" s="61" t="s">
        <v>41</v>
      </c>
      <c r="H84" s="61"/>
      <c r="I84" s="77"/>
      <c r="J84" s="112"/>
      <c r="K84" s="204"/>
      <c r="N84" s="204"/>
    </row>
    <row r="85" spans="1:14" ht="15" thickBot="1" x14ac:dyDescent="0.35">
      <c r="A85" s="113">
        <v>50</v>
      </c>
      <c r="B85" s="71" t="s">
        <v>14</v>
      </c>
      <c r="C85" s="71">
        <v>40</v>
      </c>
      <c r="D85" s="71" t="s">
        <v>98</v>
      </c>
      <c r="E85" s="71">
        <v>1</v>
      </c>
      <c r="F85" s="71">
        <v>8</v>
      </c>
      <c r="G85" s="61" t="s">
        <v>41</v>
      </c>
      <c r="H85" s="71"/>
      <c r="I85" s="114"/>
      <c r="J85" s="115"/>
      <c r="K85" s="204"/>
      <c r="N85" s="204"/>
    </row>
    <row r="86" spans="1:14" x14ac:dyDescent="0.3">
      <c r="A86" s="140">
        <v>20</v>
      </c>
      <c r="B86" s="137" t="s">
        <v>14</v>
      </c>
      <c r="C86" s="137">
        <v>30</v>
      </c>
      <c r="D86" s="137" t="s">
        <v>99</v>
      </c>
      <c r="E86" s="137">
        <v>2</v>
      </c>
      <c r="F86" s="137">
        <v>8</v>
      </c>
      <c r="G86" s="61" t="s">
        <v>41</v>
      </c>
      <c r="H86" s="137" t="s">
        <v>81</v>
      </c>
      <c r="I86" s="186"/>
      <c r="J86" s="187"/>
      <c r="K86" s="204"/>
      <c r="N86" s="204"/>
    </row>
    <row r="87" spans="1:14" x14ac:dyDescent="0.3">
      <c r="A87" s="111">
        <v>1</v>
      </c>
      <c r="B87" s="60" t="s">
        <v>14</v>
      </c>
      <c r="C87" s="61">
        <v>250</v>
      </c>
      <c r="D87" s="61" t="s">
        <v>99</v>
      </c>
      <c r="E87" s="61">
        <v>2</v>
      </c>
      <c r="F87" s="61">
        <v>8</v>
      </c>
      <c r="G87" s="61" t="s">
        <v>41</v>
      </c>
      <c r="H87" s="61" t="s">
        <v>11</v>
      </c>
      <c r="I87" s="77"/>
      <c r="J87" s="112"/>
      <c r="K87" s="204"/>
      <c r="N87" s="204"/>
    </row>
    <row r="88" spans="1:14" x14ac:dyDescent="0.3">
      <c r="A88" s="111">
        <v>25</v>
      </c>
      <c r="B88" s="60" t="s">
        <v>14</v>
      </c>
      <c r="C88" s="61">
        <v>50</v>
      </c>
      <c r="D88" s="61" t="s">
        <v>98</v>
      </c>
      <c r="E88" s="61">
        <v>1</v>
      </c>
      <c r="F88" s="61">
        <v>8</v>
      </c>
      <c r="G88" s="61" t="s">
        <v>41</v>
      </c>
      <c r="H88" s="61" t="s">
        <v>71</v>
      </c>
      <c r="I88" s="77"/>
      <c r="J88" s="112"/>
      <c r="K88" s="204"/>
      <c r="N88" s="204"/>
    </row>
    <row r="89" spans="1:14" x14ac:dyDescent="0.3">
      <c r="A89" s="111">
        <v>10</v>
      </c>
      <c r="B89" s="60" t="s">
        <v>14</v>
      </c>
      <c r="C89" s="61">
        <v>30</v>
      </c>
      <c r="D89" s="61" t="s">
        <v>99</v>
      </c>
      <c r="E89" s="61">
        <v>2</v>
      </c>
      <c r="F89" s="61">
        <v>8</v>
      </c>
      <c r="G89" s="61" t="s">
        <v>41</v>
      </c>
      <c r="H89" s="61" t="s">
        <v>81</v>
      </c>
      <c r="I89" s="77"/>
      <c r="J89" s="112"/>
      <c r="K89" s="205"/>
      <c r="N89" s="205"/>
    </row>
    <row r="90" spans="1:14" x14ac:dyDescent="0.3">
      <c r="A90" s="111">
        <v>1</v>
      </c>
      <c r="B90" s="60" t="s">
        <v>14</v>
      </c>
      <c r="C90" s="61">
        <v>30</v>
      </c>
      <c r="D90" s="61" t="s">
        <v>72</v>
      </c>
      <c r="E90" s="61">
        <v>1</v>
      </c>
      <c r="F90" s="61">
        <v>9</v>
      </c>
      <c r="G90" s="61"/>
      <c r="H90" s="61"/>
      <c r="I90" s="77"/>
      <c r="J90" s="110" t="s">
        <v>108</v>
      </c>
    </row>
    <row r="91" spans="1:14" x14ac:dyDescent="0.3">
      <c r="A91" s="111">
        <v>30</v>
      </c>
      <c r="B91" s="60" t="s">
        <v>14</v>
      </c>
      <c r="C91" s="61">
        <v>40</v>
      </c>
      <c r="D91" s="61" t="s">
        <v>72</v>
      </c>
      <c r="E91" s="61">
        <v>1</v>
      </c>
      <c r="F91" s="61">
        <v>9</v>
      </c>
      <c r="G91" s="61"/>
      <c r="H91" s="61" t="s">
        <v>71</v>
      </c>
      <c r="I91" s="77"/>
      <c r="J91" s="112"/>
    </row>
    <row r="92" spans="1:14" x14ac:dyDescent="0.3">
      <c r="A92" s="111">
        <v>5</v>
      </c>
      <c r="B92" s="60" t="s">
        <v>14</v>
      </c>
      <c r="C92" s="61">
        <v>50</v>
      </c>
      <c r="D92" s="61" t="s">
        <v>72</v>
      </c>
      <c r="E92" s="61">
        <v>1</v>
      </c>
      <c r="F92" s="61">
        <v>9</v>
      </c>
      <c r="G92" s="61"/>
      <c r="H92" s="61" t="s">
        <v>71</v>
      </c>
      <c r="I92" s="77"/>
      <c r="J92" s="112"/>
    </row>
    <row r="93" spans="1:14" x14ac:dyDescent="0.3">
      <c r="A93" s="111">
        <v>30</v>
      </c>
      <c r="B93" s="60" t="s">
        <v>14</v>
      </c>
      <c r="C93" s="61">
        <v>50</v>
      </c>
      <c r="D93" s="61" t="s">
        <v>99</v>
      </c>
      <c r="E93" s="61">
        <v>2</v>
      </c>
      <c r="F93" s="61">
        <v>8</v>
      </c>
      <c r="G93" s="61" t="s">
        <v>41</v>
      </c>
      <c r="H93" s="61" t="s">
        <v>81</v>
      </c>
      <c r="I93" s="77"/>
      <c r="J93" s="112"/>
    </row>
    <row r="94" spans="1:14" x14ac:dyDescent="0.3">
      <c r="A94" s="111">
        <v>40</v>
      </c>
      <c r="B94" s="60" t="s">
        <v>14</v>
      </c>
      <c r="C94" s="61">
        <v>40</v>
      </c>
      <c r="D94" s="61" t="s">
        <v>98</v>
      </c>
      <c r="E94" s="61">
        <v>1</v>
      </c>
      <c r="F94" s="61">
        <v>8</v>
      </c>
      <c r="G94" s="61" t="s">
        <v>41</v>
      </c>
      <c r="H94" s="61" t="s">
        <v>71</v>
      </c>
      <c r="I94" s="77"/>
      <c r="J94" s="112"/>
    </row>
    <row r="95" spans="1:14" x14ac:dyDescent="0.3">
      <c r="A95" s="111">
        <v>5</v>
      </c>
      <c r="B95" s="60" t="s">
        <v>14</v>
      </c>
      <c r="C95" s="61">
        <v>40</v>
      </c>
      <c r="D95" s="61" t="s">
        <v>99</v>
      </c>
      <c r="E95" s="61">
        <v>2</v>
      </c>
      <c r="F95" s="61">
        <v>8</v>
      </c>
      <c r="G95" s="61" t="s">
        <v>41</v>
      </c>
      <c r="H95" s="61" t="s">
        <v>81</v>
      </c>
      <c r="I95" s="77"/>
      <c r="J95" s="110"/>
    </row>
    <row r="96" spans="1:14" x14ac:dyDescent="0.3">
      <c r="A96" s="144">
        <v>35</v>
      </c>
      <c r="B96" s="60" t="s">
        <v>14</v>
      </c>
      <c r="C96" s="75">
        <v>40</v>
      </c>
      <c r="D96" s="75" t="s">
        <v>98</v>
      </c>
      <c r="E96" s="75">
        <v>1</v>
      </c>
      <c r="F96" s="75">
        <v>8</v>
      </c>
      <c r="G96" s="61" t="s">
        <v>41</v>
      </c>
      <c r="H96" s="75" t="s">
        <v>71</v>
      </c>
      <c r="I96" s="183"/>
      <c r="J96" s="184"/>
    </row>
    <row r="97" spans="1:10" x14ac:dyDescent="0.3">
      <c r="A97" s="111">
        <v>15</v>
      </c>
      <c r="B97" s="60" t="s">
        <v>14</v>
      </c>
      <c r="C97" s="61">
        <v>40</v>
      </c>
      <c r="D97" s="61" t="s">
        <v>99</v>
      </c>
      <c r="E97" s="61">
        <v>2</v>
      </c>
      <c r="F97" s="61">
        <v>8</v>
      </c>
      <c r="G97" s="61" t="s">
        <v>41</v>
      </c>
      <c r="H97" s="61" t="s">
        <v>71</v>
      </c>
      <c r="I97" s="77"/>
      <c r="J97" s="112"/>
    </row>
    <row r="98" spans="1:10" x14ac:dyDescent="0.3">
      <c r="A98" s="156">
        <v>60</v>
      </c>
      <c r="B98" s="60" t="s">
        <v>14</v>
      </c>
      <c r="C98" s="60">
        <v>50</v>
      </c>
      <c r="D98" s="60" t="s">
        <v>98</v>
      </c>
      <c r="E98" s="60">
        <v>1</v>
      </c>
      <c r="F98" s="60">
        <v>8</v>
      </c>
      <c r="G98" s="61" t="s">
        <v>41</v>
      </c>
      <c r="H98" s="60" t="s">
        <v>71</v>
      </c>
      <c r="I98" s="70"/>
      <c r="J98" s="157"/>
    </row>
    <row r="99" spans="1:10" x14ac:dyDescent="0.3">
      <c r="A99" s="111">
        <v>10</v>
      </c>
      <c r="B99" s="60" t="s">
        <v>14</v>
      </c>
      <c r="C99" s="61">
        <v>40</v>
      </c>
      <c r="D99" s="61" t="s">
        <v>99</v>
      </c>
      <c r="E99" s="61">
        <v>2</v>
      </c>
      <c r="F99" s="61">
        <v>8</v>
      </c>
      <c r="G99" s="61" t="s">
        <v>41</v>
      </c>
      <c r="H99" s="61" t="s">
        <v>71</v>
      </c>
      <c r="I99" s="77"/>
      <c r="J99" s="112"/>
    </row>
    <row r="100" spans="1:10" x14ac:dyDescent="0.3">
      <c r="A100" s="111">
        <v>10</v>
      </c>
      <c r="B100" s="60" t="s">
        <v>14</v>
      </c>
      <c r="C100" s="61">
        <v>30</v>
      </c>
      <c r="D100" s="61" t="s">
        <v>72</v>
      </c>
      <c r="E100" s="61">
        <v>3</v>
      </c>
      <c r="F100" s="61">
        <v>8</v>
      </c>
      <c r="G100" s="61" t="s">
        <v>41</v>
      </c>
      <c r="H100" s="61" t="s">
        <v>71</v>
      </c>
      <c r="I100" s="77"/>
      <c r="J100" s="112"/>
    </row>
    <row r="101" spans="1:10" x14ac:dyDescent="0.3">
      <c r="A101" s="111">
        <v>20</v>
      </c>
      <c r="B101" s="60" t="s">
        <v>14</v>
      </c>
      <c r="C101" s="61">
        <v>50</v>
      </c>
      <c r="D101" s="61" t="s">
        <v>72</v>
      </c>
      <c r="E101" s="61">
        <v>3</v>
      </c>
      <c r="F101" s="61">
        <v>8</v>
      </c>
      <c r="G101" s="61" t="s">
        <v>41</v>
      </c>
      <c r="H101" s="61" t="s">
        <v>71</v>
      </c>
      <c r="I101" s="77"/>
      <c r="J101" s="112"/>
    </row>
    <row r="102" spans="1:10" x14ac:dyDescent="0.3">
      <c r="A102" s="111">
        <v>10</v>
      </c>
      <c r="B102" s="60" t="s">
        <v>14</v>
      </c>
      <c r="C102" s="61">
        <v>30</v>
      </c>
      <c r="D102" s="61" t="s">
        <v>72</v>
      </c>
      <c r="E102" s="61">
        <v>3</v>
      </c>
      <c r="F102" s="61">
        <v>8</v>
      </c>
      <c r="G102" s="61" t="s">
        <v>41</v>
      </c>
      <c r="H102" s="61" t="s">
        <v>71</v>
      </c>
      <c r="I102" s="77"/>
      <c r="J102" s="112"/>
    </row>
    <row r="103" spans="1:10" x14ac:dyDescent="0.3">
      <c r="A103" s="111">
        <v>35</v>
      </c>
      <c r="B103" s="60" t="s">
        <v>14</v>
      </c>
      <c r="C103" s="61">
        <v>40</v>
      </c>
      <c r="D103" s="61" t="s">
        <v>98</v>
      </c>
      <c r="E103" s="61">
        <v>1</v>
      </c>
      <c r="F103" s="61">
        <v>8</v>
      </c>
      <c r="G103" s="61" t="s">
        <v>41</v>
      </c>
      <c r="H103" s="61" t="s">
        <v>71</v>
      </c>
      <c r="I103" s="77"/>
      <c r="J103" s="112"/>
    </row>
    <row r="104" spans="1:10" x14ac:dyDescent="0.3">
      <c r="A104" s="111">
        <v>5</v>
      </c>
      <c r="B104" s="60" t="s">
        <v>14</v>
      </c>
      <c r="C104" s="61">
        <v>40</v>
      </c>
      <c r="D104" s="61" t="s">
        <v>98</v>
      </c>
      <c r="E104" s="61">
        <v>1</v>
      </c>
      <c r="F104" s="61">
        <v>8</v>
      </c>
      <c r="G104" s="61" t="s">
        <v>41</v>
      </c>
      <c r="H104" s="61" t="s">
        <v>102</v>
      </c>
      <c r="I104" s="77"/>
      <c r="J104" s="112"/>
    </row>
    <row r="105" spans="1:10" x14ac:dyDescent="0.3">
      <c r="A105" s="111">
        <v>10</v>
      </c>
      <c r="B105" s="60" t="s">
        <v>14</v>
      </c>
      <c r="C105" s="61">
        <v>40</v>
      </c>
      <c r="D105" s="61" t="s">
        <v>72</v>
      </c>
      <c r="E105" s="61">
        <v>3</v>
      </c>
      <c r="F105" s="61">
        <v>8</v>
      </c>
      <c r="G105" s="61" t="s">
        <v>41</v>
      </c>
      <c r="H105" s="61" t="s">
        <v>71</v>
      </c>
      <c r="I105" s="77"/>
      <c r="J105" s="112"/>
    </row>
    <row r="106" spans="1:10" x14ac:dyDescent="0.3">
      <c r="A106" s="111">
        <v>5</v>
      </c>
      <c r="B106" s="60" t="s">
        <v>14</v>
      </c>
      <c r="C106" s="61">
        <v>30</v>
      </c>
      <c r="D106" s="61" t="s">
        <v>72</v>
      </c>
      <c r="E106" s="61">
        <v>3</v>
      </c>
      <c r="F106" s="61">
        <v>8</v>
      </c>
      <c r="G106" s="61" t="s">
        <v>41</v>
      </c>
      <c r="H106" s="61" t="s">
        <v>102</v>
      </c>
      <c r="I106" s="77"/>
      <c r="J106" s="112"/>
    </row>
    <row r="107" spans="1:10" x14ac:dyDescent="0.3">
      <c r="A107" s="111">
        <v>50</v>
      </c>
      <c r="B107" s="60" t="s">
        <v>14</v>
      </c>
      <c r="C107" s="61">
        <v>40</v>
      </c>
      <c r="D107" s="61" t="s">
        <v>98</v>
      </c>
      <c r="E107" s="61">
        <v>1</v>
      </c>
      <c r="F107" s="61">
        <v>8</v>
      </c>
      <c r="G107" s="61" t="s">
        <v>41</v>
      </c>
      <c r="H107" s="61" t="s">
        <v>102</v>
      </c>
      <c r="I107" s="77"/>
      <c r="J107" s="112"/>
    </row>
    <row r="108" spans="1:10" x14ac:dyDescent="0.3">
      <c r="A108" s="111">
        <v>5</v>
      </c>
      <c r="B108" s="60" t="s">
        <v>14</v>
      </c>
      <c r="C108" s="61">
        <v>30</v>
      </c>
      <c r="D108" s="61" t="s">
        <v>72</v>
      </c>
      <c r="E108" s="61">
        <v>3</v>
      </c>
      <c r="F108" s="61">
        <v>10</v>
      </c>
      <c r="G108" s="61" t="s">
        <v>22</v>
      </c>
      <c r="H108" s="61" t="s">
        <v>101</v>
      </c>
      <c r="I108" s="77"/>
      <c r="J108" s="112"/>
    </row>
    <row r="109" spans="1:10" x14ac:dyDescent="0.3">
      <c r="A109" s="132">
        <v>5</v>
      </c>
      <c r="B109" s="60" t="s">
        <v>14</v>
      </c>
      <c r="C109" s="69">
        <v>30</v>
      </c>
      <c r="D109" s="69" t="s">
        <v>72</v>
      </c>
      <c r="E109" s="69">
        <v>3</v>
      </c>
      <c r="F109" s="69">
        <v>10</v>
      </c>
      <c r="G109" s="61" t="s">
        <v>22</v>
      </c>
      <c r="H109" s="69" t="s">
        <v>102</v>
      </c>
      <c r="I109" s="69"/>
      <c r="J109" s="116"/>
    </row>
    <row r="110" spans="1:10" x14ac:dyDescent="0.3">
      <c r="A110" s="132">
        <v>75</v>
      </c>
      <c r="B110" s="60" t="s">
        <v>14</v>
      </c>
      <c r="C110" s="69">
        <v>50</v>
      </c>
      <c r="D110" s="69" t="s">
        <v>98</v>
      </c>
      <c r="E110" s="69">
        <v>1</v>
      </c>
      <c r="F110" s="69">
        <v>10</v>
      </c>
      <c r="G110" s="61" t="s">
        <v>22</v>
      </c>
      <c r="H110" s="69" t="s">
        <v>71</v>
      </c>
      <c r="I110" s="69"/>
      <c r="J110" s="116"/>
    </row>
    <row r="111" spans="1:10" x14ac:dyDescent="0.3">
      <c r="A111" s="132">
        <v>1</v>
      </c>
      <c r="B111" s="60" t="s">
        <v>7</v>
      </c>
      <c r="C111" s="69">
        <v>50</v>
      </c>
      <c r="D111" s="69" t="s">
        <v>98</v>
      </c>
      <c r="E111" s="69">
        <v>1</v>
      </c>
      <c r="F111" s="69">
        <v>10</v>
      </c>
      <c r="G111" s="61" t="s">
        <v>22</v>
      </c>
      <c r="H111" s="69" t="s">
        <v>71</v>
      </c>
      <c r="I111" s="69"/>
      <c r="J111" s="116"/>
    </row>
    <row r="112" spans="1:10" ht="15" thickBot="1" x14ac:dyDescent="0.35">
      <c r="A112" s="177">
        <v>5</v>
      </c>
      <c r="B112" s="71" t="s">
        <v>14</v>
      </c>
      <c r="C112" s="72">
        <v>30</v>
      </c>
      <c r="D112" s="72" t="s">
        <v>72</v>
      </c>
      <c r="E112" s="72">
        <v>3</v>
      </c>
      <c r="F112" s="72">
        <v>10</v>
      </c>
      <c r="G112" s="61" t="s">
        <v>22</v>
      </c>
      <c r="H112" s="72" t="s">
        <v>81</v>
      </c>
      <c r="I112" s="72"/>
      <c r="J112" s="117"/>
    </row>
    <row r="113" spans="1:10" x14ac:dyDescent="0.3">
      <c r="A113" s="22"/>
      <c r="B113" s="22"/>
      <c r="C113" s="185"/>
      <c r="D113" s="22"/>
      <c r="E113" s="22"/>
      <c r="F113" s="22"/>
      <c r="G113" s="22"/>
      <c r="H113" s="22"/>
      <c r="I113" s="22"/>
      <c r="J113" s="22"/>
    </row>
    <row r="114" spans="1:10" x14ac:dyDescent="0.3">
      <c r="A114" s="22"/>
      <c r="B114" s="22"/>
      <c r="C114" s="185"/>
      <c r="D114" s="22"/>
      <c r="E114" s="22"/>
      <c r="F114" s="22"/>
      <c r="G114" s="22"/>
      <c r="H114" s="22"/>
      <c r="I114" s="22"/>
      <c r="J114" s="22"/>
    </row>
    <row r="115" spans="1:10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5" max="5" width="13" customWidth="1"/>
    <col min="6" max="6" width="8" customWidth="1"/>
    <col min="7" max="7" width="14.6640625" bestFit="1" customWidth="1"/>
    <col min="8" max="8" width="8.6640625" bestFit="1" customWidth="1"/>
    <col min="9" max="9" width="9.6640625" customWidth="1"/>
    <col min="10" max="10" width="11.109375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145</v>
      </c>
      <c r="J1" s="46"/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68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>
        <v>1503</v>
      </c>
      <c r="C3" s="7" t="s">
        <v>2</v>
      </c>
      <c r="D3" s="8"/>
      <c r="E3" s="7" t="s">
        <v>3</v>
      </c>
      <c r="F3" s="9"/>
      <c r="G3" s="10" t="s">
        <v>4</v>
      </c>
      <c r="H3" s="8"/>
      <c r="I3" s="50" t="s">
        <v>99</v>
      </c>
      <c r="J3" s="9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0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72</v>
      </c>
      <c r="J4" s="9"/>
      <c r="K4" s="204" t="s">
        <v>177</v>
      </c>
      <c r="L4" s="204">
        <f>SUMIFS($A$11:$A$401,$B$11:$B$401,"CH",$F$11:$F$401,"2")</f>
        <v>1</v>
      </c>
      <c r="M4" s="204" t="s">
        <v>7</v>
      </c>
      <c r="N4" s="204">
        <f>SUMIFS($A$11:$A$401,$B$11:$B$401,"RT",$F$11:$F$401,"2")</f>
        <v>1</v>
      </c>
      <c r="O4" s="204" t="s">
        <v>14</v>
      </c>
    </row>
    <row r="5" spans="1:15" ht="15" thickTop="1" x14ac:dyDescent="0.3">
      <c r="A5" s="54" t="s">
        <v>67</v>
      </c>
      <c r="B5" s="55">
        <v>0.5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 t="s">
        <v>98</v>
      </c>
      <c r="J5" s="9"/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1</v>
      </c>
      <c r="O5" s="204" t="s">
        <v>14</v>
      </c>
    </row>
    <row r="6" spans="1:15" x14ac:dyDescent="0.3">
      <c r="A6" s="53" t="s">
        <v>12</v>
      </c>
      <c r="B6" s="161">
        <v>43691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 t="s">
        <v>109</v>
      </c>
      <c r="J6" s="9"/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0</v>
      </c>
      <c r="O6" s="204" t="s">
        <v>14</v>
      </c>
    </row>
    <row r="7" spans="1:15" x14ac:dyDescent="0.3">
      <c r="A7" s="47" t="s">
        <v>62</v>
      </c>
      <c r="B7" s="18">
        <v>12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50" t="s">
        <v>58</v>
      </c>
      <c r="J7" s="9"/>
      <c r="K7" s="204" t="s">
        <v>180</v>
      </c>
      <c r="L7" s="204">
        <f>SUMIFS($A$11:$A$401,$B$11:$B$401,"CH",$F$11:$F$401,"5")</f>
        <v>3</v>
      </c>
      <c r="M7" s="204" t="s">
        <v>7</v>
      </c>
      <c r="N7" s="204">
        <f>SUMIFS($A$11:$A$401,$B$11:$B$401,"RT",$F$11:$F$401,"5")</f>
        <v>3</v>
      </c>
      <c r="O7" s="204" t="s">
        <v>14</v>
      </c>
    </row>
    <row r="8" spans="1:15" ht="15" thickBot="1" x14ac:dyDescent="0.35">
      <c r="A8" s="16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/>
      <c r="J8" s="9"/>
      <c r="K8" s="204" t="s">
        <v>181</v>
      </c>
      <c r="L8" s="204">
        <f>SUMIFS($A$11:$A$401,$B$11:$B$401,"CH",$F$11:$F$401,"6")</f>
        <v>30</v>
      </c>
      <c r="M8" s="204" t="s">
        <v>7</v>
      </c>
      <c r="N8" s="204">
        <f>SUMIFS($A$11:$A$401,$B$11:$B$401,"RT",$F$11:$F$401,"6")</f>
        <v>2</v>
      </c>
      <c r="O8" s="204" t="s">
        <v>14</v>
      </c>
    </row>
    <row r="9" spans="1:15" ht="15.6" thickTop="1" thickBot="1" x14ac:dyDescent="0.35">
      <c r="A9" s="16" t="s">
        <v>30</v>
      </c>
      <c r="B9" s="58">
        <v>2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3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/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4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158"/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2</v>
      </c>
      <c r="O11" s="204" t="s">
        <v>14</v>
      </c>
    </row>
    <row r="12" spans="1:15" ht="15.6" thickTop="1" thickBot="1" x14ac:dyDescent="0.35">
      <c r="A12" s="145" t="s">
        <v>48</v>
      </c>
      <c r="B12" s="83" t="s">
        <v>49</v>
      </c>
      <c r="C12" s="83" t="s">
        <v>50</v>
      </c>
      <c r="D12" s="83" t="s">
        <v>51</v>
      </c>
      <c r="E12" s="83" t="s">
        <v>52</v>
      </c>
      <c r="F12" s="83" t="s">
        <v>53</v>
      </c>
      <c r="G12" s="83" t="s">
        <v>54</v>
      </c>
      <c r="H12" s="83" t="s">
        <v>55</v>
      </c>
      <c r="I12" s="83" t="s">
        <v>56</v>
      </c>
      <c r="J12" s="83" t="s">
        <v>57</v>
      </c>
      <c r="K12" s="204" t="s">
        <v>185</v>
      </c>
      <c r="L12" s="204">
        <f>SUMIFS($A$11:$A$401,$B$11:$B$401,"CH",$F$11:$F$401,"10")</f>
        <v>3</v>
      </c>
      <c r="M12" s="204" t="s">
        <v>7</v>
      </c>
      <c r="N12" s="204">
        <f>SUMIFS($A$11:$A$401,$B$11:$B$401,"RT",$F$11:$F$401,"10")</f>
        <v>4</v>
      </c>
      <c r="O12" s="204" t="s">
        <v>14</v>
      </c>
    </row>
    <row r="13" spans="1:15" ht="17.25" customHeight="1" x14ac:dyDescent="0.3">
      <c r="A13" s="134">
        <v>0</v>
      </c>
      <c r="B13" s="137"/>
      <c r="C13" s="135"/>
      <c r="D13" s="146"/>
      <c r="E13" s="135"/>
      <c r="F13" s="135">
        <v>1</v>
      </c>
      <c r="G13" s="135"/>
      <c r="H13" s="135"/>
      <c r="I13" s="147">
        <v>0.5</v>
      </c>
      <c r="J13" s="136"/>
      <c r="K13" s="204" t="s">
        <v>186</v>
      </c>
      <c r="L13" s="204">
        <f>SUMIFS($A$11:$A$401,$B$11:$B$401,"CH",$F$11:$F$401,"11")</f>
        <v>1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ht="17.25" customHeight="1" x14ac:dyDescent="0.3">
      <c r="A14" s="122">
        <v>1</v>
      </c>
      <c r="B14" s="60" t="s">
        <v>7</v>
      </c>
      <c r="C14" s="35">
        <v>40</v>
      </c>
      <c r="D14" s="128" t="s">
        <v>99</v>
      </c>
      <c r="E14" s="35">
        <v>1</v>
      </c>
      <c r="F14" s="35">
        <v>2</v>
      </c>
      <c r="G14" s="35" t="s">
        <v>9</v>
      </c>
      <c r="H14" s="35" t="s">
        <v>71</v>
      </c>
      <c r="I14" s="74"/>
      <c r="J14" s="123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ht="17.25" customHeight="1" x14ac:dyDescent="0.3">
      <c r="A15" s="122">
        <v>1</v>
      </c>
      <c r="B15" s="60" t="s">
        <v>14</v>
      </c>
      <c r="C15" s="35">
        <v>35</v>
      </c>
      <c r="D15" s="128" t="s">
        <v>72</v>
      </c>
      <c r="E15" s="35">
        <v>2</v>
      </c>
      <c r="F15" s="35">
        <v>2</v>
      </c>
      <c r="G15" s="35" t="s">
        <v>9</v>
      </c>
      <c r="H15" s="35" t="s">
        <v>125</v>
      </c>
      <c r="I15" s="74"/>
      <c r="J15" s="123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ht="17.25" customHeight="1" x14ac:dyDescent="0.3">
      <c r="A16" s="122">
        <v>1</v>
      </c>
      <c r="B16" s="60" t="s">
        <v>83</v>
      </c>
      <c r="C16" s="35">
        <v>250</v>
      </c>
      <c r="D16" s="128" t="s">
        <v>58</v>
      </c>
      <c r="E16" s="35">
        <v>5</v>
      </c>
      <c r="F16" s="35">
        <v>2</v>
      </c>
      <c r="G16" s="35" t="s">
        <v>9</v>
      </c>
      <c r="H16" s="35" t="s">
        <v>71</v>
      </c>
      <c r="I16" s="74"/>
      <c r="J16" s="123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ht="17.25" customHeight="1" x14ac:dyDescent="0.3">
      <c r="A17" s="122">
        <v>1</v>
      </c>
      <c r="B17" s="60" t="s">
        <v>14</v>
      </c>
      <c r="C17" s="35">
        <v>30</v>
      </c>
      <c r="D17" s="128" t="s">
        <v>105</v>
      </c>
      <c r="E17" s="35" t="s">
        <v>123</v>
      </c>
      <c r="F17" s="35">
        <v>3</v>
      </c>
      <c r="G17" s="35" t="s">
        <v>16</v>
      </c>
      <c r="H17" s="35" t="s">
        <v>139</v>
      </c>
      <c r="I17" s="74"/>
      <c r="J17" s="123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ht="17.25" customHeight="1" x14ac:dyDescent="0.3">
      <c r="A18" s="122">
        <v>1</v>
      </c>
      <c r="B18" s="60" t="s">
        <v>32</v>
      </c>
      <c r="C18" s="35">
        <v>30</v>
      </c>
      <c r="D18" s="128" t="s">
        <v>109</v>
      </c>
      <c r="E18" s="35">
        <v>4</v>
      </c>
      <c r="F18" s="35">
        <v>3</v>
      </c>
      <c r="G18" s="35" t="s">
        <v>9</v>
      </c>
      <c r="H18" s="35" t="s">
        <v>71</v>
      </c>
      <c r="I18" s="74"/>
      <c r="J18" s="123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ht="17.25" customHeight="1" x14ac:dyDescent="0.3">
      <c r="A19" s="122">
        <v>20</v>
      </c>
      <c r="B19" s="60" t="s">
        <v>83</v>
      </c>
      <c r="C19" s="35">
        <v>400</v>
      </c>
      <c r="D19" s="128" t="s">
        <v>109</v>
      </c>
      <c r="E19" s="35">
        <v>4</v>
      </c>
      <c r="F19" s="35">
        <v>4</v>
      </c>
      <c r="G19" s="35" t="s">
        <v>9</v>
      </c>
      <c r="H19" s="35" t="s">
        <v>71</v>
      </c>
      <c r="I19" s="74"/>
      <c r="J19" s="123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ht="17.25" customHeight="1" x14ac:dyDescent="0.3">
      <c r="A20" s="122">
        <v>1</v>
      </c>
      <c r="B20" s="60" t="s">
        <v>45</v>
      </c>
      <c r="C20" s="35">
        <v>20</v>
      </c>
      <c r="D20" s="128" t="s">
        <v>105</v>
      </c>
      <c r="E20" s="35" t="s">
        <v>123</v>
      </c>
      <c r="F20" s="35">
        <v>5</v>
      </c>
      <c r="G20" s="35" t="s">
        <v>16</v>
      </c>
      <c r="H20" s="35" t="s">
        <v>140</v>
      </c>
      <c r="I20" s="74"/>
      <c r="J20" s="123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ht="17.25" customHeight="1" x14ac:dyDescent="0.3">
      <c r="A21" s="122">
        <v>2</v>
      </c>
      <c r="B21" s="60" t="s">
        <v>14</v>
      </c>
      <c r="C21" s="35">
        <v>40</v>
      </c>
      <c r="D21" s="128" t="s">
        <v>72</v>
      </c>
      <c r="E21" s="35">
        <v>2</v>
      </c>
      <c r="F21" s="35">
        <v>6</v>
      </c>
      <c r="G21" s="35" t="s">
        <v>9</v>
      </c>
      <c r="H21" s="35" t="s">
        <v>11</v>
      </c>
      <c r="I21" s="74"/>
      <c r="J21" s="123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ht="17.25" customHeight="1" x14ac:dyDescent="0.3">
      <c r="A22" s="122">
        <v>50</v>
      </c>
      <c r="B22" s="60" t="s">
        <v>83</v>
      </c>
      <c r="C22" s="35">
        <v>200</v>
      </c>
      <c r="D22" s="128" t="s">
        <v>98</v>
      </c>
      <c r="E22" s="35">
        <v>3</v>
      </c>
      <c r="F22" s="35">
        <v>6</v>
      </c>
      <c r="G22" s="35" t="s">
        <v>9</v>
      </c>
      <c r="H22" s="35" t="s">
        <v>71</v>
      </c>
      <c r="I22" s="74"/>
      <c r="J22" s="123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ht="17.25" customHeight="1" x14ac:dyDescent="0.3">
      <c r="A23" s="122">
        <v>30</v>
      </c>
      <c r="B23" s="60" t="s">
        <v>7</v>
      </c>
      <c r="C23" s="35">
        <v>50</v>
      </c>
      <c r="D23" s="128" t="s">
        <v>58</v>
      </c>
      <c r="E23" s="35">
        <v>5</v>
      </c>
      <c r="F23" s="35">
        <v>6</v>
      </c>
      <c r="G23" s="35" t="s">
        <v>9</v>
      </c>
      <c r="H23" s="35" t="s">
        <v>11</v>
      </c>
      <c r="I23" s="74"/>
      <c r="J23" s="123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ht="17.25" customHeight="1" x14ac:dyDescent="0.3">
      <c r="A24" s="122">
        <v>1</v>
      </c>
      <c r="B24" s="60" t="s">
        <v>83</v>
      </c>
      <c r="C24" s="35">
        <v>400</v>
      </c>
      <c r="D24" s="128" t="s">
        <v>72</v>
      </c>
      <c r="E24" s="35">
        <v>2</v>
      </c>
      <c r="F24" s="35">
        <v>6</v>
      </c>
      <c r="G24" s="35" t="s">
        <v>9</v>
      </c>
      <c r="H24" s="35" t="s">
        <v>141</v>
      </c>
      <c r="I24" s="74"/>
      <c r="J24" s="123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ht="17.25" customHeight="1" x14ac:dyDescent="0.3">
      <c r="A25" s="122">
        <v>1</v>
      </c>
      <c r="B25" s="60" t="s">
        <v>14</v>
      </c>
      <c r="C25" s="35">
        <v>20</v>
      </c>
      <c r="D25" s="128" t="s">
        <v>105</v>
      </c>
      <c r="E25" s="35" t="s">
        <v>123</v>
      </c>
      <c r="F25" s="35">
        <v>5</v>
      </c>
      <c r="G25" s="35" t="s">
        <v>16</v>
      </c>
      <c r="H25" s="35" t="s">
        <v>139</v>
      </c>
      <c r="I25" s="74"/>
      <c r="J25" s="123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ht="17.25" customHeight="1" x14ac:dyDescent="0.3">
      <c r="A26" s="122">
        <v>1</v>
      </c>
      <c r="B26" s="60" t="s">
        <v>7</v>
      </c>
      <c r="C26" s="35">
        <v>40</v>
      </c>
      <c r="D26" s="128" t="s">
        <v>105</v>
      </c>
      <c r="E26" s="35" t="s">
        <v>123</v>
      </c>
      <c r="F26" s="35">
        <v>5</v>
      </c>
      <c r="G26" s="35" t="s">
        <v>16</v>
      </c>
      <c r="H26" s="35" t="s">
        <v>71</v>
      </c>
      <c r="I26" s="74"/>
      <c r="J26" s="123"/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ht="17.25" customHeight="1" x14ac:dyDescent="0.3">
      <c r="A27" s="122">
        <v>1</v>
      </c>
      <c r="B27" s="60" t="s">
        <v>14</v>
      </c>
      <c r="C27" s="35">
        <v>2000</v>
      </c>
      <c r="D27" s="128" t="s">
        <v>72</v>
      </c>
      <c r="E27" s="35">
        <v>2</v>
      </c>
      <c r="F27" s="35">
        <v>5</v>
      </c>
      <c r="G27" s="35" t="s">
        <v>9</v>
      </c>
      <c r="H27" s="35" t="s">
        <v>142</v>
      </c>
      <c r="I27" s="74"/>
      <c r="J27" s="123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ht="17.25" customHeight="1" x14ac:dyDescent="0.3">
      <c r="A28" s="122">
        <v>2</v>
      </c>
      <c r="B28" s="60" t="s">
        <v>7</v>
      </c>
      <c r="C28" s="35">
        <v>55</v>
      </c>
      <c r="D28" s="128" t="s">
        <v>58</v>
      </c>
      <c r="E28" s="35">
        <v>5</v>
      </c>
      <c r="F28" s="35">
        <v>5</v>
      </c>
      <c r="G28" s="35" t="s">
        <v>9</v>
      </c>
      <c r="H28" s="35" t="s">
        <v>11</v>
      </c>
      <c r="I28" s="74"/>
      <c r="J28" s="123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ht="17.25" customHeight="1" x14ac:dyDescent="0.3">
      <c r="A29" s="122">
        <v>1</v>
      </c>
      <c r="B29" s="60" t="s">
        <v>14</v>
      </c>
      <c r="C29" s="35">
        <v>50</v>
      </c>
      <c r="D29" s="128" t="s">
        <v>99</v>
      </c>
      <c r="E29" s="35">
        <v>1</v>
      </c>
      <c r="F29" s="35">
        <v>5</v>
      </c>
      <c r="G29" s="35" t="s">
        <v>9</v>
      </c>
      <c r="H29" s="35" t="s">
        <v>125</v>
      </c>
      <c r="I29" s="74"/>
      <c r="J29" s="123"/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ht="17.25" customHeight="1" x14ac:dyDescent="0.3">
      <c r="A30" s="122">
        <v>1</v>
      </c>
      <c r="B30" s="60" t="s">
        <v>83</v>
      </c>
      <c r="C30" s="35">
        <v>120</v>
      </c>
      <c r="D30" s="128" t="s">
        <v>98</v>
      </c>
      <c r="E30" s="35">
        <v>3</v>
      </c>
      <c r="F30" s="35">
        <v>7</v>
      </c>
      <c r="G30" s="35" t="s">
        <v>9</v>
      </c>
      <c r="H30" s="35" t="s">
        <v>71</v>
      </c>
      <c r="I30" s="74"/>
      <c r="J30" s="123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ht="17.25" customHeight="1" x14ac:dyDescent="0.3">
      <c r="A31" s="122">
        <v>2</v>
      </c>
      <c r="B31" s="60" t="s">
        <v>14</v>
      </c>
      <c r="C31" s="35">
        <v>35</v>
      </c>
      <c r="D31" s="128" t="s">
        <v>105</v>
      </c>
      <c r="E31" s="35" t="s">
        <v>123</v>
      </c>
      <c r="F31" s="35">
        <v>7</v>
      </c>
      <c r="G31" s="35" t="s">
        <v>16</v>
      </c>
      <c r="H31" s="35" t="s">
        <v>77</v>
      </c>
      <c r="I31" s="74"/>
      <c r="J31" s="123"/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ht="17.25" customHeight="1" x14ac:dyDescent="0.3">
      <c r="A32" s="122">
        <v>1</v>
      </c>
      <c r="B32" s="60" t="s">
        <v>14</v>
      </c>
      <c r="C32" s="35">
        <v>30</v>
      </c>
      <c r="D32" s="128" t="s">
        <v>109</v>
      </c>
      <c r="E32" s="35">
        <v>5</v>
      </c>
      <c r="F32" s="35">
        <v>7</v>
      </c>
      <c r="G32" s="35" t="s">
        <v>9</v>
      </c>
      <c r="H32" s="35" t="s">
        <v>143</v>
      </c>
      <c r="I32" s="74"/>
      <c r="J32" s="123"/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ht="17.25" customHeight="1" x14ac:dyDescent="0.3">
      <c r="A33" s="122">
        <v>2</v>
      </c>
      <c r="B33" s="60" t="s">
        <v>83</v>
      </c>
      <c r="C33" s="35">
        <v>200</v>
      </c>
      <c r="D33" s="128" t="s">
        <v>98</v>
      </c>
      <c r="E33" s="35">
        <v>3</v>
      </c>
      <c r="F33" s="35">
        <v>7</v>
      </c>
      <c r="G33" s="35" t="s">
        <v>9</v>
      </c>
      <c r="H33" s="35" t="s">
        <v>77</v>
      </c>
      <c r="I33" s="74"/>
      <c r="J33" s="123"/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ht="17.25" customHeight="1" x14ac:dyDescent="0.3">
      <c r="A34" s="122">
        <v>1</v>
      </c>
      <c r="B34" s="60" t="s">
        <v>14</v>
      </c>
      <c r="C34" s="35">
        <v>60</v>
      </c>
      <c r="D34" s="128" t="s">
        <v>98</v>
      </c>
      <c r="E34" s="35">
        <v>3</v>
      </c>
      <c r="F34" s="35">
        <v>8</v>
      </c>
      <c r="G34" s="35" t="s">
        <v>9</v>
      </c>
      <c r="H34" s="35" t="s">
        <v>77</v>
      </c>
      <c r="I34" s="74"/>
      <c r="J34" s="123"/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ht="17.25" customHeight="1" x14ac:dyDescent="0.3">
      <c r="A35" s="122">
        <v>1</v>
      </c>
      <c r="B35" s="60" t="s">
        <v>83</v>
      </c>
      <c r="C35" s="35">
        <v>250</v>
      </c>
      <c r="D35" s="128" t="s">
        <v>72</v>
      </c>
      <c r="E35" s="35">
        <v>2</v>
      </c>
      <c r="F35" s="35">
        <v>8</v>
      </c>
      <c r="G35" s="35" t="s">
        <v>9</v>
      </c>
      <c r="H35" s="35" t="s">
        <v>77</v>
      </c>
      <c r="I35" s="74"/>
      <c r="J35" s="123"/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ht="17.25" customHeight="1" x14ac:dyDescent="0.3">
      <c r="A36" s="122">
        <v>1</v>
      </c>
      <c r="B36" s="60" t="s">
        <v>14</v>
      </c>
      <c r="C36" s="35">
        <v>35</v>
      </c>
      <c r="D36" s="128" t="s">
        <v>58</v>
      </c>
      <c r="E36" s="35" t="s">
        <v>123</v>
      </c>
      <c r="F36" s="35">
        <v>8</v>
      </c>
      <c r="G36" s="35" t="s">
        <v>16</v>
      </c>
      <c r="H36" s="35" t="s">
        <v>71</v>
      </c>
      <c r="I36" s="74"/>
      <c r="J36" s="123"/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ht="17.25" customHeight="1" x14ac:dyDescent="0.3">
      <c r="A37" s="122">
        <v>1</v>
      </c>
      <c r="B37" s="60" t="s">
        <v>14</v>
      </c>
      <c r="C37" s="35">
        <v>60</v>
      </c>
      <c r="D37" s="128" t="s">
        <v>109</v>
      </c>
      <c r="E37" s="35">
        <v>4</v>
      </c>
      <c r="F37" s="35">
        <v>8</v>
      </c>
      <c r="G37" s="35" t="s">
        <v>9</v>
      </c>
      <c r="H37" s="35" t="s">
        <v>71</v>
      </c>
      <c r="I37" s="74"/>
      <c r="J37" s="123"/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ht="17.25" customHeight="1" x14ac:dyDescent="0.3">
      <c r="A38" s="122">
        <v>1</v>
      </c>
      <c r="B38" s="60" t="s">
        <v>14</v>
      </c>
      <c r="C38" s="35">
        <v>50</v>
      </c>
      <c r="D38" s="128" t="s">
        <v>72</v>
      </c>
      <c r="E38" s="35">
        <v>2</v>
      </c>
      <c r="F38" s="35">
        <v>8</v>
      </c>
      <c r="G38" s="35" t="s">
        <v>9</v>
      </c>
      <c r="H38" s="35" t="s">
        <v>71</v>
      </c>
      <c r="I38" s="74"/>
      <c r="J38" s="123"/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ht="17.25" customHeight="1" x14ac:dyDescent="0.3">
      <c r="A39" s="122">
        <v>1</v>
      </c>
      <c r="B39" s="60" t="s">
        <v>14</v>
      </c>
      <c r="C39" s="35">
        <v>35</v>
      </c>
      <c r="D39" s="128" t="s">
        <v>105</v>
      </c>
      <c r="E39" s="35" t="s">
        <v>123</v>
      </c>
      <c r="F39" s="35">
        <v>9</v>
      </c>
      <c r="G39" s="35" t="s">
        <v>16</v>
      </c>
      <c r="H39" s="35" t="s">
        <v>71</v>
      </c>
      <c r="I39" s="74"/>
      <c r="J39" s="123"/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ht="17.25" customHeight="1" x14ac:dyDescent="0.3">
      <c r="A40" s="122">
        <v>1</v>
      </c>
      <c r="B40" s="60" t="s">
        <v>14</v>
      </c>
      <c r="C40" s="35">
        <v>60</v>
      </c>
      <c r="D40" s="128" t="s">
        <v>99</v>
      </c>
      <c r="E40" s="35">
        <v>1</v>
      </c>
      <c r="F40" s="35">
        <v>9</v>
      </c>
      <c r="G40" s="35" t="s">
        <v>9</v>
      </c>
      <c r="H40" s="35" t="s">
        <v>77</v>
      </c>
      <c r="I40" s="74"/>
      <c r="J40" s="123"/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ht="17.25" customHeight="1" x14ac:dyDescent="0.3">
      <c r="A41" s="122">
        <v>1</v>
      </c>
      <c r="B41" s="60" t="s">
        <v>83</v>
      </c>
      <c r="C41" s="35">
        <v>40</v>
      </c>
      <c r="D41" s="128" t="s">
        <v>72</v>
      </c>
      <c r="E41" s="35">
        <v>2</v>
      </c>
      <c r="F41" s="35">
        <v>9</v>
      </c>
      <c r="G41" s="35" t="s">
        <v>9</v>
      </c>
      <c r="H41" s="35" t="s">
        <v>71</v>
      </c>
      <c r="I41" s="74"/>
      <c r="J41" s="123"/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ht="17.25" customHeight="1" x14ac:dyDescent="0.3">
      <c r="A42" s="122">
        <v>1</v>
      </c>
      <c r="B42" s="60" t="s">
        <v>83</v>
      </c>
      <c r="C42" s="35">
        <v>250</v>
      </c>
      <c r="D42" s="128" t="s">
        <v>138</v>
      </c>
      <c r="E42" s="35">
        <v>3</v>
      </c>
      <c r="F42" s="35">
        <v>9</v>
      </c>
      <c r="G42" s="35" t="s">
        <v>9</v>
      </c>
      <c r="H42" s="35" t="s">
        <v>144</v>
      </c>
      <c r="I42" s="74"/>
      <c r="J42" s="123"/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ht="17.25" customHeight="1" x14ac:dyDescent="0.3">
      <c r="A43" s="122">
        <v>1</v>
      </c>
      <c r="B43" s="60" t="s">
        <v>14</v>
      </c>
      <c r="C43" s="35">
        <v>125</v>
      </c>
      <c r="D43" s="128" t="s">
        <v>58</v>
      </c>
      <c r="E43" s="35">
        <v>5</v>
      </c>
      <c r="F43" s="35">
        <v>10</v>
      </c>
      <c r="G43" s="35" t="s">
        <v>9</v>
      </c>
      <c r="H43" s="35" t="s">
        <v>11</v>
      </c>
      <c r="I43" s="74"/>
      <c r="J43" s="123"/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ht="17.25" customHeight="1" x14ac:dyDescent="0.3">
      <c r="A44" s="122">
        <v>1</v>
      </c>
      <c r="B44" s="60" t="s">
        <v>7</v>
      </c>
      <c r="C44" s="35">
        <v>250</v>
      </c>
      <c r="D44" s="128" t="s">
        <v>99</v>
      </c>
      <c r="E44" s="35">
        <v>1</v>
      </c>
      <c r="F44" s="35">
        <v>10</v>
      </c>
      <c r="G44" s="35" t="s">
        <v>9</v>
      </c>
      <c r="H44" s="35" t="s">
        <v>77</v>
      </c>
      <c r="I44" s="74"/>
      <c r="J44" s="123"/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ht="17.25" customHeight="1" x14ac:dyDescent="0.3">
      <c r="A45" s="122">
        <v>1</v>
      </c>
      <c r="B45" s="60" t="s">
        <v>7</v>
      </c>
      <c r="C45" s="35">
        <v>40</v>
      </c>
      <c r="D45" s="128" t="s">
        <v>99</v>
      </c>
      <c r="E45" s="35">
        <v>1</v>
      </c>
      <c r="F45" s="35">
        <v>10</v>
      </c>
      <c r="G45" s="35" t="s">
        <v>9</v>
      </c>
      <c r="H45" s="35" t="s">
        <v>77</v>
      </c>
      <c r="I45" s="74"/>
      <c r="J45" s="123"/>
      <c r="K45" s="204" t="s">
        <v>222</v>
      </c>
      <c r="L45" s="204">
        <f>SUM(L3:L44)</f>
        <v>38</v>
      </c>
      <c r="M45" s="204" t="s">
        <v>7</v>
      </c>
      <c r="N45" s="204">
        <f>SUM(N3:N44)</f>
        <v>20</v>
      </c>
      <c r="O45" s="204" t="s">
        <v>14</v>
      </c>
    </row>
    <row r="46" spans="1:15" ht="17.25" customHeight="1" x14ac:dyDescent="0.3">
      <c r="A46" s="122">
        <v>1</v>
      </c>
      <c r="B46" s="60" t="s">
        <v>7</v>
      </c>
      <c r="C46" s="35">
        <v>250</v>
      </c>
      <c r="D46" s="128" t="s">
        <v>99</v>
      </c>
      <c r="E46" s="35">
        <v>1</v>
      </c>
      <c r="F46" s="35">
        <v>10</v>
      </c>
      <c r="G46" s="35" t="s">
        <v>9</v>
      </c>
      <c r="H46" s="35" t="s">
        <v>71</v>
      </c>
      <c r="I46" s="74"/>
      <c r="J46" s="123"/>
      <c r="K46" s="204"/>
      <c r="L46" s="204"/>
      <c r="M46" s="204"/>
      <c r="N46" s="204"/>
    </row>
    <row r="47" spans="1:15" ht="17.25" customHeight="1" x14ac:dyDescent="0.3">
      <c r="A47" s="122">
        <v>1</v>
      </c>
      <c r="B47" s="60" t="s">
        <v>32</v>
      </c>
      <c r="C47" s="35">
        <v>70</v>
      </c>
      <c r="D47" s="128" t="s">
        <v>98</v>
      </c>
      <c r="E47" s="35">
        <v>3</v>
      </c>
      <c r="F47" s="35">
        <v>10</v>
      </c>
      <c r="G47" s="35" t="s">
        <v>9</v>
      </c>
      <c r="H47" s="35" t="s">
        <v>125</v>
      </c>
      <c r="I47" s="74"/>
      <c r="J47" s="123"/>
      <c r="K47" s="204"/>
      <c r="N47" s="204"/>
    </row>
    <row r="48" spans="1:15" ht="17.25" customHeight="1" x14ac:dyDescent="0.3">
      <c r="A48" s="122">
        <v>1</v>
      </c>
      <c r="B48" s="60" t="s">
        <v>14</v>
      </c>
      <c r="C48" s="35">
        <v>75</v>
      </c>
      <c r="D48" s="128" t="s">
        <v>58</v>
      </c>
      <c r="E48" s="35">
        <v>5</v>
      </c>
      <c r="F48" s="35">
        <v>10</v>
      </c>
      <c r="G48" s="35" t="s">
        <v>9</v>
      </c>
      <c r="H48" s="35" t="s">
        <v>71</v>
      </c>
      <c r="I48" s="74"/>
      <c r="J48" s="123"/>
      <c r="K48" s="204"/>
      <c r="N48" s="204"/>
    </row>
    <row r="49" spans="1:15" x14ac:dyDescent="0.3">
      <c r="A49" s="109">
        <v>1</v>
      </c>
      <c r="B49" s="61" t="s">
        <v>14</v>
      </c>
      <c r="C49" s="39">
        <v>50</v>
      </c>
      <c r="D49" s="39" t="s">
        <v>72</v>
      </c>
      <c r="E49" s="39">
        <v>2</v>
      </c>
      <c r="F49" s="39">
        <v>10</v>
      </c>
      <c r="G49" s="39" t="s">
        <v>9</v>
      </c>
      <c r="H49" s="39" t="s">
        <v>71</v>
      </c>
      <c r="I49" s="39"/>
      <c r="J49" s="110"/>
      <c r="K49" s="204"/>
      <c r="N49" s="204"/>
    </row>
    <row r="50" spans="1:15" x14ac:dyDescent="0.3">
      <c r="A50" s="109">
        <v>1</v>
      </c>
      <c r="B50" s="61" t="s">
        <v>14</v>
      </c>
      <c r="C50" s="39">
        <v>50</v>
      </c>
      <c r="D50" s="39" t="s">
        <v>72</v>
      </c>
      <c r="E50" s="39">
        <v>2</v>
      </c>
      <c r="F50" s="39">
        <v>10</v>
      </c>
      <c r="G50" s="39" t="s">
        <v>9</v>
      </c>
      <c r="H50" s="39" t="s">
        <v>71</v>
      </c>
      <c r="I50" s="39"/>
      <c r="J50" s="110"/>
      <c r="K50" s="204"/>
      <c r="N50" s="204"/>
    </row>
    <row r="51" spans="1:15" ht="15" thickBot="1" x14ac:dyDescent="0.35">
      <c r="A51" s="124">
        <v>1</v>
      </c>
      <c r="B51" s="71" t="s">
        <v>7</v>
      </c>
      <c r="C51" s="78">
        <v>35</v>
      </c>
      <c r="D51" s="78" t="s">
        <v>58</v>
      </c>
      <c r="E51" s="78">
        <v>5</v>
      </c>
      <c r="F51" s="78">
        <v>11</v>
      </c>
      <c r="G51" s="78" t="s">
        <v>9</v>
      </c>
      <c r="H51" s="78" t="s">
        <v>71</v>
      </c>
      <c r="I51" s="192">
        <v>0.56597222222222221</v>
      </c>
      <c r="J51" s="125"/>
      <c r="K51" s="204"/>
      <c r="N51" s="204"/>
    </row>
    <row r="52" spans="1:15" x14ac:dyDescent="0.3">
      <c r="A52" s="118"/>
      <c r="B52" s="79"/>
      <c r="C52" s="118"/>
      <c r="D52" s="118"/>
      <c r="E52" s="118"/>
      <c r="F52" s="118"/>
      <c r="G52" s="118"/>
      <c r="H52" s="118"/>
      <c r="I52" s="118"/>
      <c r="J52" s="118"/>
      <c r="K52" s="204"/>
      <c r="N52" s="204"/>
    </row>
    <row r="53" spans="1:15" x14ac:dyDescent="0.3">
      <c r="A53" s="118"/>
      <c r="B53" s="79"/>
      <c r="C53" s="118"/>
      <c r="D53" s="118"/>
      <c r="E53" s="118"/>
      <c r="F53" s="118"/>
      <c r="G53" s="118"/>
      <c r="H53" s="118"/>
      <c r="I53" s="118"/>
      <c r="J53" s="118"/>
      <c r="K53" s="204"/>
      <c r="N53" s="204"/>
    </row>
    <row r="54" spans="1:15" x14ac:dyDescent="0.3">
      <c r="A54" s="118"/>
      <c r="B54" s="79"/>
      <c r="C54" s="118"/>
      <c r="D54" s="118"/>
      <c r="E54" s="118"/>
      <c r="F54" s="118"/>
      <c r="G54" s="118"/>
      <c r="H54" s="118"/>
      <c r="I54" s="118"/>
      <c r="J54" s="118"/>
      <c r="K54" s="204"/>
      <c r="N54" s="204"/>
    </row>
    <row r="55" spans="1:15" x14ac:dyDescent="0.3">
      <c r="A55" s="118"/>
      <c r="B55" s="79"/>
      <c r="C55" s="118"/>
      <c r="D55" s="118"/>
      <c r="E55" s="118"/>
      <c r="F55" s="118"/>
      <c r="G55" s="118"/>
      <c r="H55" s="118"/>
      <c r="I55" s="118"/>
      <c r="J55" s="118"/>
      <c r="K55" s="204"/>
      <c r="N55" s="204"/>
    </row>
    <row r="56" spans="1:15" x14ac:dyDescent="0.3">
      <c r="A56" s="118"/>
      <c r="B56" s="79"/>
      <c r="C56" s="118"/>
      <c r="D56" s="118"/>
      <c r="E56" s="118"/>
      <c r="F56" s="118"/>
      <c r="G56" s="118"/>
      <c r="H56" s="118"/>
      <c r="I56" s="118"/>
      <c r="J56" s="118"/>
      <c r="K56" s="204"/>
      <c r="N56" s="204"/>
    </row>
    <row r="57" spans="1:15" s="22" customFormat="1" x14ac:dyDescent="0.3">
      <c r="A57" s="118"/>
      <c r="B57" s="79"/>
      <c r="C57" s="118"/>
      <c r="D57" s="118"/>
      <c r="E57" s="118"/>
      <c r="F57" s="118"/>
      <c r="G57" s="118"/>
      <c r="H57" s="118"/>
      <c r="I57" s="118"/>
      <c r="J57" s="118"/>
      <c r="K57" s="204"/>
      <c r="L57"/>
      <c r="M57"/>
      <c r="N57" s="204"/>
      <c r="O57"/>
    </row>
    <row r="58" spans="1:15" s="22" customFormat="1" x14ac:dyDescent="0.3">
      <c r="A58" s="118"/>
      <c r="B58" s="79"/>
      <c r="C58" s="118"/>
      <c r="D58" s="118"/>
      <c r="E58" s="118"/>
      <c r="F58" s="118"/>
      <c r="G58" s="118"/>
      <c r="H58" s="118"/>
      <c r="I58" s="118"/>
      <c r="J58" s="118"/>
      <c r="K58" s="204"/>
      <c r="L58"/>
      <c r="M58"/>
      <c r="N58" s="204"/>
      <c r="O58"/>
    </row>
    <row r="59" spans="1:15" s="22" customFormat="1" x14ac:dyDescent="0.3">
      <c r="A59" s="118"/>
      <c r="B59" s="79"/>
      <c r="C59" s="118"/>
      <c r="D59" s="118"/>
      <c r="E59" s="118"/>
      <c r="F59" s="118"/>
      <c r="G59" s="118"/>
      <c r="H59" s="118"/>
      <c r="I59" s="119"/>
      <c r="J59" s="118"/>
      <c r="K59" s="204"/>
      <c r="L59"/>
      <c r="M59"/>
      <c r="N59" s="204"/>
      <c r="O59"/>
    </row>
    <row r="60" spans="1:15" s="22" customFormat="1" x14ac:dyDescent="0.3">
      <c r="K60" s="204"/>
      <c r="L60"/>
      <c r="M60"/>
      <c r="N60" s="204"/>
      <c r="O60"/>
    </row>
    <row r="61" spans="1:15" x14ac:dyDescent="0.3">
      <c r="K61" s="204"/>
      <c r="N61" s="204"/>
    </row>
    <row r="62" spans="1:15" x14ac:dyDescent="0.3">
      <c r="K62" s="204"/>
      <c r="N62" s="204"/>
    </row>
    <row r="63" spans="1:15" x14ac:dyDescent="0.3">
      <c r="K63" s="204"/>
      <c r="N63" s="204"/>
    </row>
    <row r="64" spans="1:15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7"/>
  <sheetViews>
    <sheetView workbookViewId="0">
      <selection activeCell="M27" sqref="M27"/>
    </sheetView>
  </sheetViews>
  <sheetFormatPr defaultRowHeight="14.4" x14ac:dyDescent="0.3"/>
  <cols>
    <col min="2" max="2" width="11.109375" customWidth="1"/>
    <col min="5" max="5" width="12.33203125" bestFit="1" customWidth="1"/>
    <col min="6" max="6" width="10.5546875" customWidth="1"/>
    <col min="7" max="7" width="14.6640625" bestFit="1" customWidth="1"/>
    <col min="8" max="8" width="8.6640625" bestFit="1" customWidth="1"/>
    <col min="9" max="9" width="10.44140625" customWidth="1"/>
    <col min="10" max="10" width="10.5546875" bestFit="1" customWidth="1"/>
    <col min="11" max="11" width="8.109375" customWidth="1"/>
    <col min="12" max="12" width="8.6640625" customWidth="1"/>
    <col min="13" max="15" width="8.44140625" customWidth="1"/>
  </cols>
  <sheetData>
    <row r="1" spans="1:15" ht="15" thickBot="1" x14ac:dyDescent="0.35">
      <c r="A1" s="84"/>
      <c r="B1" s="85"/>
      <c r="C1" s="85"/>
      <c r="D1" s="86" t="s">
        <v>96</v>
      </c>
      <c r="E1" s="85"/>
      <c r="F1" s="85"/>
      <c r="G1" s="85"/>
      <c r="H1" s="87"/>
      <c r="I1" s="88" t="s">
        <v>159</v>
      </c>
      <c r="J1" s="154" t="s">
        <v>117</v>
      </c>
      <c r="K1" s="210" t="s">
        <v>223</v>
      </c>
      <c r="L1" s="49"/>
      <c r="M1" s="50"/>
      <c r="N1" s="50"/>
    </row>
    <row r="2" spans="1:15" ht="15.6" thickTop="1" thickBot="1" x14ac:dyDescent="0.35">
      <c r="A2" s="90" t="s">
        <v>61</v>
      </c>
      <c r="B2" s="2" t="s">
        <v>165</v>
      </c>
      <c r="C2" s="2"/>
      <c r="D2" s="3"/>
      <c r="E2" s="2"/>
      <c r="F2" s="2"/>
      <c r="G2" s="6"/>
      <c r="H2" s="46"/>
      <c r="I2" s="56" t="s">
        <v>73</v>
      </c>
      <c r="J2" s="91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92" t="s">
        <v>5</v>
      </c>
      <c r="B3" s="93">
        <v>1709</v>
      </c>
      <c r="C3" s="7" t="s">
        <v>2</v>
      </c>
      <c r="D3" s="8"/>
      <c r="E3" s="7" t="s">
        <v>3</v>
      </c>
      <c r="F3" s="9"/>
      <c r="G3" s="94" t="s">
        <v>4</v>
      </c>
      <c r="H3" s="8"/>
      <c r="I3" s="22"/>
      <c r="J3" s="95"/>
      <c r="K3" s="204" t="s">
        <v>176</v>
      </c>
      <c r="L3" s="204">
        <f>SUMIFS($A$11:$A$401,$B$11:$B$401,"CH",$F$11:$F$401,"1")</f>
        <v>1</v>
      </c>
      <c r="M3" s="204" t="s">
        <v>7</v>
      </c>
      <c r="N3" s="204">
        <f>SUMIFS($A$11:$A$401,$B$11:$B$401,"RT",$F$11:$F$401,"1")</f>
        <v>14</v>
      </c>
      <c r="O3" s="204" t="s">
        <v>14</v>
      </c>
    </row>
    <row r="4" spans="1:15" ht="15.6" thickTop="1" thickBot="1" x14ac:dyDescent="0.35">
      <c r="A4" s="90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96" t="s">
        <v>10</v>
      </c>
      <c r="H4" s="15" t="s">
        <v>11</v>
      </c>
      <c r="I4" s="97" t="s">
        <v>58</v>
      </c>
      <c r="J4" s="95"/>
      <c r="K4" s="204" t="s">
        <v>177</v>
      </c>
      <c r="L4" s="204">
        <f>SUMIFS($A$11:$A$401,$B$11:$B$401,"CH",$F$11:$F$401,"2")</f>
        <v>11</v>
      </c>
      <c r="M4" s="204" t="s">
        <v>7</v>
      </c>
      <c r="N4" s="204">
        <f>SUMIFS($A$11:$A$401,$B$11:$B$401,"RT",$F$11:$F$401,"2")</f>
        <v>184</v>
      </c>
      <c r="O4" s="204" t="s">
        <v>14</v>
      </c>
    </row>
    <row r="5" spans="1:15" ht="15" thickTop="1" x14ac:dyDescent="0.3">
      <c r="A5" s="98" t="s">
        <v>67</v>
      </c>
      <c r="B5" s="55">
        <v>0.5229166666666667</v>
      </c>
      <c r="C5" s="11" t="s">
        <v>13</v>
      </c>
      <c r="D5" s="12" t="s">
        <v>14</v>
      </c>
      <c r="E5" s="13" t="s">
        <v>15</v>
      </c>
      <c r="F5" s="12" t="s">
        <v>16</v>
      </c>
      <c r="G5" s="96" t="s">
        <v>17</v>
      </c>
      <c r="H5" s="15" t="s">
        <v>18</v>
      </c>
      <c r="I5" s="97" t="s">
        <v>98</v>
      </c>
      <c r="J5" s="95"/>
      <c r="K5" s="204" t="s">
        <v>178</v>
      </c>
      <c r="L5" s="204">
        <f>SUMIFS($A$11:$A$401,$B$11:$B$401,"CH",$F$11:$F$401,"3")</f>
        <v>3</v>
      </c>
      <c r="M5" s="204" t="s">
        <v>7</v>
      </c>
      <c r="N5" s="204">
        <f>SUMIFS($A$11:$A$401,$B$11:$B$401,"RT",$F$11:$F$401,"3")</f>
        <v>25</v>
      </c>
      <c r="O5" s="204" t="s">
        <v>14</v>
      </c>
    </row>
    <row r="6" spans="1:15" x14ac:dyDescent="0.3">
      <c r="A6" s="99" t="s">
        <v>12</v>
      </c>
      <c r="B6" s="17">
        <v>43699</v>
      </c>
      <c r="C6" s="11" t="s">
        <v>19</v>
      </c>
      <c r="D6" s="12" t="s">
        <v>20</v>
      </c>
      <c r="E6" s="13" t="s">
        <v>21</v>
      </c>
      <c r="F6" s="12" t="s">
        <v>22</v>
      </c>
      <c r="G6" s="96" t="s">
        <v>23</v>
      </c>
      <c r="H6" s="15" t="s">
        <v>24</v>
      </c>
      <c r="I6" s="97" t="s">
        <v>68</v>
      </c>
      <c r="J6" s="95"/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3</v>
      </c>
      <c r="O6" s="204" t="s">
        <v>14</v>
      </c>
    </row>
    <row r="7" spans="1:15" x14ac:dyDescent="0.3">
      <c r="A7" s="163" t="s">
        <v>92</v>
      </c>
      <c r="B7" s="18">
        <v>14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97" t="s">
        <v>109</v>
      </c>
      <c r="J7" s="95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1</v>
      </c>
      <c r="O7" s="204" t="s">
        <v>14</v>
      </c>
    </row>
    <row r="8" spans="1:15" ht="15" thickBot="1" x14ac:dyDescent="0.35">
      <c r="A8" s="101" t="s">
        <v>25</v>
      </c>
      <c r="B8" s="41">
        <v>2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97"/>
      <c r="J8" s="95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01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102" t="s">
        <v>37</v>
      </c>
      <c r="H9" s="25"/>
      <c r="I9" s="28"/>
      <c r="J9" s="103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0</v>
      </c>
      <c r="O9" s="204" t="s">
        <v>14</v>
      </c>
    </row>
    <row r="10" spans="1:15" ht="15" thickTop="1" x14ac:dyDescent="0.3">
      <c r="A10" s="104" t="s">
        <v>33</v>
      </c>
      <c r="B10" s="22"/>
      <c r="C10" s="11" t="s">
        <v>38</v>
      </c>
      <c r="D10" s="12" t="s">
        <v>39</v>
      </c>
      <c r="E10" s="105" t="s">
        <v>40</v>
      </c>
      <c r="F10" s="27" t="s">
        <v>41</v>
      </c>
      <c r="G10" s="102" t="s">
        <v>42</v>
      </c>
      <c r="H10" s="9"/>
      <c r="I10" s="106" t="s">
        <v>43</v>
      </c>
      <c r="J10" s="107" t="s">
        <v>107</v>
      </c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108"/>
      <c r="B11" s="29"/>
      <c r="C11" s="28" t="s">
        <v>44</v>
      </c>
      <c r="D11" s="30" t="s">
        <v>45</v>
      </c>
      <c r="E11" s="105" t="s">
        <v>46</v>
      </c>
      <c r="F11" s="30" t="s">
        <v>69</v>
      </c>
      <c r="G11" s="22" t="s">
        <v>59</v>
      </c>
      <c r="H11" s="30" t="s">
        <v>47</v>
      </c>
      <c r="I11" s="162"/>
      <c r="J11" s="103" t="s">
        <v>166</v>
      </c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188" t="s">
        <v>48</v>
      </c>
      <c r="B12" s="83" t="s">
        <v>49</v>
      </c>
      <c r="C12" s="83" t="s">
        <v>50</v>
      </c>
      <c r="D12" s="83" t="s">
        <v>51</v>
      </c>
      <c r="E12" s="83" t="s">
        <v>52</v>
      </c>
      <c r="F12" s="83" t="s">
        <v>53</v>
      </c>
      <c r="G12" s="83" t="s">
        <v>54</v>
      </c>
      <c r="H12" s="83" t="s">
        <v>55</v>
      </c>
      <c r="I12" s="83" t="s">
        <v>56</v>
      </c>
      <c r="J12" s="189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x14ac:dyDescent="0.3">
      <c r="A13" s="134">
        <v>2</v>
      </c>
      <c r="B13" s="137" t="s">
        <v>167</v>
      </c>
      <c r="C13" s="175">
        <v>40</v>
      </c>
      <c r="D13" s="135" t="s">
        <v>98</v>
      </c>
      <c r="E13" s="135">
        <v>1</v>
      </c>
      <c r="F13" s="135">
        <v>1</v>
      </c>
      <c r="G13" s="135" t="s">
        <v>76</v>
      </c>
      <c r="H13" s="135"/>
      <c r="I13" s="135"/>
      <c r="J13" s="136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5</v>
      </c>
      <c r="O13" s="204" t="s">
        <v>14</v>
      </c>
    </row>
    <row r="14" spans="1:15" x14ac:dyDescent="0.3">
      <c r="A14" s="109">
        <v>2</v>
      </c>
      <c r="B14" s="61" t="s">
        <v>14</v>
      </c>
      <c r="C14" s="69">
        <v>120</v>
      </c>
      <c r="D14" s="39" t="s">
        <v>98</v>
      </c>
      <c r="E14" s="39">
        <v>1</v>
      </c>
      <c r="F14" s="39">
        <v>1</v>
      </c>
      <c r="G14" s="35" t="s">
        <v>76</v>
      </c>
      <c r="H14" s="39" t="s">
        <v>71</v>
      </c>
      <c r="I14" s="39"/>
      <c r="J14" s="110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3</v>
      </c>
      <c r="O14" s="204" t="s">
        <v>14</v>
      </c>
    </row>
    <row r="15" spans="1:15" x14ac:dyDescent="0.3">
      <c r="A15" s="109">
        <v>1</v>
      </c>
      <c r="B15" s="61" t="s">
        <v>7</v>
      </c>
      <c r="C15" s="69">
        <v>50</v>
      </c>
      <c r="D15" s="39" t="s">
        <v>98</v>
      </c>
      <c r="E15" s="39">
        <v>1</v>
      </c>
      <c r="F15" s="39">
        <v>1</v>
      </c>
      <c r="G15" s="35" t="s">
        <v>76</v>
      </c>
      <c r="H15" s="39" t="s">
        <v>18</v>
      </c>
      <c r="I15" s="39"/>
      <c r="J15" s="110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3</v>
      </c>
      <c r="O15" s="204" t="s">
        <v>14</v>
      </c>
    </row>
    <row r="16" spans="1:15" x14ac:dyDescent="0.3">
      <c r="A16" s="109">
        <v>1</v>
      </c>
      <c r="B16" s="61" t="s">
        <v>14</v>
      </c>
      <c r="C16" s="69">
        <v>30</v>
      </c>
      <c r="D16" s="39" t="s">
        <v>109</v>
      </c>
      <c r="E16" s="39">
        <v>5</v>
      </c>
      <c r="F16" s="39">
        <v>3</v>
      </c>
      <c r="G16" s="35" t="s">
        <v>111</v>
      </c>
      <c r="H16" s="39" t="s">
        <v>71</v>
      </c>
      <c r="I16" s="39"/>
      <c r="J16" s="110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1</v>
      </c>
      <c r="O16" s="204" t="s">
        <v>14</v>
      </c>
    </row>
    <row r="17" spans="1:15" x14ac:dyDescent="0.3">
      <c r="A17" s="109">
        <v>1</v>
      </c>
      <c r="B17" s="61" t="s">
        <v>14</v>
      </c>
      <c r="C17" s="69">
        <v>50</v>
      </c>
      <c r="D17" s="39" t="s">
        <v>98</v>
      </c>
      <c r="E17" s="39">
        <v>1</v>
      </c>
      <c r="F17" s="39">
        <v>1</v>
      </c>
      <c r="G17" s="35" t="s">
        <v>76</v>
      </c>
      <c r="H17" s="39" t="s">
        <v>102</v>
      </c>
      <c r="I17" s="39"/>
      <c r="J17" s="110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1</v>
      </c>
      <c r="B18" s="61" t="s">
        <v>14</v>
      </c>
      <c r="C18" s="69">
        <v>30</v>
      </c>
      <c r="D18" s="39" t="s">
        <v>72</v>
      </c>
      <c r="E18" s="39">
        <v>2</v>
      </c>
      <c r="F18" s="39">
        <v>2</v>
      </c>
      <c r="G18" s="35"/>
      <c r="H18" s="39" t="s">
        <v>71</v>
      </c>
      <c r="I18" s="39"/>
      <c r="J18" s="110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1</v>
      </c>
      <c r="B19" s="61" t="s">
        <v>14</v>
      </c>
      <c r="C19" s="69">
        <v>120</v>
      </c>
      <c r="D19" s="39" t="s">
        <v>68</v>
      </c>
      <c r="E19" s="39">
        <v>3</v>
      </c>
      <c r="F19" s="39">
        <v>2</v>
      </c>
      <c r="G19" s="35"/>
      <c r="H19" s="39" t="s">
        <v>102</v>
      </c>
      <c r="I19" s="39"/>
      <c r="J19" s="110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70</v>
      </c>
      <c r="B20" s="61" t="s">
        <v>14</v>
      </c>
      <c r="C20" s="69">
        <v>40</v>
      </c>
      <c r="D20" s="39" t="s">
        <v>58</v>
      </c>
      <c r="E20" s="39">
        <v>2</v>
      </c>
      <c r="F20" s="39">
        <v>2</v>
      </c>
      <c r="G20" s="35"/>
      <c r="H20" s="39" t="s">
        <v>71</v>
      </c>
      <c r="I20" s="39"/>
      <c r="J20" s="110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1</v>
      </c>
      <c r="B21" s="61" t="s">
        <v>7</v>
      </c>
      <c r="C21" s="69">
        <v>500</v>
      </c>
      <c r="D21" s="39" t="s">
        <v>98</v>
      </c>
      <c r="E21" s="39">
        <v>1</v>
      </c>
      <c r="F21" s="39">
        <v>2</v>
      </c>
      <c r="G21" s="35"/>
      <c r="H21" s="39" t="s">
        <v>102</v>
      </c>
      <c r="I21" s="39"/>
      <c r="J21" s="110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2</v>
      </c>
      <c r="B22" s="61" t="s">
        <v>7</v>
      </c>
      <c r="C22" s="69">
        <v>700</v>
      </c>
      <c r="D22" s="39" t="s">
        <v>98</v>
      </c>
      <c r="E22" s="39">
        <v>1</v>
      </c>
      <c r="F22" s="39">
        <v>2</v>
      </c>
      <c r="G22" s="35"/>
      <c r="H22" s="39"/>
      <c r="I22" s="39"/>
      <c r="J22" s="110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200</v>
      </c>
      <c r="B23" s="61" t="s">
        <v>83</v>
      </c>
      <c r="C23" s="69">
        <v>600</v>
      </c>
      <c r="D23" s="39" t="s">
        <v>98</v>
      </c>
      <c r="E23" s="39">
        <v>1</v>
      </c>
      <c r="F23" s="39">
        <v>2</v>
      </c>
      <c r="G23" s="35"/>
      <c r="H23" s="39" t="s">
        <v>80</v>
      </c>
      <c r="I23" s="39"/>
      <c r="J23" s="110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09">
        <v>2</v>
      </c>
      <c r="B24" s="61" t="s">
        <v>20</v>
      </c>
      <c r="C24" s="69">
        <v>60</v>
      </c>
      <c r="D24" s="39" t="s">
        <v>109</v>
      </c>
      <c r="E24" s="39">
        <v>4</v>
      </c>
      <c r="F24" s="39">
        <v>2</v>
      </c>
      <c r="G24" s="35"/>
      <c r="H24" s="39" t="s">
        <v>80</v>
      </c>
      <c r="I24" s="39"/>
      <c r="J24" s="110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109">
        <v>1</v>
      </c>
      <c r="B25" s="61" t="s">
        <v>7</v>
      </c>
      <c r="C25" s="69">
        <v>90</v>
      </c>
      <c r="D25" s="39" t="s">
        <v>109</v>
      </c>
      <c r="E25" s="39">
        <v>4</v>
      </c>
      <c r="F25" s="39">
        <v>2</v>
      </c>
      <c r="G25" s="35"/>
      <c r="H25" s="39"/>
      <c r="I25" s="39"/>
      <c r="J25" s="110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109">
        <v>2</v>
      </c>
      <c r="B26" s="61" t="s">
        <v>7</v>
      </c>
      <c r="C26" s="69">
        <v>50</v>
      </c>
      <c r="D26" s="39" t="s">
        <v>58</v>
      </c>
      <c r="E26" s="39">
        <v>2</v>
      </c>
      <c r="F26" s="39">
        <v>2</v>
      </c>
      <c r="G26" s="35"/>
      <c r="H26" s="39" t="s">
        <v>102</v>
      </c>
      <c r="I26" s="39"/>
      <c r="J26" s="110"/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109">
        <v>1</v>
      </c>
      <c r="B27" s="61" t="s">
        <v>14</v>
      </c>
      <c r="C27" s="69">
        <v>40</v>
      </c>
      <c r="D27" s="39" t="s">
        <v>98</v>
      </c>
      <c r="E27" s="39">
        <v>1</v>
      </c>
      <c r="F27" s="39">
        <v>4</v>
      </c>
      <c r="G27" s="35" t="s">
        <v>22</v>
      </c>
      <c r="H27" s="39" t="s">
        <v>102</v>
      </c>
      <c r="I27" s="39"/>
      <c r="J27" s="110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109">
        <v>1</v>
      </c>
      <c r="B28" s="61" t="s">
        <v>14</v>
      </c>
      <c r="C28" s="69">
        <v>50</v>
      </c>
      <c r="D28" s="39" t="s">
        <v>98</v>
      </c>
      <c r="E28" s="39">
        <v>1</v>
      </c>
      <c r="F28" s="39">
        <v>4</v>
      </c>
      <c r="G28" s="35" t="s">
        <v>22</v>
      </c>
      <c r="H28" s="39"/>
      <c r="I28" s="39"/>
      <c r="J28" s="110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109">
        <v>1</v>
      </c>
      <c r="B29" s="61" t="s">
        <v>14</v>
      </c>
      <c r="C29" s="69">
        <v>60</v>
      </c>
      <c r="D29" s="39" t="s">
        <v>98</v>
      </c>
      <c r="E29" s="39">
        <v>1</v>
      </c>
      <c r="F29" s="39">
        <v>5</v>
      </c>
      <c r="G29" s="35" t="s">
        <v>41</v>
      </c>
      <c r="H29" s="39"/>
      <c r="I29" s="39"/>
      <c r="J29" s="110"/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109">
        <v>0</v>
      </c>
      <c r="B30" s="61"/>
      <c r="C30" s="69"/>
      <c r="D30" s="39" t="s">
        <v>98</v>
      </c>
      <c r="E30" s="39"/>
      <c r="F30" s="39">
        <v>6</v>
      </c>
      <c r="G30" s="35" t="s">
        <v>41</v>
      </c>
      <c r="H30" s="39"/>
      <c r="I30" s="39"/>
      <c r="J30" s="110" t="s">
        <v>115</v>
      </c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109">
        <v>0</v>
      </c>
      <c r="B31" s="61"/>
      <c r="C31" s="69"/>
      <c r="D31" s="39" t="s">
        <v>98</v>
      </c>
      <c r="E31" s="39"/>
      <c r="F31" s="39">
        <v>7</v>
      </c>
      <c r="G31" s="35"/>
      <c r="H31" s="39"/>
      <c r="I31" s="39"/>
      <c r="J31" s="110" t="s">
        <v>115</v>
      </c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109">
        <v>0</v>
      </c>
      <c r="B32" s="61"/>
      <c r="C32" s="69"/>
      <c r="D32" s="39" t="s">
        <v>98</v>
      </c>
      <c r="E32" s="39"/>
      <c r="F32" s="39">
        <v>8</v>
      </c>
      <c r="G32" s="35"/>
      <c r="H32" s="39"/>
      <c r="I32" s="39"/>
      <c r="J32" s="110" t="s">
        <v>115</v>
      </c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109">
        <v>0</v>
      </c>
      <c r="B33" s="61"/>
      <c r="C33" s="69"/>
      <c r="D33" s="39" t="s">
        <v>68</v>
      </c>
      <c r="E33" s="39"/>
      <c r="F33" s="39">
        <v>9</v>
      </c>
      <c r="G33" s="35"/>
      <c r="H33" s="39"/>
      <c r="I33" s="39"/>
      <c r="J33" s="110" t="s">
        <v>115</v>
      </c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x14ac:dyDescent="0.3">
      <c r="A34" s="109">
        <v>0</v>
      </c>
      <c r="B34" s="61"/>
      <c r="C34" s="69"/>
      <c r="D34" s="39" t="s">
        <v>68</v>
      </c>
      <c r="E34" s="39"/>
      <c r="F34" s="39">
        <v>10</v>
      </c>
      <c r="G34" s="35"/>
      <c r="H34" s="39"/>
      <c r="I34" s="39"/>
      <c r="J34" s="110" t="s">
        <v>115</v>
      </c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A35" s="109">
        <v>4</v>
      </c>
      <c r="B35" s="61" t="s">
        <v>14</v>
      </c>
      <c r="C35" s="69">
        <v>30</v>
      </c>
      <c r="D35" s="39" t="s">
        <v>68</v>
      </c>
      <c r="E35" s="39"/>
      <c r="F35" s="39">
        <v>11</v>
      </c>
      <c r="G35" s="35"/>
      <c r="H35" s="39"/>
      <c r="I35" s="39"/>
      <c r="J35" s="110"/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A36" s="109">
        <v>1</v>
      </c>
      <c r="B36" s="61" t="s">
        <v>14</v>
      </c>
      <c r="C36" s="69">
        <v>30</v>
      </c>
      <c r="D36" s="39" t="s">
        <v>68</v>
      </c>
      <c r="E36" s="39"/>
      <c r="F36" s="39">
        <v>11</v>
      </c>
      <c r="G36" s="35"/>
      <c r="H36" s="39"/>
      <c r="I36" s="39"/>
      <c r="J36" s="110"/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A37" s="109">
        <v>1</v>
      </c>
      <c r="B37" s="61" t="s">
        <v>14</v>
      </c>
      <c r="C37" s="69">
        <v>30</v>
      </c>
      <c r="D37" s="39" t="s">
        <v>72</v>
      </c>
      <c r="E37" s="39"/>
      <c r="F37" s="39">
        <v>12</v>
      </c>
      <c r="G37" s="35"/>
      <c r="H37" s="39" t="s">
        <v>71</v>
      </c>
      <c r="I37" s="39"/>
      <c r="J37" s="110"/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x14ac:dyDescent="0.3">
      <c r="A38" s="109">
        <v>1</v>
      </c>
      <c r="B38" s="61" t="s">
        <v>14</v>
      </c>
      <c r="C38" s="69">
        <v>20</v>
      </c>
      <c r="D38" s="39" t="s">
        <v>68</v>
      </c>
      <c r="E38" s="39"/>
      <c r="F38" s="39">
        <v>13</v>
      </c>
      <c r="G38" s="35"/>
      <c r="H38" s="39" t="s">
        <v>102</v>
      </c>
      <c r="I38" s="39"/>
      <c r="J38" s="110"/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x14ac:dyDescent="0.3">
      <c r="A39" s="109">
        <v>1</v>
      </c>
      <c r="B39" s="61" t="s">
        <v>14</v>
      </c>
      <c r="C39" s="69">
        <v>20</v>
      </c>
      <c r="D39" s="39" t="s">
        <v>68</v>
      </c>
      <c r="E39" s="39"/>
      <c r="F39" s="39">
        <v>13</v>
      </c>
      <c r="G39" s="35"/>
      <c r="H39" s="39" t="s">
        <v>80</v>
      </c>
      <c r="I39" s="39"/>
      <c r="J39" s="110"/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A40" s="109">
        <v>1</v>
      </c>
      <c r="B40" s="61" t="s">
        <v>14</v>
      </c>
      <c r="C40" s="69">
        <v>30</v>
      </c>
      <c r="D40" s="39" t="s">
        <v>68</v>
      </c>
      <c r="E40" s="39"/>
      <c r="F40" s="39">
        <v>13</v>
      </c>
      <c r="G40" s="35"/>
      <c r="H40" s="39" t="s">
        <v>80</v>
      </c>
      <c r="I40" s="39"/>
      <c r="J40" s="110"/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A41" s="109">
        <v>1</v>
      </c>
      <c r="B41" s="61" t="s">
        <v>14</v>
      </c>
      <c r="C41" s="69">
        <v>30</v>
      </c>
      <c r="D41" s="39" t="s">
        <v>68</v>
      </c>
      <c r="E41" s="39"/>
      <c r="F41" s="39">
        <v>14</v>
      </c>
      <c r="G41" s="35"/>
      <c r="H41" s="39" t="s">
        <v>102</v>
      </c>
      <c r="I41" s="39"/>
      <c r="J41" s="110"/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ht="15" thickBot="1" x14ac:dyDescent="0.35">
      <c r="A42" s="124">
        <v>2</v>
      </c>
      <c r="B42" s="71" t="s">
        <v>14</v>
      </c>
      <c r="C42" s="72">
        <v>30</v>
      </c>
      <c r="D42" s="78" t="s">
        <v>72</v>
      </c>
      <c r="E42" s="78"/>
      <c r="F42" s="78">
        <v>12</v>
      </c>
      <c r="G42" s="201"/>
      <c r="H42" s="78" t="s">
        <v>71</v>
      </c>
      <c r="I42" s="78"/>
      <c r="J42" s="125"/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A43" s="118"/>
      <c r="B43" s="79"/>
      <c r="C43" s="118"/>
      <c r="D43" s="118"/>
      <c r="E43" s="118"/>
      <c r="F43" s="118"/>
      <c r="G43" s="118"/>
      <c r="H43" s="118"/>
      <c r="I43" s="118"/>
      <c r="J43" s="118"/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A44" s="118"/>
      <c r="B44" s="79"/>
      <c r="C44" s="118"/>
      <c r="D44" s="118"/>
      <c r="E44" s="118"/>
      <c r="F44" s="118"/>
      <c r="G44" s="118"/>
      <c r="H44" s="118"/>
      <c r="I44" s="118"/>
      <c r="J44" s="118"/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A45" s="118"/>
      <c r="B45" s="79"/>
      <c r="C45" s="118"/>
      <c r="D45" s="118"/>
      <c r="E45" s="118"/>
      <c r="F45" s="118"/>
      <c r="G45" s="118"/>
      <c r="H45" s="118"/>
      <c r="I45" s="118"/>
      <c r="J45" s="118"/>
      <c r="K45" s="204" t="s">
        <v>222</v>
      </c>
      <c r="L45" s="204">
        <f>SUM(L3:L44)</f>
        <v>15</v>
      </c>
      <c r="M45" s="204" t="s">
        <v>7</v>
      </c>
      <c r="N45" s="204">
        <f>SUM(N3:N44)</f>
        <v>239</v>
      </c>
      <c r="O45" s="204" t="s">
        <v>14</v>
      </c>
    </row>
    <row r="46" spans="1:15" x14ac:dyDescent="0.3">
      <c r="A46" s="202" t="s">
        <v>168</v>
      </c>
      <c r="B46" s="79"/>
      <c r="C46" s="118"/>
      <c r="D46" s="118"/>
      <c r="E46" s="118"/>
      <c r="F46" s="118"/>
      <c r="G46" s="118"/>
      <c r="H46" s="118"/>
      <c r="I46" s="118"/>
      <c r="J46" s="118"/>
      <c r="K46" s="204"/>
      <c r="L46" s="204"/>
      <c r="M46" s="204"/>
      <c r="N46" s="204"/>
    </row>
    <row r="47" spans="1:15" ht="15" thickBot="1" x14ac:dyDescent="0.35">
      <c r="A47" s="118"/>
      <c r="B47" s="79"/>
      <c r="C47" s="118"/>
      <c r="D47" s="118"/>
      <c r="E47" s="118"/>
      <c r="F47" s="118"/>
      <c r="G47" s="118"/>
      <c r="H47" s="118"/>
      <c r="I47" s="118"/>
      <c r="J47" s="118"/>
      <c r="K47" s="204"/>
      <c r="N47" s="204"/>
    </row>
    <row r="48" spans="1:15" x14ac:dyDescent="0.3">
      <c r="A48" s="134">
        <v>1</v>
      </c>
      <c r="B48" s="137" t="s">
        <v>14</v>
      </c>
      <c r="C48" s="135">
        <v>20</v>
      </c>
      <c r="D48" s="135" t="s">
        <v>109</v>
      </c>
      <c r="E48" s="135">
        <v>4</v>
      </c>
      <c r="F48" s="175">
        <v>3</v>
      </c>
      <c r="G48" s="135" t="s">
        <v>111</v>
      </c>
      <c r="H48" s="135" t="s">
        <v>78</v>
      </c>
      <c r="I48" s="203">
        <v>0.5229166666666667</v>
      </c>
      <c r="J48" s="136"/>
      <c r="K48" s="204"/>
      <c r="N48" s="204"/>
    </row>
    <row r="49" spans="1:14" x14ac:dyDescent="0.3">
      <c r="A49" s="132">
        <v>1</v>
      </c>
      <c r="B49" s="69" t="s">
        <v>14</v>
      </c>
      <c r="C49" s="69">
        <v>20</v>
      </c>
      <c r="D49" s="69" t="s">
        <v>109</v>
      </c>
      <c r="E49" s="69">
        <v>4</v>
      </c>
      <c r="F49" s="69">
        <v>3</v>
      </c>
      <c r="G49" s="69" t="s">
        <v>111</v>
      </c>
      <c r="H49" s="69" t="s">
        <v>78</v>
      </c>
      <c r="I49" s="69"/>
      <c r="J49" s="116"/>
      <c r="K49" s="204"/>
      <c r="N49" s="204"/>
    </row>
    <row r="50" spans="1:14" x14ac:dyDescent="0.3">
      <c r="A50" s="132">
        <v>11</v>
      </c>
      <c r="B50" s="69" t="s">
        <v>14</v>
      </c>
      <c r="C50" s="69">
        <v>40</v>
      </c>
      <c r="D50" s="69" t="s">
        <v>98</v>
      </c>
      <c r="E50" s="69">
        <v>2</v>
      </c>
      <c r="F50" s="69">
        <v>1</v>
      </c>
      <c r="G50" s="69" t="s">
        <v>76</v>
      </c>
      <c r="H50" s="69"/>
      <c r="I50" s="69"/>
      <c r="J50" s="116"/>
      <c r="K50" s="204"/>
      <c r="N50" s="204"/>
    </row>
    <row r="51" spans="1:14" x14ac:dyDescent="0.3">
      <c r="A51" s="132">
        <v>1</v>
      </c>
      <c r="B51" s="69" t="s">
        <v>14</v>
      </c>
      <c r="C51" s="69">
        <v>30</v>
      </c>
      <c r="D51" s="69" t="s">
        <v>68</v>
      </c>
      <c r="E51" s="69">
        <v>3</v>
      </c>
      <c r="F51" s="69">
        <v>3</v>
      </c>
      <c r="G51" s="69" t="s">
        <v>111</v>
      </c>
      <c r="H51" s="69" t="s">
        <v>78</v>
      </c>
      <c r="I51" s="69"/>
      <c r="J51" s="116"/>
      <c r="K51" s="204"/>
      <c r="N51" s="204"/>
    </row>
    <row r="52" spans="1:14" x14ac:dyDescent="0.3">
      <c r="A52" s="132">
        <v>1</v>
      </c>
      <c r="B52" s="69" t="s">
        <v>32</v>
      </c>
      <c r="C52" s="69">
        <v>30</v>
      </c>
      <c r="D52" s="69" t="s">
        <v>109</v>
      </c>
      <c r="E52" s="69">
        <v>4</v>
      </c>
      <c r="F52" s="69"/>
      <c r="G52" s="69" t="s">
        <v>111</v>
      </c>
      <c r="H52" s="69" t="s">
        <v>125</v>
      </c>
      <c r="I52" s="69"/>
      <c r="J52" s="116"/>
      <c r="K52" s="204"/>
      <c r="N52" s="204"/>
    </row>
    <row r="53" spans="1:14" x14ac:dyDescent="0.3">
      <c r="A53" s="132">
        <v>12</v>
      </c>
      <c r="B53" s="69" t="s">
        <v>14</v>
      </c>
      <c r="C53" s="69">
        <v>20</v>
      </c>
      <c r="D53" s="69" t="s">
        <v>109</v>
      </c>
      <c r="E53" s="69">
        <v>4</v>
      </c>
      <c r="F53" s="69">
        <v>3</v>
      </c>
      <c r="G53" s="69" t="s">
        <v>111</v>
      </c>
      <c r="H53" s="69" t="s">
        <v>18</v>
      </c>
      <c r="I53" s="69"/>
      <c r="J53" s="116"/>
      <c r="K53" s="204"/>
      <c r="N53" s="204"/>
    </row>
    <row r="54" spans="1:14" x14ac:dyDescent="0.3">
      <c r="A54" s="132">
        <v>1</v>
      </c>
      <c r="B54" s="69" t="s">
        <v>14</v>
      </c>
      <c r="C54" s="69">
        <v>30</v>
      </c>
      <c r="D54" s="69" t="s">
        <v>68</v>
      </c>
      <c r="E54" s="69">
        <v>3</v>
      </c>
      <c r="F54" s="69">
        <v>3</v>
      </c>
      <c r="G54" s="69"/>
      <c r="H54" s="69" t="s">
        <v>18</v>
      </c>
      <c r="I54" s="69"/>
      <c r="J54" s="116"/>
      <c r="K54" s="204"/>
      <c r="N54" s="204"/>
    </row>
    <row r="55" spans="1:14" x14ac:dyDescent="0.3">
      <c r="A55" s="132">
        <v>3</v>
      </c>
      <c r="B55" s="69" t="s">
        <v>32</v>
      </c>
      <c r="C55" s="69">
        <v>30</v>
      </c>
      <c r="D55" s="69" t="s">
        <v>68</v>
      </c>
      <c r="E55" s="69">
        <v>3</v>
      </c>
      <c r="F55" s="69">
        <v>3</v>
      </c>
      <c r="G55" s="69"/>
      <c r="H55" s="69" t="s">
        <v>18</v>
      </c>
      <c r="I55" s="69"/>
      <c r="J55" s="116"/>
      <c r="K55" s="204"/>
      <c r="N55" s="204"/>
    </row>
    <row r="56" spans="1:14" x14ac:dyDescent="0.3">
      <c r="A56" s="132">
        <v>1</v>
      </c>
      <c r="B56" s="69" t="s">
        <v>14</v>
      </c>
      <c r="C56" s="69">
        <v>25</v>
      </c>
      <c r="D56" s="69" t="s">
        <v>109</v>
      </c>
      <c r="E56" s="69">
        <v>4</v>
      </c>
      <c r="F56" s="69">
        <v>3</v>
      </c>
      <c r="G56" s="69"/>
      <c r="H56" s="69" t="s">
        <v>18</v>
      </c>
      <c r="I56" s="69"/>
      <c r="J56" s="116"/>
      <c r="K56" s="204"/>
      <c r="N56" s="204"/>
    </row>
    <row r="57" spans="1:14" x14ac:dyDescent="0.3">
      <c r="A57" s="132">
        <v>2</v>
      </c>
      <c r="B57" s="69" t="s">
        <v>14</v>
      </c>
      <c r="C57" s="69">
        <v>30</v>
      </c>
      <c r="D57" s="69" t="s">
        <v>68</v>
      </c>
      <c r="E57" s="69">
        <v>3</v>
      </c>
      <c r="F57" s="69">
        <v>3</v>
      </c>
      <c r="G57" s="69"/>
      <c r="H57" s="69" t="s">
        <v>71</v>
      </c>
      <c r="I57" s="69"/>
      <c r="J57" s="116"/>
      <c r="K57" s="204"/>
      <c r="N57" s="204"/>
    </row>
    <row r="58" spans="1:14" x14ac:dyDescent="0.3">
      <c r="A58" s="132">
        <v>1</v>
      </c>
      <c r="B58" s="69" t="s">
        <v>7</v>
      </c>
      <c r="C58" s="69">
        <v>30</v>
      </c>
      <c r="D58" s="69" t="s">
        <v>68</v>
      </c>
      <c r="E58" s="69">
        <v>3</v>
      </c>
      <c r="F58" s="69">
        <v>3</v>
      </c>
      <c r="G58" s="69"/>
      <c r="H58" s="69" t="s">
        <v>79</v>
      </c>
      <c r="I58" s="69"/>
      <c r="J58" s="116"/>
      <c r="K58" s="204"/>
      <c r="N58" s="204"/>
    </row>
    <row r="59" spans="1:14" x14ac:dyDescent="0.3">
      <c r="A59" s="132">
        <v>1</v>
      </c>
      <c r="B59" s="69" t="s">
        <v>7</v>
      </c>
      <c r="C59" s="69">
        <v>20</v>
      </c>
      <c r="D59" s="69" t="s">
        <v>68</v>
      </c>
      <c r="E59" s="69">
        <v>3</v>
      </c>
      <c r="F59" s="69">
        <v>3</v>
      </c>
      <c r="G59" s="69"/>
      <c r="H59" s="69" t="s">
        <v>78</v>
      </c>
      <c r="I59" s="69"/>
      <c r="J59" s="116"/>
      <c r="K59" s="204"/>
      <c r="N59" s="204"/>
    </row>
    <row r="60" spans="1:14" x14ac:dyDescent="0.3">
      <c r="A60" s="132">
        <v>2</v>
      </c>
      <c r="B60" s="69" t="s">
        <v>14</v>
      </c>
      <c r="C60" s="69">
        <v>30</v>
      </c>
      <c r="D60" s="69" t="s">
        <v>109</v>
      </c>
      <c r="E60" s="69">
        <v>4</v>
      </c>
      <c r="F60" s="69">
        <v>3</v>
      </c>
      <c r="G60" s="69"/>
      <c r="H60" s="69" t="s">
        <v>78</v>
      </c>
      <c r="I60" s="69"/>
      <c r="J60" s="116"/>
      <c r="K60" s="204"/>
      <c r="N60" s="204"/>
    </row>
    <row r="61" spans="1:14" x14ac:dyDescent="0.3">
      <c r="A61" s="132">
        <v>1</v>
      </c>
      <c r="B61" s="69" t="s">
        <v>27</v>
      </c>
      <c r="C61" s="69">
        <v>30</v>
      </c>
      <c r="D61" s="69" t="s">
        <v>109</v>
      </c>
      <c r="E61" s="69">
        <v>4</v>
      </c>
      <c r="F61" s="69">
        <v>3</v>
      </c>
      <c r="G61" s="69"/>
      <c r="H61" s="69" t="s">
        <v>125</v>
      </c>
      <c r="I61" s="69"/>
      <c r="J61" s="116"/>
      <c r="K61" s="204"/>
      <c r="N61" s="204"/>
    </row>
    <row r="62" spans="1:14" x14ac:dyDescent="0.3">
      <c r="A62" s="132">
        <v>1</v>
      </c>
      <c r="B62" s="69" t="s">
        <v>14</v>
      </c>
      <c r="C62" s="69">
        <v>60</v>
      </c>
      <c r="D62" s="69" t="s">
        <v>109</v>
      </c>
      <c r="E62" s="69">
        <v>4</v>
      </c>
      <c r="F62" s="69">
        <v>3</v>
      </c>
      <c r="G62" s="69"/>
      <c r="H62" s="69" t="s">
        <v>125</v>
      </c>
      <c r="I62" s="69"/>
      <c r="J62" s="116"/>
      <c r="K62" s="204"/>
      <c r="N62" s="204"/>
    </row>
    <row r="63" spans="1:14" x14ac:dyDescent="0.3">
      <c r="A63" s="132">
        <v>1</v>
      </c>
      <c r="B63" s="69" t="s">
        <v>7</v>
      </c>
      <c r="C63" s="69">
        <v>40</v>
      </c>
      <c r="D63" s="69" t="s">
        <v>68</v>
      </c>
      <c r="E63" s="69">
        <v>3</v>
      </c>
      <c r="F63" s="69">
        <v>3</v>
      </c>
      <c r="G63" s="69"/>
      <c r="H63" s="69" t="s">
        <v>125</v>
      </c>
      <c r="I63" s="69"/>
      <c r="J63" s="116"/>
      <c r="K63" s="204"/>
      <c r="N63" s="204"/>
    </row>
    <row r="64" spans="1:14" x14ac:dyDescent="0.3">
      <c r="A64" s="132">
        <v>1</v>
      </c>
      <c r="B64" s="69" t="s">
        <v>167</v>
      </c>
      <c r="C64" s="69">
        <v>60</v>
      </c>
      <c r="D64" s="69" t="s">
        <v>109</v>
      </c>
      <c r="E64" s="69">
        <v>4</v>
      </c>
      <c r="F64" s="69">
        <v>3</v>
      </c>
      <c r="G64" s="69"/>
      <c r="H64" s="69" t="s">
        <v>71</v>
      </c>
      <c r="I64" s="69"/>
      <c r="J64" s="116"/>
      <c r="K64" s="204"/>
      <c r="N64" s="204"/>
    </row>
    <row r="65" spans="1:14" x14ac:dyDescent="0.3">
      <c r="A65" s="132">
        <v>1</v>
      </c>
      <c r="B65" s="69" t="s">
        <v>83</v>
      </c>
      <c r="C65" s="69">
        <v>40</v>
      </c>
      <c r="D65" s="69" t="s">
        <v>68</v>
      </c>
      <c r="E65" s="69">
        <v>3</v>
      </c>
      <c r="F65" s="69">
        <v>3</v>
      </c>
      <c r="G65" s="69"/>
      <c r="H65" s="69" t="s">
        <v>71</v>
      </c>
      <c r="I65" s="69"/>
      <c r="J65" s="116"/>
      <c r="K65" s="204"/>
      <c r="N65" s="204"/>
    </row>
    <row r="66" spans="1:14" x14ac:dyDescent="0.3">
      <c r="A66" s="132">
        <v>2</v>
      </c>
      <c r="B66" s="69" t="s">
        <v>14</v>
      </c>
      <c r="C66" s="69">
        <v>30</v>
      </c>
      <c r="D66" s="69" t="s">
        <v>68</v>
      </c>
      <c r="E66" s="69">
        <v>3</v>
      </c>
      <c r="F66" s="69">
        <v>3</v>
      </c>
      <c r="G66" s="69"/>
      <c r="H66" s="69" t="s">
        <v>18</v>
      </c>
      <c r="I66" s="69"/>
      <c r="J66" s="116"/>
      <c r="K66" s="204"/>
      <c r="N66" s="204"/>
    </row>
    <row r="67" spans="1:14" x14ac:dyDescent="0.3">
      <c r="A67" s="132">
        <v>1</v>
      </c>
      <c r="B67" s="69" t="s">
        <v>167</v>
      </c>
      <c r="C67" s="69">
        <v>60</v>
      </c>
      <c r="D67" s="69" t="s">
        <v>109</v>
      </c>
      <c r="E67" s="69">
        <v>4</v>
      </c>
      <c r="F67" s="69">
        <v>3</v>
      </c>
      <c r="G67" s="69"/>
      <c r="H67" s="69" t="s">
        <v>18</v>
      </c>
      <c r="I67" s="69"/>
      <c r="J67" s="116"/>
      <c r="K67" s="204"/>
      <c r="N67" s="204"/>
    </row>
    <row r="68" spans="1:14" x14ac:dyDescent="0.3">
      <c r="A68" s="132">
        <v>1</v>
      </c>
      <c r="B68" s="69" t="s">
        <v>169</v>
      </c>
      <c r="C68" s="69">
        <v>60</v>
      </c>
      <c r="D68" s="69" t="s">
        <v>68</v>
      </c>
      <c r="E68" s="69">
        <v>3</v>
      </c>
      <c r="F68" s="69">
        <v>2</v>
      </c>
      <c r="G68" s="69" t="s">
        <v>76</v>
      </c>
      <c r="H68" s="69"/>
      <c r="I68" s="69"/>
      <c r="J68" s="116"/>
      <c r="K68" s="204"/>
      <c r="N68" s="204"/>
    </row>
    <row r="69" spans="1:14" x14ac:dyDescent="0.3">
      <c r="A69" s="132">
        <v>3</v>
      </c>
      <c r="B69" s="69" t="s">
        <v>14</v>
      </c>
      <c r="C69" s="69">
        <v>60</v>
      </c>
      <c r="D69" s="69" t="s">
        <v>68</v>
      </c>
      <c r="E69" s="69">
        <v>3</v>
      </c>
      <c r="F69" s="69">
        <v>2</v>
      </c>
      <c r="G69" s="69" t="s">
        <v>76</v>
      </c>
      <c r="H69" s="69"/>
      <c r="I69" s="69"/>
      <c r="J69" s="116"/>
      <c r="K69" s="204"/>
      <c r="N69" s="204"/>
    </row>
    <row r="70" spans="1:14" x14ac:dyDescent="0.3">
      <c r="A70" s="132">
        <v>1</v>
      </c>
      <c r="B70" s="69" t="s">
        <v>14</v>
      </c>
      <c r="C70" s="69">
        <v>90</v>
      </c>
      <c r="D70" s="69" t="s">
        <v>109</v>
      </c>
      <c r="E70" s="69">
        <v>4</v>
      </c>
      <c r="F70" s="69">
        <v>2</v>
      </c>
      <c r="G70" s="69" t="s">
        <v>76</v>
      </c>
      <c r="H70" s="69"/>
      <c r="I70" s="69"/>
      <c r="J70" s="116"/>
      <c r="K70" s="204"/>
      <c r="N70" s="204"/>
    </row>
    <row r="71" spans="1:14" x14ac:dyDescent="0.3">
      <c r="A71" s="132">
        <v>1</v>
      </c>
      <c r="B71" s="69" t="s">
        <v>14</v>
      </c>
      <c r="C71" s="69">
        <v>60</v>
      </c>
      <c r="D71" s="69" t="s">
        <v>109</v>
      </c>
      <c r="E71" s="69">
        <v>4</v>
      </c>
      <c r="F71" s="69">
        <v>2</v>
      </c>
      <c r="G71" s="69" t="s">
        <v>76</v>
      </c>
      <c r="H71" s="69"/>
      <c r="I71" s="69"/>
      <c r="J71" s="116"/>
      <c r="K71" s="204"/>
      <c r="N71" s="204"/>
    </row>
    <row r="72" spans="1:14" x14ac:dyDescent="0.3">
      <c r="A72" s="132">
        <v>13</v>
      </c>
      <c r="B72" s="69" t="s">
        <v>14</v>
      </c>
      <c r="C72" s="69">
        <v>40</v>
      </c>
      <c r="D72" s="69" t="s">
        <v>99</v>
      </c>
      <c r="E72" s="69"/>
      <c r="F72" s="69">
        <v>2</v>
      </c>
      <c r="G72" s="69" t="s">
        <v>76</v>
      </c>
      <c r="H72" s="69"/>
      <c r="I72" s="69"/>
      <c r="J72" s="116"/>
      <c r="K72" s="204"/>
      <c r="N72" s="204"/>
    </row>
    <row r="73" spans="1:14" x14ac:dyDescent="0.3">
      <c r="A73" s="132">
        <v>7</v>
      </c>
      <c r="B73" s="69" t="s">
        <v>14</v>
      </c>
      <c r="C73" s="69">
        <v>40</v>
      </c>
      <c r="D73" s="69" t="s">
        <v>98</v>
      </c>
      <c r="E73" s="69">
        <v>2</v>
      </c>
      <c r="F73" s="69">
        <v>2</v>
      </c>
      <c r="G73" s="69" t="s">
        <v>76</v>
      </c>
      <c r="H73" s="69"/>
      <c r="I73" s="69"/>
      <c r="J73" s="116"/>
      <c r="K73" s="204"/>
      <c r="N73" s="204"/>
    </row>
    <row r="74" spans="1:14" x14ac:dyDescent="0.3">
      <c r="A74" s="132">
        <v>1</v>
      </c>
      <c r="B74" s="69" t="s">
        <v>14</v>
      </c>
      <c r="C74" s="69">
        <v>40</v>
      </c>
      <c r="D74" s="69" t="s">
        <v>58</v>
      </c>
      <c r="E74" s="69"/>
      <c r="F74" s="69">
        <v>2</v>
      </c>
      <c r="G74" s="69" t="s">
        <v>76</v>
      </c>
      <c r="H74" s="69"/>
      <c r="I74" s="69"/>
      <c r="J74" s="116"/>
      <c r="K74" s="204"/>
      <c r="N74" s="204"/>
    </row>
    <row r="75" spans="1:14" x14ac:dyDescent="0.3">
      <c r="A75" s="132">
        <v>2</v>
      </c>
      <c r="B75" s="69" t="s">
        <v>7</v>
      </c>
      <c r="C75" s="69">
        <v>30</v>
      </c>
      <c r="D75" s="69" t="s">
        <v>68</v>
      </c>
      <c r="E75" s="69">
        <v>4</v>
      </c>
      <c r="F75" s="69">
        <v>2</v>
      </c>
      <c r="G75" s="69" t="s">
        <v>76</v>
      </c>
      <c r="H75" s="69" t="s">
        <v>18</v>
      </c>
      <c r="I75" s="69"/>
      <c r="J75" s="116"/>
      <c r="K75" s="204"/>
      <c r="N75" s="204"/>
    </row>
    <row r="76" spans="1:14" x14ac:dyDescent="0.3">
      <c r="A76" s="132">
        <v>2</v>
      </c>
      <c r="B76" s="69" t="s">
        <v>14</v>
      </c>
      <c r="C76" s="69">
        <v>30</v>
      </c>
      <c r="D76" s="69" t="s">
        <v>68</v>
      </c>
      <c r="E76" s="69">
        <v>4</v>
      </c>
      <c r="F76" s="69">
        <v>2</v>
      </c>
      <c r="G76" s="69" t="s">
        <v>76</v>
      </c>
      <c r="H76" s="69" t="s">
        <v>18</v>
      </c>
      <c r="I76" s="69"/>
      <c r="J76" s="116"/>
      <c r="K76" s="204"/>
      <c r="N76" s="204"/>
    </row>
    <row r="77" spans="1:14" x14ac:dyDescent="0.3">
      <c r="A77" s="132">
        <v>1</v>
      </c>
      <c r="B77" s="69" t="s">
        <v>14</v>
      </c>
      <c r="C77" s="69">
        <v>30</v>
      </c>
      <c r="D77" s="69" t="s">
        <v>68</v>
      </c>
      <c r="E77" s="69">
        <v>4</v>
      </c>
      <c r="F77" s="69">
        <v>2</v>
      </c>
      <c r="G77" s="69" t="s">
        <v>76</v>
      </c>
      <c r="H77" s="69" t="s">
        <v>18</v>
      </c>
      <c r="I77" s="69"/>
      <c r="J77" s="116"/>
      <c r="K77" s="204"/>
      <c r="N77" s="204"/>
    </row>
    <row r="78" spans="1:14" x14ac:dyDescent="0.3">
      <c r="A78" s="132">
        <v>3</v>
      </c>
      <c r="B78" s="69" t="s">
        <v>14</v>
      </c>
      <c r="C78" s="69">
        <v>30</v>
      </c>
      <c r="D78" s="69" t="s">
        <v>68</v>
      </c>
      <c r="E78" s="69">
        <v>4</v>
      </c>
      <c r="F78" s="69">
        <v>2</v>
      </c>
      <c r="G78" s="69" t="s">
        <v>76</v>
      </c>
      <c r="H78" s="69" t="s">
        <v>18</v>
      </c>
      <c r="I78" s="69"/>
      <c r="J78" s="116"/>
      <c r="K78" s="204"/>
      <c r="N78" s="204"/>
    </row>
    <row r="79" spans="1:14" x14ac:dyDescent="0.3">
      <c r="A79" s="132">
        <v>1</v>
      </c>
      <c r="B79" s="69" t="s">
        <v>14</v>
      </c>
      <c r="C79" s="69">
        <v>30</v>
      </c>
      <c r="D79" s="69" t="s">
        <v>72</v>
      </c>
      <c r="E79" s="69"/>
      <c r="F79" s="69">
        <v>2</v>
      </c>
      <c r="G79" s="69" t="s">
        <v>76</v>
      </c>
      <c r="H79" s="69" t="s">
        <v>18</v>
      </c>
      <c r="I79" s="69"/>
      <c r="J79" s="116"/>
      <c r="K79" s="204"/>
      <c r="N79" s="204"/>
    </row>
    <row r="80" spans="1:14" x14ac:dyDescent="0.3">
      <c r="A80" s="132">
        <v>1</v>
      </c>
      <c r="B80" s="69" t="s">
        <v>14</v>
      </c>
      <c r="C80" s="69">
        <v>30</v>
      </c>
      <c r="D80" s="69" t="s">
        <v>72</v>
      </c>
      <c r="E80" s="69"/>
      <c r="F80" s="69">
        <v>2</v>
      </c>
      <c r="G80" s="69" t="s">
        <v>76</v>
      </c>
      <c r="H80" s="69" t="s">
        <v>71</v>
      </c>
      <c r="I80" s="69"/>
      <c r="J80" s="116"/>
      <c r="K80" s="204"/>
      <c r="N80" s="204"/>
    </row>
    <row r="81" spans="1:14" ht="15" thickBot="1" x14ac:dyDescent="0.35">
      <c r="A81" s="177">
        <v>1</v>
      </c>
      <c r="B81" s="72" t="s">
        <v>14</v>
      </c>
      <c r="C81" s="72">
        <v>30</v>
      </c>
      <c r="D81" s="72" t="s">
        <v>68</v>
      </c>
      <c r="E81" s="72">
        <v>4</v>
      </c>
      <c r="F81" s="72">
        <v>2</v>
      </c>
      <c r="G81" s="72" t="s">
        <v>76</v>
      </c>
      <c r="H81" s="72" t="s">
        <v>18</v>
      </c>
      <c r="I81" s="72"/>
      <c r="J81" s="117"/>
      <c r="K81" s="204"/>
      <c r="N81" s="204"/>
    </row>
    <row r="82" spans="1:14" x14ac:dyDescent="0.3">
      <c r="A82" s="174">
        <v>9</v>
      </c>
      <c r="B82" s="175" t="s">
        <v>14</v>
      </c>
      <c r="C82" s="175">
        <v>40</v>
      </c>
      <c r="D82" s="175" t="s">
        <v>98</v>
      </c>
      <c r="E82" s="175"/>
      <c r="F82" s="175">
        <v>2</v>
      </c>
      <c r="G82" s="175" t="s">
        <v>76</v>
      </c>
      <c r="H82" s="175" t="s">
        <v>71</v>
      </c>
      <c r="I82" s="175"/>
      <c r="J82" s="176"/>
      <c r="K82" s="204"/>
      <c r="N82" s="204"/>
    </row>
    <row r="83" spans="1:14" x14ac:dyDescent="0.3">
      <c r="A83" s="132">
        <v>1</v>
      </c>
      <c r="B83" s="69" t="s">
        <v>14</v>
      </c>
      <c r="C83" s="69">
        <v>40</v>
      </c>
      <c r="D83" s="69" t="s">
        <v>68</v>
      </c>
      <c r="E83" s="69"/>
      <c r="F83" s="69">
        <v>2</v>
      </c>
      <c r="G83" s="69" t="s">
        <v>76</v>
      </c>
      <c r="H83" s="69" t="s">
        <v>18</v>
      </c>
      <c r="I83" s="69"/>
      <c r="J83" s="116"/>
      <c r="K83" s="204"/>
      <c r="N83" s="204"/>
    </row>
    <row r="84" spans="1:14" x14ac:dyDescent="0.3">
      <c r="A84" s="132">
        <v>50</v>
      </c>
      <c r="B84" s="69" t="s">
        <v>14</v>
      </c>
      <c r="C84" s="69">
        <v>40</v>
      </c>
      <c r="D84" s="69" t="s">
        <v>68</v>
      </c>
      <c r="E84" s="69"/>
      <c r="F84" s="69">
        <v>2</v>
      </c>
      <c r="G84" s="69" t="s">
        <v>76</v>
      </c>
      <c r="H84" s="69"/>
      <c r="I84" s="69"/>
      <c r="J84" s="116"/>
      <c r="K84" s="204"/>
      <c r="N84" s="204"/>
    </row>
    <row r="85" spans="1:14" x14ac:dyDescent="0.3">
      <c r="A85" s="132">
        <v>1</v>
      </c>
      <c r="B85" s="69" t="s">
        <v>7</v>
      </c>
      <c r="C85" s="69">
        <v>40</v>
      </c>
      <c r="D85" s="69" t="s">
        <v>98</v>
      </c>
      <c r="E85" s="69"/>
      <c r="F85" s="69">
        <v>2</v>
      </c>
      <c r="G85" s="69" t="s">
        <v>76</v>
      </c>
      <c r="H85" s="69"/>
      <c r="I85" s="69"/>
      <c r="J85" s="116"/>
      <c r="K85" s="204"/>
      <c r="N85" s="204"/>
    </row>
    <row r="86" spans="1:14" x14ac:dyDescent="0.3">
      <c r="A86" s="132">
        <v>1</v>
      </c>
      <c r="B86" s="69" t="s">
        <v>14</v>
      </c>
      <c r="C86" s="69">
        <v>30</v>
      </c>
      <c r="D86" s="69" t="s">
        <v>98</v>
      </c>
      <c r="E86" s="69"/>
      <c r="F86" s="69">
        <v>2</v>
      </c>
      <c r="G86" s="69" t="s">
        <v>76</v>
      </c>
      <c r="H86" s="69" t="s">
        <v>18</v>
      </c>
      <c r="I86" s="69"/>
      <c r="J86" s="116"/>
      <c r="K86" s="204"/>
      <c r="N86" s="204"/>
    </row>
    <row r="87" spans="1:14" x14ac:dyDescent="0.3">
      <c r="A87" s="132">
        <v>2</v>
      </c>
      <c r="B87" s="69" t="s">
        <v>7</v>
      </c>
      <c r="C87" s="69">
        <v>90</v>
      </c>
      <c r="D87" s="69" t="s">
        <v>58</v>
      </c>
      <c r="E87" s="69"/>
      <c r="F87" s="69">
        <v>2</v>
      </c>
      <c r="G87" s="69" t="s">
        <v>76</v>
      </c>
      <c r="H87" s="69"/>
      <c r="I87" s="69"/>
      <c r="J87" s="116"/>
      <c r="K87" s="204"/>
      <c r="N87" s="204"/>
    </row>
    <row r="88" spans="1:14" x14ac:dyDescent="0.3">
      <c r="A88" s="132">
        <v>1</v>
      </c>
      <c r="B88" s="69" t="s">
        <v>14</v>
      </c>
      <c r="C88" s="69">
        <v>60</v>
      </c>
      <c r="D88" s="69" t="s">
        <v>58</v>
      </c>
      <c r="E88" s="69"/>
      <c r="F88" s="69">
        <v>2</v>
      </c>
      <c r="G88" s="69" t="s">
        <v>172</v>
      </c>
      <c r="H88" s="69"/>
      <c r="I88" s="69"/>
      <c r="J88" s="116"/>
      <c r="K88" s="204"/>
      <c r="N88" s="204"/>
    </row>
    <row r="89" spans="1:14" x14ac:dyDescent="0.3">
      <c r="A89" s="132">
        <v>2</v>
      </c>
      <c r="B89" s="69" t="s">
        <v>14</v>
      </c>
      <c r="C89" s="69">
        <v>40</v>
      </c>
      <c r="D89" s="69" t="s">
        <v>98</v>
      </c>
      <c r="E89" s="69"/>
      <c r="F89" s="69">
        <v>2</v>
      </c>
      <c r="G89" s="69" t="s">
        <v>76</v>
      </c>
      <c r="H89" s="69"/>
      <c r="I89" s="69"/>
      <c r="J89" s="116"/>
      <c r="K89" s="205"/>
      <c r="N89" s="205"/>
    </row>
    <row r="90" spans="1:14" x14ac:dyDescent="0.3">
      <c r="A90" s="132">
        <v>2</v>
      </c>
      <c r="B90" s="69" t="s">
        <v>14</v>
      </c>
      <c r="C90" s="69">
        <v>30</v>
      </c>
      <c r="D90" s="69" t="s">
        <v>58</v>
      </c>
      <c r="E90" s="69"/>
      <c r="F90" s="69">
        <v>2</v>
      </c>
      <c r="G90" s="69" t="s">
        <v>172</v>
      </c>
      <c r="H90" s="69"/>
      <c r="I90" s="69"/>
      <c r="J90" s="116"/>
    </row>
    <row r="91" spans="1:14" x14ac:dyDescent="0.3">
      <c r="A91" s="132">
        <v>1</v>
      </c>
      <c r="B91" s="69" t="s">
        <v>14</v>
      </c>
      <c r="C91" s="69">
        <v>40</v>
      </c>
      <c r="D91" s="69" t="s">
        <v>98</v>
      </c>
      <c r="E91" s="69"/>
      <c r="F91" s="69">
        <v>2</v>
      </c>
      <c r="G91" s="69" t="s">
        <v>76</v>
      </c>
      <c r="H91" s="69" t="s">
        <v>80</v>
      </c>
      <c r="I91" s="69"/>
      <c r="J91" s="116"/>
    </row>
    <row r="92" spans="1:14" x14ac:dyDescent="0.3">
      <c r="A92" s="132">
        <v>1</v>
      </c>
      <c r="B92" s="69" t="s">
        <v>14</v>
      </c>
      <c r="C92" s="69">
        <v>120</v>
      </c>
      <c r="D92" s="69" t="s">
        <v>98</v>
      </c>
      <c r="E92" s="69"/>
      <c r="F92" s="69">
        <v>2</v>
      </c>
      <c r="G92" s="69" t="s">
        <v>76</v>
      </c>
      <c r="H92" s="69" t="s">
        <v>71</v>
      </c>
      <c r="I92" s="69"/>
      <c r="J92" s="116"/>
    </row>
    <row r="93" spans="1:14" x14ac:dyDescent="0.3">
      <c r="A93" s="132">
        <v>2</v>
      </c>
      <c r="B93" s="69" t="s">
        <v>14</v>
      </c>
      <c r="C93" s="69">
        <v>60</v>
      </c>
      <c r="D93" s="69" t="s">
        <v>98</v>
      </c>
      <c r="E93" s="69"/>
      <c r="F93" s="69">
        <v>2</v>
      </c>
      <c r="G93" s="69" t="s">
        <v>76</v>
      </c>
      <c r="H93" s="69" t="s">
        <v>78</v>
      </c>
      <c r="I93" s="69"/>
      <c r="J93" s="116"/>
    </row>
    <row r="94" spans="1:14" x14ac:dyDescent="0.3">
      <c r="A94" s="132">
        <v>1</v>
      </c>
      <c r="B94" s="69" t="s">
        <v>14</v>
      </c>
      <c r="C94" s="69">
        <v>120</v>
      </c>
      <c r="D94" s="69" t="s">
        <v>98</v>
      </c>
      <c r="E94" s="69"/>
      <c r="F94" s="69">
        <v>2</v>
      </c>
      <c r="G94" s="69" t="s">
        <v>76</v>
      </c>
      <c r="H94" s="69" t="s">
        <v>78</v>
      </c>
      <c r="I94" s="69"/>
      <c r="J94" s="116"/>
    </row>
    <row r="95" spans="1:14" x14ac:dyDescent="0.3">
      <c r="A95" s="132">
        <v>1</v>
      </c>
      <c r="B95" s="69" t="s">
        <v>14</v>
      </c>
      <c r="C95" s="69">
        <v>60</v>
      </c>
      <c r="D95" s="69" t="s">
        <v>98</v>
      </c>
      <c r="E95" s="69"/>
      <c r="F95" s="69">
        <v>2</v>
      </c>
      <c r="G95" s="69" t="s">
        <v>76</v>
      </c>
      <c r="H95" s="69"/>
      <c r="I95" s="69"/>
      <c r="J95" s="116"/>
    </row>
    <row r="96" spans="1:14" x14ac:dyDescent="0.3">
      <c r="A96" s="132">
        <v>5</v>
      </c>
      <c r="B96" s="69" t="s">
        <v>14</v>
      </c>
      <c r="C96" s="69">
        <v>50</v>
      </c>
      <c r="D96" s="69" t="s">
        <v>171</v>
      </c>
      <c r="E96" s="69"/>
      <c r="F96" s="69">
        <v>2</v>
      </c>
      <c r="G96" s="69" t="s">
        <v>172</v>
      </c>
      <c r="H96" s="69"/>
      <c r="I96" s="69"/>
      <c r="J96" s="116"/>
    </row>
    <row r="97" spans="1:10" ht="15" thickBot="1" x14ac:dyDescent="0.35">
      <c r="A97" s="177">
        <v>1</v>
      </c>
      <c r="B97" s="72" t="s">
        <v>14</v>
      </c>
      <c r="C97" s="72">
        <v>30</v>
      </c>
      <c r="D97" s="72" t="s">
        <v>72</v>
      </c>
      <c r="E97" s="72"/>
      <c r="F97" s="72">
        <v>4</v>
      </c>
      <c r="G97" s="72"/>
      <c r="H97" s="72" t="s">
        <v>71</v>
      </c>
      <c r="I97" s="72"/>
      <c r="J97" s="1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4" max="4" width="14.6640625" customWidth="1"/>
    <col min="5" max="5" width="12.33203125" bestFit="1" customWidth="1"/>
    <col min="8" max="8" width="10.33203125" bestFit="1" customWidth="1"/>
    <col min="10" max="10" width="15.109375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116</v>
      </c>
      <c r="J1" s="46" t="s">
        <v>117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68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>
        <v>1971</v>
      </c>
      <c r="C3" s="7" t="s">
        <v>2</v>
      </c>
      <c r="D3" s="8"/>
      <c r="E3" s="7" t="s">
        <v>3</v>
      </c>
      <c r="F3" s="9"/>
      <c r="G3" s="10" t="s">
        <v>4</v>
      </c>
      <c r="H3" s="8"/>
      <c r="I3" s="50" t="s">
        <v>98</v>
      </c>
      <c r="J3" s="9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0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72</v>
      </c>
      <c r="J4" s="9"/>
      <c r="K4" s="204" t="s">
        <v>177</v>
      </c>
      <c r="L4" s="204">
        <f>SUMIFS($A$11:$A$401,$B$11:$B$401,"CH",$F$11:$F$401,"2")</f>
        <v>0</v>
      </c>
      <c r="M4" s="204" t="s">
        <v>7</v>
      </c>
      <c r="N4" s="204">
        <f>SUMIFS($A$11:$A$401,$B$11:$B$401,"RT",$F$11:$F$401,"2")</f>
        <v>0</v>
      </c>
      <c r="O4" s="204" t="s">
        <v>14</v>
      </c>
    </row>
    <row r="5" spans="1:15" ht="15" thickTop="1" x14ac:dyDescent="0.3">
      <c r="A5" s="54" t="s">
        <v>67</v>
      </c>
      <c r="B5" s="55">
        <v>0.64166666666666672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 t="s">
        <v>109</v>
      </c>
      <c r="J5" s="9"/>
      <c r="K5" s="204" t="s">
        <v>178</v>
      </c>
      <c r="L5" s="204">
        <f>SUMIFS($A$11:$A$401,$B$11:$B$401,"CH",$F$11:$F$401,"3")</f>
        <v>3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53" t="s">
        <v>12</v>
      </c>
      <c r="B6" s="161">
        <v>43691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 t="s">
        <v>58</v>
      </c>
      <c r="J6" s="9"/>
      <c r="K6" s="204" t="s">
        <v>179</v>
      </c>
      <c r="L6" s="204">
        <f>SUMIFS($A$11:$A$401,$B$11:$B$401,"CH",$F$11:$F$401,"4")</f>
        <v>1</v>
      </c>
      <c r="M6" s="204" t="s">
        <v>7</v>
      </c>
      <c r="N6" s="204">
        <f>SUMIFS($A$11:$A$401,$B$11:$B$401,"RT",$F$11:$F$401,"4")</f>
        <v>1</v>
      </c>
      <c r="O6" s="204" t="s">
        <v>14</v>
      </c>
    </row>
    <row r="7" spans="1:15" x14ac:dyDescent="0.3">
      <c r="A7" s="47" t="s">
        <v>62</v>
      </c>
      <c r="B7" s="18">
        <v>15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51" t="s">
        <v>63</v>
      </c>
      <c r="I7" s="50"/>
      <c r="J7" s="9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1</v>
      </c>
      <c r="O7" s="204" t="s">
        <v>14</v>
      </c>
    </row>
    <row r="8" spans="1:15" ht="15" thickBot="1" x14ac:dyDescent="0.35">
      <c r="A8" s="16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/>
      <c r="J8" s="9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0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/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50"/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1</v>
      </c>
      <c r="O11" s="204" t="s">
        <v>14</v>
      </c>
    </row>
    <row r="12" spans="1:15" ht="15.6" thickTop="1" thickBot="1" x14ac:dyDescent="0.35">
      <c r="A12" s="32" t="s">
        <v>48</v>
      </c>
      <c r="B12" s="33" t="s">
        <v>49</v>
      </c>
      <c r="C12" s="33" t="s">
        <v>50</v>
      </c>
      <c r="D12" s="33" t="s">
        <v>51</v>
      </c>
      <c r="E12" s="33" t="s">
        <v>52</v>
      </c>
      <c r="F12" s="33" t="s">
        <v>53</v>
      </c>
      <c r="G12" s="33" t="s">
        <v>54</v>
      </c>
      <c r="H12" s="33" t="s">
        <v>55</v>
      </c>
      <c r="I12" s="33" t="s">
        <v>56</v>
      </c>
      <c r="J12" s="33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ht="15" thickTop="1" x14ac:dyDescent="0.3">
      <c r="A13" s="38">
        <v>0</v>
      </c>
      <c r="B13" s="61"/>
      <c r="C13" s="39"/>
      <c r="D13" s="82"/>
      <c r="E13" s="39"/>
      <c r="F13" s="39">
        <v>1</v>
      </c>
      <c r="G13" s="39"/>
      <c r="H13" s="39"/>
      <c r="I13" s="126">
        <v>0.64166666666666672</v>
      </c>
      <c r="J13" s="41" t="s">
        <v>115</v>
      </c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38">
        <v>10</v>
      </c>
      <c r="B14" s="61" t="s">
        <v>83</v>
      </c>
      <c r="C14" s="39">
        <v>400</v>
      </c>
      <c r="D14" s="39" t="s">
        <v>58</v>
      </c>
      <c r="E14" s="39">
        <v>3</v>
      </c>
      <c r="F14" s="39">
        <v>2</v>
      </c>
      <c r="G14" s="39"/>
      <c r="H14" s="39" t="s">
        <v>11</v>
      </c>
      <c r="I14" s="39"/>
      <c r="J14" s="41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6</v>
      </c>
      <c r="O14" s="204" t="s">
        <v>14</v>
      </c>
    </row>
    <row r="15" spans="1:15" x14ac:dyDescent="0.3">
      <c r="A15" s="38">
        <v>2</v>
      </c>
      <c r="B15" s="61" t="s">
        <v>7</v>
      </c>
      <c r="C15" s="39">
        <v>40</v>
      </c>
      <c r="D15" s="39" t="s">
        <v>99</v>
      </c>
      <c r="E15" s="39">
        <v>1</v>
      </c>
      <c r="F15" s="39">
        <v>3</v>
      </c>
      <c r="G15" s="39"/>
      <c r="H15" s="39" t="s">
        <v>71</v>
      </c>
      <c r="I15" s="39"/>
      <c r="J15" s="41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38">
        <v>1</v>
      </c>
      <c r="B16" s="61" t="s">
        <v>7</v>
      </c>
      <c r="C16" s="39">
        <v>60</v>
      </c>
      <c r="D16" s="39" t="s">
        <v>99</v>
      </c>
      <c r="E16" s="39">
        <v>1</v>
      </c>
      <c r="F16" s="39">
        <v>3</v>
      </c>
      <c r="G16" s="39"/>
      <c r="H16" s="39" t="s">
        <v>71</v>
      </c>
      <c r="I16" s="39"/>
      <c r="J16" s="110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38">
        <v>1</v>
      </c>
      <c r="B17" s="61" t="s">
        <v>14</v>
      </c>
      <c r="C17" s="81">
        <v>40</v>
      </c>
      <c r="D17" s="39" t="s">
        <v>98</v>
      </c>
      <c r="E17" s="39">
        <v>1</v>
      </c>
      <c r="F17" s="39">
        <v>4</v>
      </c>
      <c r="G17" s="39"/>
      <c r="H17" s="39" t="s">
        <v>80</v>
      </c>
      <c r="I17" s="39"/>
      <c r="J17" s="110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38">
        <v>1</v>
      </c>
      <c r="B18" s="61" t="s">
        <v>7</v>
      </c>
      <c r="C18" s="39">
        <v>25</v>
      </c>
      <c r="D18" s="39" t="s">
        <v>58</v>
      </c>
      <c r="E18" s="39">
        <v>4</v>
      </c>
      <c r="F18" s="39">
        <v>4</v>
      </c>
      <c r="G18" s="39"/>
      <c r="H18" s="39" t="s">
        <v>125</v>
      </c>
      <c r="I18" s="39"/>
      <c r="J18" s="110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38">
        <v>1</v>
      </c>
      <c r="B19" s="61" t="s">
        <v>14</v>
      </c>
      <c r="C19" s="39">
        <v>35</v>
      </c>
      <c r="D19" s="39" t="s">
        <v>105</v>
      </c>
      <c r="E19" s="39" t="s">
        <v>123</v>
      </c>
      <c r="F19" s="39">
        <v>5</v>
      </c>
      <c r="G19" s="39"/>
      <c r="H19" s="39" t="s">
        <v>80</v>
      </c>
      <c r="I19" s="39"/>
      <c r="J19" s="110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38">
        <v>0</v>
      </c>
      <c r="B20" s="61"/>
      <c r="C20" s="39"/>
      <c r="D20" s="39"/>
      <c r="E20" s="39"/>
      <c r="F20" s="39">
        <v>6</v>
      </c>
      <c r="G20" s="39"/>
      <c r="H20" s="39"/>
      <c r="I20" s="39"/>
      <c r="J20" s="110" t="s">
        <v>115</v>
      </c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38">
        <v>0</v>
      </c>
      <c r="B21" s="61"/>
      <c r="C21" s="39"/>
      <c r="D21" s="39"/>
      <c r="E21" s="39"/>
      <c r="F21" s="39">
        <v>7</v>
      </c>
      <c r="G21" s="39"/>
      <c r="H21" s="39"/>
      <c r="I21" s="39"/>
      <c r="J21" s="110" t="s">
        <v>115</v>
      </c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38">
        <v>0</v>
      </c>
      <c r="B22" s="61"/>
      <c r="C22" s="39"/>
      <c r="D22" s="39"/>
      <c r="E22" s="39"/>
      <c r="F22" s="39">
        <v>8</v>
      </c>
      <c r="G22" s="39"/>
      <c r="H22" s="39"/>
      <c r="I22" s="39"/>
      <c r="J22" s="110" t="s">
        <v>115</v>
      </c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38">
        <v>1</v>
      </c>
      <c r="B23" s="61" t="s">
        <v>14</v>
      </c>
      <c r="C23" s="39">
        <v>40</v>
      </c>
      <c r="D23" s="39" t="s">
        <v>105</v>
      </c>
      <c r="E23" s="39" t="s">
        <v>124</v>
      </c>
      <c r="F23" s="39">
        <v>9</v>
      </c>
      <c r="G23" s="39"/>
      <c r="H23" s="39" t="s">
        <v>80</v>
      </c>
      <c r="I23" s="39"/>
      <c r="J23" s="41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38">
        <v>0</v>
      </c>
      <c r="B24" s="61"/>
      <c r="C24" s="39"/>
      <c r="D24" s="39"/>
      <c r="E24" s="39"/>
      <c r="F24" s="39">
        <v>10</v>
      </c>
      <c r="G24" s="39"/>
      <c r="H24" s="39"/>
      <c r="I24" s="39"/>
      <c r="J24" s="41" t="s">
        <v>115</v>
      </c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38">
        <v>0</v>
      </c>
      <c r="B25" s="61"/>
      <c r="C25" s="39"/>
      <c r="D25" s="39"/>
      <c r="E25" s="39"/>
      <c r="F25" s="39">
        <v>11</v>
      </c>
      <c r="G25" s="39"/>
      <c r="H25" s="39"/>
      <c r="I25" s="39"/>
      <c r="J25" s="41" t="s">
        <v>115</v>
      </c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38">
        <v>2</v>
      </c>
      <c r="B26" s="61" t="s">
        <v>14</v>
      </c>
      <c r="C26" s="39">
        <v>50</v>
      </c>
      <c r="D26" s="39" t="s">
        <v>72</v>
      </c>
      <c r="E26" s="39">
        <v>1</v>
      </c>
      <c r="F26" s="39">
        <v>12</v>
      </c>
      <c r="G26" s="39"/>
      <c r="H26" s="39" t="s">
        <v>102</v>
      </c>
      <c r="I26" s="39"/>
      <c r="J26" s="41"/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39">
        <v>3</v>
      </c>
      <c r="B27" s="61" t="s">
        <v>14</v>
      </c>
      <c r="C27" s="39">
        <v>50</v>
      </c>
      <c r="D27" s="39" t="s">
        <v>72</v>
      </c>
      <c r="E27" s="39">
        <v>1</v>
      </c>
      <c r="F27" s="39">
        <v>12</v>
      </c>
      <c r="G27" s="39"/>
      <c r="H27" s="39" t="s">
        <v>102</v>
      </c>
      <c r="I27" s="68"/>
      <c r="J27" s="110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61">
        <v>1</v>
      </c>
      <c r="B28" s="69" t="s">
        <v>14</v>
      </c>
      <c r="C28" s="69">
        <v>50</v>
      </c>
      <c r="D28" s="69" t="s">
        <v>72</v>
      </c>
      <c r="E28" s="69">
        <v>1</v>
      </c>
      <c r="F28" s="69">
        <v>12</v>
      </c>
      <c r="G28" s="69"/>
      <c r="H28" s="69" t="s">
        <v>102</v>
      </c>
      <c r="I28" s="69"/>
      <c r="J28" s="116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69">
        <v>0</v>
      </c>
      <c r="B29" s="69"/>
      <c r="C29" s="69"/>
      <c r="D29" s="69"/>
      <c r="E29" s="69"/>
      <c r="F29" s="69">
        <v>13</v>
      </c>
      <c r="G29" s="69"/>
      <c r="H29" s="69"/>
      <c r="I29" s="69"/>
      <c r="J29" s="116" t="s">
        <v>115</v>
      </c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ht="15" thickBot="1" x14ac:dyDescent="0.35">
      <c r="A30" s="72">
        <v>30</v>
      </c>
      <c r="B30" s="72" t="s">
        <v>83</v>
      </c>
      <c r="C30" s="72">
        <v>400</v>
      </c>
      <c r="D30" s="72" t="s">
        <v>109</v>
      </c>
      <c r="E30" s="72">
        <v>3</v>
      </c>
      <c r="F30" s="72">
        <v>14</v>
      </c>
      <c r="G30" s="72"/>
      <c r="H30" s="72" t="s">
        <v>71</v>
      </c>
      <c r="I30" s="191">
        <v>0.68055555555555547</v>
      </c>
      <c r="J30" s="117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50"/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1:15" x14ac:dyDescent="0.3"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1:15" x14ac:dyDescent="0.3"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1:15" x14ac:dyDescent="0.3"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1:15" x14ac:dyDescent="0.3"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1:15" x14ac:dyDescent="0.3"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1:15" x14ac:dyDescent="0.3"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1:15" x14ac:dyDescent="0.3"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1:15" x14ac:dyDescent="0.3"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1:15" x14ac:dyDescent="0.3"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1:15" x14ac:dyDescent="0.3"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1:15" x14ac:dyDescent="0.3"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1:15" x14ac:dyDescent="0.3"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1:15" x14ac:dyDescent="0.3">
      <c r="K45" s="204" t="s">
        <v>222</v>
      </c>
      <c r="L45" s="204">
        <f>SUM(L3:L44)</f>
        <v>4</v>
      </c>
      <c r="M45" s="204" t="s">
        <v>7</v>
      </c>
      <c r="N45" s="204">
        <f>SUM(N3:N44)</f>
        <v>9</v>
      </c>
      <c r="O45" s="204" t="s">
        <v>14</v>
      </c>
    </row>
    <row r="46" spans="11:15" x14ac:dyDescent="0.3">
      <c r="K46" s="204"/>
      <c r="L46" s="204"/>
      <c r="M46" s="204"/>
      <c r="N46" s="204"/>
    </row>
    <row r="47" spans="11:15" x14ac:dyDescent="0.3">
      <c r="K47" s="204"/>
      <c r="N47" s="204"/>
    </row>
    <row r="48" spans="11:15" x14ac:dyDescent="0.3"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94"/>
  <sheetViews>
    <sheetView workbookViewId="0">
      <selection activeCell="M27" sqref="M27"/>
    </sheetView>
  </sheetViews>
  <sheetFormatPr defaultRowHeight="14.4" x14ac:dyDescent="0.3"/>
  <cols>
    <col min="1" max="1" width="9.33203125" customWidth="1"/>
    <col min="2" max="2" width="9.5546875" bestFit="1" customWidth="1"/>
    <col min="5" max="5" width="12.44140625" customWidth="1"/>
    <col min="7" max="7" width="14.109375" customWidth="1"/>
    <col min="10" max="10" width="13.88671875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149</v>
      </c>
      <c r="J1" s="46" t="s">
        <v>150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68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 t="s">
        <v>221</v>
      </c>
      <c r="C3" s="7" t="s">
        <v>2</v>
      </c>
      <c r="D3" s="8"/>
      <c r="E3" s="7" t="s">
        <v>3</v>
      </c>
      <c r="F3" s="9"/>
      <c r="G3" s="10" t="s">
        <v>4</v>
      </c>
      <c r="H3" s="8"/>
      <c r="J3" s="9"/>
      <c r="K3" s="204" t="s">
        <v>176</v>
      </c>
      <c r="L3" s="204">
        <f>SUMIFS($A$11:$A$401,$B$11:$B$401,"CH",$F$11:$F$401,"1")</f>
        <v>1</v>
      </c>
      <c r="M3" s="204" t="s">
        <v>7</v>
      </c>
      <c r="N3" s="204">
        <f>SUMIFS($A$11:$A$401,$B$11:$B$401,"RT",$F$11:$F$401,"1")</f>
        <v>130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98</v>
      </c>
      <c r="J4" s="9"/>
      <c r="K4" s="204" t="s">
        <v>177</v>
      </c>
      <c r="L4" s="204">
        <f>SUMIFS($A$11:$A$401,$B$11:$B$401,"CH",$F$11:$F$401,"2")</f>
        <v>2</v>
      </c>
      <c r="M4" s="204" t="s">
        <v>7</v>
      </c>
      <c r="N4" s="204">
        <f>SUMIFS($A$11:$A$401,$B$11:$B$401,"RT",$F$11:$F$401,"2")</f>
        <v>984</v>
      </c>
      <c r="O4" s="204" t="s">
        <v>14</v>
      </c>
    </row>
    <row r="5" spans="1:15" ht="15" thickTop="1" x14ac:dyDescent="0.3">
      <c r="A5" s="54" t="s">
        <v>67</v>
      </c>
      <c r="B5" s="55">
        <v>0.60069444444444442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 t="s">
        <v>99</v>
      </c>
      <c r="J5" s="9"/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132</v>
      </c>
      <c r="O5" s="204" t="s">
        <v>14</v>
      </c>
    </row>
    <row r="6" spans="1:15" x14ac:dyDescent="0.3">
      <c r="A6" s="53" t="s">
        <v>12</v>
      </c>
      <c r="B6" s="161">
        <v>43704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 t="s">
        <v>72</v>
      </c>
      <c r="J6" s="9"/>
      <c r="K6" s="204" t="s">
        <v>179</v>
      </c>
      <c r="L6" s="204">
        <f>SUMIFS($A$11:$A$401,$B$11:$B$401,"CH",$F$11:$F$401,"4")</f>
        <v>14</v>
      </c>
      <c r="M6" s="204" t="s">
        <v>7</v>
      </c>
      <c r="N6" s="204">
        <f>SUMIFS($A$11:$A$401,$B$11:$B$401,"RT",$F$11:$F$401,"4")</f>
        <v>1355</v>
      </c>
      <c r="O6" s="204" t="s">
        <v>14</v>
      </c>
    </row>
    <row r="7" spans="1:15" x14ac:dyDescent="0.3">
      <c r="A7" s="47" t="s">
        <v>62</v>
      </c>
      <c r="B7" s="18">
        <v>13.5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50"/>
      <c r="J7" s="9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6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/>
      <c r="J8" s="9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0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/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22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158"/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13</v>
      </c>
      <c r="O11" s="204" t="s">
        <v>14</v>
      </c>
    </row>
    <row r="12" spans="1:15" ht="15.6" thickTop="1" thickBot="1" x14ac:dyDescent="0.35">
      <c r="A12" s="145" t="s">
        <v>48</v>
      </c>
      <c r="B12" s="83" t="s">
        <v>49</v>
      </c>
      <c r="C12" s="83" t="s">
        <v>50</v>
      </c>
      <c r="D12" s="83" t="s">
        <v>51</v>
      </c>
      <c r="E12" s="83" t="s">
        <v>52</v>
      </c>
      <c r="F12" s="83" t="s">
        <v>53</v>
      </c>
      <c r="G12" s="83" t="s">
        <v>54</v>
      </c>
      <c r="H12" s="83" t="s">
        <v>55</v>
      </c>
      <c r="I12" s="83" t="s">
        <v>56</v>
      </c>
      <c r="J12" s="83" t="s">
        <v>57</v>
      </c>
      <c r="K12" s="204" t="s">
        <v>185</v>
      </c>
      <c r="L12" s="204">
        <f>SUMIFS($A$11:$A$401,$B$11:$B$401,"CH",$F$11:$F$401,"10")</f>
        <v>1</v>
      </c>
      <c r="M12" s="204" t="s">
        <v>7</v>
      </c>
      <c r="N12" s="204">
        <f>SUMIFS($A$11:$A$401,$B$11:$B$401,"RT",$F$11:$F$401,"10")</f>
        <v>226</v>
      </c>
      <c r="O12" s="204" t="s">
        <v>14</v>
      </c>
    </row>
    <row r="13" spans="1:15" x14ac:dyDescent="0.3">
      <c r="A13" s="134">
        <v>40</v>
      </c>
      <c r="B13" s="137" t="s">
        <v>14</v>
      </c>
      <c r="C13" s="135">
        <v>40</v>
      </c>
      <c r="D13" s="190" t="s">
        <v>98</v>
      </c>
      <c r="E13" s="135">
        <v>1</v>
      </c>
      <c r="F13" s="135">
        <v>1</v>
      </c>
      <c r="G13" s="175" t="s">
        <v>22</v>
      </c>
      <c r="H13" s="135" t="s">
        <v>102</v>
      </c>
      <c r="I13" s="147">
        <v>0.60763888888888895</v>
      </c>
      <c r="J13" s="136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109">
        <v>80</v>
      </c>
      <c r="B14" s="61" t="s">
        <v>14</v>
      </c>
      <c r="C14" s="39">
        <v>40</v>
      </c>
      <c r="D14" s="39" t="s">
        <v>98</v>
      </c>
      <c r="E14" s="39">
        <v>1</v>
      </c>
      <c r="F14" s="39">
        <v>1</v>
      </c>
      <c r="G14" s="69" t="s">
        <v>22</v>
      </c>
      <c r="H14" s="39" t="s">
        <v>71</v>
      </c>
      <c r="I14" s="39"/>
      <c r="J14" s="110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109">
        <v>1</v>
      </c>
      <c r="B15" s="61" t="s">
        <v>7</v>
      </c>
      <c r="C15" s="39">
        <v>50</v>
      </c>
      <c r="D15" s="39" t="s">
        <v>98</v>
      </c>
      <c r="E15" s="39">
        <v>1</v>
      </c>
      <c r="F15" s="39">
        <v>1</v>
      </c>
      <c r="G15" s="69" t="s">
        <v>22</v>
      </c>
      <c r="H15" s="39" t="s">
        <v>71</v>
      </c>
      <c r="I15" s="39"/>
      <c r="J15" s="110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109">
        <v>1</v>
      </c>
      <c r="B16" s="61" t="s">
        <v>83</v>
      </c>
      <c r="C16" s="39">
        <v>50</v>
      </c>
      <c r="D16" s="39" t="s">
        <v>98</v>
      </c>
      <c r="E16" s="39">
        <v>1</v>
      </c>
      <c r="F16" s="39">
        <v>1</v>
      </c>
      <c r="G16" s="69" t="s">
        <v>22</v>
      </c>
      <c r="H16" s="39" t="s">
        <v>71</v>
      </c>
      <c r="I16" s="39"/>
      <c r="J16" s="110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109">
        <v>10</v>
      </c>
      <c r="B17" s="61" t="s">
        <v>14</v>
      </c>
      <c r="C17" s="39">
        <v>40</v>
      </c>
      <c r="D17" s="39" t="s">
        <v>72</v>
      </c>
      <c r="E17" s="39">
        <v>1</v>
      </c>
      <c r="F17" s="39">
        <v>1</v>
      </c>
      <c r="G17" s="69" t="s">
        <v>22</v>
      </c>
      <c r="H17" s="39" t="s">
        <v>71</v>
      </c>
      <c r="I17" s="39"/>
      <c r="J17" s="110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20</v>
      </c>
      <c r="B18" s="61" t="s">
        <v>14</v>
      </c>
      <c r="C18" s="39">
        <v>50</v>
      </c>
      <c r="D18" s="39" t="s">
        <v>72</v>
      </c>
      <c r="E18" s="39">
        <v>2</v>
      </c>
      <c r="F18" s="39">
        <v>2</v>
      </c>
      <c r="G18" s="77" t="s">
        <v>151</v>
      </c>
      <c r="H18" s="39" t="s">
        <v>71</v>
      </c>
      <c r="I18" s="39"/>
      <c r="J18" s="110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30</v>
      </c>
      <c r="B19" s="61" t="s">
        <v>14</v>
      </c>
      <c r="C19" s="39">
        <v>30</v>
      </c>
      <c r="D19" s="39" t="s">
        <v>72</v>
      </c>
      <c r="E19" s="39">
        <v>2</v>
      </c>
      <c r="F19" s="39">
        <v>2</v>
      </c>
      <c r="G19" s="77" t="s">
        <v>151</v>
      </c>
      <c r="H19" s="39" t="s">
        <v>71</v>
      </c>
      <c r="I19" s="39"/>
      <c r="J19" s="110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1</v>
      </c>
      <c r="B20" s="61" t="s">
        <v>14</v>
      </c>
      <c r="C20" s="39">
        <v>180</v>
      </c>
      <c r="D20" s="39" t="s">
        <v>72</v>
      </c>
      <c r="E20" s="39">
        <v>2</v>
      </c>
      <c r="F20" s="39">
        <v>2</v>
      </c>
      <c r="G20" s="77" t="s">
        <v>151</v>
      </c>
      <c r="H20" s="39" t="s">
        <v>71</v>
      </c>
      <c r="I20" s="39"/>
      <c r="J20" s="110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30</v>
      </c>
      <c r="B21" s="61" t="s">
        <v>14</v>
      </c>
      <c r="C21" s="39">
        <v>30</v>
      </c>
      <c r="D21" s="39" t="s">
        <v>72</v>
      </c>
      <c r="E21" s="39">
        <v>2</v>
      </c>
      <c r="F21" s="39">
        <v>2</v>
      </c>
      <c r="G21" s="77" t="s">
        <v>151</v>
      </c>
      <c r="H21" s="39" t="s">
        <v>71</v>
      </c>
      <c r="I21" s="39"/>
      <c r="J21" s="110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5</v>
      </c>
      <c r="B22" s="61" t="s">
        <v>14</v>
      </c>
      <c r="C22" s="39">
        <v>50</v>
      </c>
      <c r="D22" s="39" t="s">
        <v>72</v>
      </c>
      <c r="E22" s="39">
        <v>2</v>
      </c>
      <c r="F22" s="39">
        <v>2</v>
      </c>
      <c r="G22" s="77" t="s">
        <v>151</v>
      </c>
      <c r="H22" s="39" t="s">
        <v>102</v>
      </c>
      <c r="I22" s="39"/>
      <c r="J22" s="110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22</v>
      </c>
      <c r="B23" s="61" t="s">
        <v>14</v>
      </c>
      <c r="C23" s="39">
        <v>40</v>
      </c>
      <c r="D23" s="39" t="s">
        <v>98</v>
      </c>
      <c r="E23" s="39">
        <v>2</v>
      </c>
      <c r="F23" s="39">
        <v>2</v>
      </c>
      <c r="G23" s="77" t="s">
        <v>151</v>
      </c>
      <c r="H23" s="39" t="s">
        <v>102</v>
      </c>
      <c r="I23" s="39"/>
      <c r="J23" s="110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09">
        <v>1</v>
      </c>
      <c r="B24" s="61" t="s">
        <v>7</v>
      </c>
      <c r="C24" s="39">
        <v>40</v>
      </c>
      <c r="D24" s="39" t="s">
        <v>98</v>
      </c>
      <c r="E24" s="39">
        <v>2</v>
      </c>
      <c r="F24" s="39">
        <v>2</v>
      </c>
      <c r="G24" s="77" t="s">
        <v>151</v>
      </c>
      <c r="H24" s="39" t="s">
        <v>71</v>
      </c>
      <c r="I24" s="39"/>
      <c r="J24" s="110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109">
        <v>25</v>
      </c>
      <c r="B25" s="61" t="s">
        <v>14</v>
      </c>
      <c r="C25" s="39">
        <v>40</v>
      </c>
      <c r="D25" s="39" t="s">
        <v>72</v>
      </c>
      <c r="E25" s="39">
        <v>2</v>
      </c>
      <c r="F25" s="39">
        <v>2</v>
      </c>
      <c r="G25" s="77" t="s">
        <v>151</v>
      </c>
      <c r="H25" s="39" t="s">
        <v>102</v>
      </c>
      <c r="I25" s="39"/>
      <c r="J25" s="110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109">
        <v>10</v>
      </c>
      <c r="B26" s="61" t="s">
        <v>14</v>
      </c>
      <c r="C26" s="39">
        <v>30</v>
      </c>
      <c r="D26" s="39" t="s">
        <v>72</v>
      </c>
      <c r="E26" s="39">
        <v>2</v>
      </c>
      <c r="F26" s="39">
        <v>2</v>
      </c>
      <c r="G26" s="77" t="s">
        <v>151</v>
      </c>
      <c r="H26" s="39" t="s">
        <v>71</v>
      </c>
      <c r="I26" s="39"/>
      <c r="J26" s="110"/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109">
        <v>5</v>
      </c>
      <c r="B27" s="61" t="s">
        <v>14</v>
      </c>
      <c r="C27" s="39">
        <v>50</v>
      </c>
      <c r="D27" s="39" t="s">
        <v>72</v>
      </c>
      <c r="E27" s="39">
        <v>2</v>
      </c>
      <c r="F27" s="39">
        <v>2</v>
      </c>
      <c r="G27" s="77" t="s">
        <v>151</v>
      </c>
      <c r="H27" s="39" t="s">
        <v>71</v>
      </c>
      <c r="I27" s="39"/>
      <c r="J27" s="110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109">
        <v>4</v>
      </c>
      <c r="B28" s="61" t="s">
        <v>83</v>
      </c>
      <c r="C28" s="39">
        <v>40</v>
      </c>
      <c r="D28" s="39" t="s">
        <v>72</v>
      </c>
      <c r="E28" s="39">
        <v>2</v>
      </c>
      <c r="F28" s="39">
        <v>2</v>
      </c>
      <c r="G28" s="77" t="s">
        <v>151</v>
      </c>
      <c r="H28" s="39" t="s">
        <v>71</v>
      </c>
      <c r="I28" s="39"/>
      <c r="J28" s="110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109">
        <v>12</v>
      </c>
      <c r="B29" s="61" t="s">
        <v>14</v>
      </c>
      <c r="C29" s="39">
        <v>50</v>
      </c>
      <c r="D29" s="39" t="s">
        <v>72</v>
      </c>
      <c r="E29" s="39">
        <v>2</v>
      </c>
      <c r="F29" s="39">
        <v>2</v>
      </c>
      <c r="G29" s="77" t="s">
        <v>151</v>
      </c>
      <c r="H29" s="39" t="s">
        <v>71</v>
      </c>
      <c r="I29" s="39"/>
      <c r="J29" s="110"/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109">
        <v>8</v>
      </c>
      <c r="B30" s="61" t="s">
        <v>14</v>
      </c>
      <c r="C30" s="39">
        <v>30</v>
      </c>
      <c r="D30" s="39" t="s">
        <v>72</v>
      </c>
      <c r="E30" s="39">
        <v>2</v>
      </c>
      <c r="F30" s="39">
        <v>2</v>
      </c>
      <c r="G30" s="77" t="s">
        <v>151</v>
      </c>
      <c r="H30" s="39" t="s">
        <v>71</v>
      </c>
      <c r="I30" s="39"/>
      <c r="J30" s="110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109">
        <v>10</v>
      </c>
      <c r="B31" s="61" t="s">
        <v>14</v>
      </c>
      <c r="C31" s="39">
        <v>30</v>
      </c>
      <c r="D31" s="39" t="s">
        <v>72</v>
      </c>
      <c r="E31" s="39">
        <v>2</v>
      </c>
      <c r="F31" s="39">
        <v>2</v>
      </c>
      <c r="G31" s="77" t="s">
        <v>151</v>
      </c>
      <c r="H31" s="39" t="s">
        <v>102</v>
      </c>
      <c r="I31" s="39"/>
      <c r="J31" s="110"/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109">
        <v>50</v>
      </c>
      <c r="B32" s="61" t="s">
        <v>14</v>
      </c>
      <c r="C32" s="39">
        <v>40</v>
      </c>
      <c r="D32" s="39" t="s">
        <v>98</v>
      </c>
      <c r="E32" s="39">
        <v>1</v>
      </c>
      <c r="F32" s="39">
        <v>2</v>
      </c>
      <c r="G32" s="77" t="s">
        <v>151</v>
      </c>
      <c r="H32" s="39" t="s">
        <v>71</v>
      </c>
      <c r="I32" s="39"/>
      <c r="J32" s="110"/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109">
        <v>1</v>
      </c>
      <c r="B33" s="61" t="s">
        <v>83</v>
      </c>
      <c r="C33" s="39">
        <v>50</v>
      </c>
      <c r="D33" s="39" t="s">
        <v>98</v>
      </c>
      <c r="E33" s="39">
        <v>1</v>
      </c>
      <c r="F33" s="39">
        <v>2</v>
      </c>
      <c r="G33" s="77" t="s">
        <v>151</v>
      </c>
      <c r="H33" s="39" t="s">
        <v>71</v>
      </c>
      <c r="I33" s="39"/>
      <c r="J33" s="110"/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x14ac:dyDescent="0.3">
      <c r="A34" s="109">
        <v>20</v>
      </c>
      <c r="B34" s="61" t="s">
        <v>83</v>
      </c>
      <c r="C34" s="39">
        <v>40</v>
      </c>
      <c r="D34" s="39" t="s">
        <v>72</v>
      </c>
      <c r="E34" s="39">
        <v>3</v>
      </c>
      <c r="F34" s="39">
        <v>2</v>
      </c>
      <c r="G34" s="77" t="s">
        <v>151</v>
      </c>
      <c r="H34" s="39" t="s">
        <v>102</v>
      </c>
      <c r="I34" s="39"/>
      <c r="J34" s="110"/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A35" s="109">
        <v>30</v>
      </c>
      <c r="B35" s="61" t="s">
        <v>14</v>
      </c>
      <c r="C35" s="39">
        <v>30</v>
      </c>
      <c r="D35" s="39" t="s">
        <v>72</v>
      </c>
      <c r="E35" s="39">
        <v>3</v>
      </c>
      <c r="F35" s="39">
        <v>2</v>
      </c>
      <c r="G35" s="77" t="s">
        <v>151</v>
      </c>
      <c r="H35" s="39" t="s">
        <v>102</v>
      </c>
      <c r="I35" s="39"/>
      <c r="J35" s="110"/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A36" s="109">
        <v>20</v>
      </c>
      <c r="B36" s="61" t="s">
        <v>14</v>
      </c>
      <c r="C36" s="39">
        <v>50</v>
      </c>
      <c r="D36" s="39" t="s">
        <v>72</v>
      </c>
      <c r="E36" s="39">
        <v>3</v>
      </c>
      <c r="F36" s="39">
        <v>2</v>
      </c>
      <c r="G36" s="77" t="s">
        <v>151</v>
      </c>
      <c r="H36" s="39" t="s">
        <v>71</v>
      </c>
      <c r="I36" s="39"/>
      <c r="J36" s="110"/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A37" s="109">
        <v>15</v>
      </c>
      <c r="B37" s="61" t="s">
        <v>14</v>
      </c>
      <c r="C37" s="39">
        <v>20</v>
      </c>
      <c r="D37" s="39" t="s">
        <v>99</v>
      </c>
      <c r="E37" s="39">
        <v>2</v>
      </c>
      <c r="F37" s="39">
        <v>3</v>
      </c>
      <c r="G37" s="77"/>
      <c r="H37" s="39" t="s">
        <v>81</v>
      </c>
      <c r="I37" s="39"/>
      <c r="J37" s="110"/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x14ac:dyDescent="0.3">
      <c r="A38" s="109">
        <v>20</v>
      </c>
      <c r="B38" s="61" t="s">
        <v>14</v>
      </c>
      <c r="C38" s="39">
        <v>30</v>
      </c>
      <c r="D38" s="39" t="s">
        <v>72</v>
      </c>
      <c r="E38" s="39">
        <v>3</v>
      </c>
      <c r="F38" s="39">
        <v>2</v>
      </c>
      <c r="G38" s="77" t="s">
        <v>151</v>
      </c>
      <c r="H38" s="39" t="s">
        <v>81</v>
      </c>
      <c r="I38" s="39"/>
      <c r="J38" s="110"/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x14ac:dyDescent="0.3">
      <c r="A39" s="109">
        <v>85</v>
      </c>
      <c r="B39" s="61" t="s">
        <v>14</v>
      </c>
      <c r="C39" s="39">
        <v>40</v>
      </c>
      <c r="D39" s="39" t="s">
        <v>98</v>
      </c>
      <c r="E39" s="39">
        <v>1</v>
      </c>
      <c r="F39" s="39">
        <v>2</v>
      </c>
      <c r="G39" s="77" t="s">
        <v>151</v>
      </c>
      <c r="H39" s="39" t="s">
        <v>18</v>
      </c>
      <c r="I39" s="39"/>
      <c r="J39" s="110"/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A40" s="109">
        <v>5</v>
      </c>
      <c r="B40" s="61" t="s">
        <v>83</v>
      </c>
      <c r="C40" s="39">
        <v>50</v>
      </c>
      <c r="D40" s="39" t="s">
        <v>98</v>
      </c>
      <c r="E40" s="39">
        <v>1</v>
      </c>
      <c r="F40" s="39">
        <v>2</v>
      </c>
      <c r="G40" s="77" t="s">
        <v>151</v>
      </c>
      <c r="H40" s="39"/>
      <c r="I40" s="39"/>
      <c r="J40" s="110"/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A41" s="109">
        <v>15</v>
      </c>
      <c r="B41" s="61" t="s">
        <v>14</v>
      </c>
      <c r="C41" s="39">
        <v>30</v>
      </c>
      <c r="D41" s="39" t="s">
        <v>99</v>
      </c>
      <c r="E41" s="39">
        <v>2</v>
      </c>
      <c r="F41" s="39">
        <v>3</v>
      </c>
      <c r="G41" s="77"/>
      <c r="H41" s="39" t="s">
        <v>81</v>
      </c>
      <c r="I41" s="39"/>
      <c r="J41" s="110"/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x14ac:dyDescent="0.3">
      <c r="A42" s="109">
        <v>50</v>
      </c>
      <c r="B42" s="61" t="s">
        <v>14</v>
      </c>
      <c r="C42" s="39">
        <v>30</v>
      </c>
      <c r="D42" s="39" t="s">
        <v>72</v>
      </c>
      <c r="E42" s="39">
        <v>3</v>
      </c>
      <c r="F42" s="39">
        <v>2</v>
      </c>
      <c r="G42" s="77" t="s">
        <v>151</v>
      </c>
      <c r="H42" s="39"/>
      <c r="I42" s="39"/>
      <c r="J42" s="110"/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A43" s="109">
        <v>5</v>
      </c>
      <c r="B43" s="61" t="s">
        <v>14</v>
      </c>
      <c r="C43" s="39">
        <v>50</v>
      </c>
      <c r="D43" s="39" t="s">
        <v>72</v>
      </c>
      <c r="E43" s="39">
        <v>3</v>
      </c>
      <c r="F43" s="39">
        <v>2</v>
      </c>
      <c r="G43" s="77" t="s">
        <v>151</v>
      </c>
      <c r="H43" s="39"/>
      <c r="I43" s="39"/>
      <c r="J43" s="110"/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A44" s="109">
        <v>20</v>
      </c>
      <c r="B44" s="61" t="s">
        <v>14</v>
      </c>
      <c r="C44" s="39">
        <v>50</v>
      </c>
      <c r="D44" s="39" t="s">
        <v>72</v>
      </c>
      <c r="E44" s="39">
        <v>3</v>
      </c>
      <c r="F44" s="39">
        <v>2</v>
      </c>
      <c r="G44" s="77" t="s">
        <v>151</v>
      </c>
      <c r="H44" s="39"/>
      <c r="I44" s="39"/>
      <c r="J44" s="110"/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A45" s="109">
        <v>30</v>
      </c>
      <c r="B45" s="61" t="s">
        <v>14</v>
      </c>
      <c r="C45" s="39">
        <v>30</v>
      </c>
      <c r="D45" s="39" t="s">
        <v>72</v>
      </c>
      <c r="E45" s="39">
        <v>3</v>
      </c>
      <c r="F45" s="39">
        <v>2</v>
      </c>
      <c r="G45" s="77" t="s">
        <v>151</v>
      </c>
      <c r="H45" s="39" t="s">
        <v>81</v>
      </c>
      <c r="I45" s="39"/>
      <c r="J45" s="110"/>
      <c r="K45" s="204" t="s">
        <v>222</v>
      </c>
      <c r="L45" s="204">
        <f>SUM(L3:L44)</f>
        <v>18</v>
      </c>
      <c r="M45" s="204" t="s">
        <v>7</v>
      </c>
      <c r="N45" s="204">
        <f>SUM(N3:N44)</f>
        <v>2862</v>
      </c>
      <c r="O45" s="204" t="s">
        <v>14</v>
      </c>
    </row>
    <row r="46" spans="1:15" ht="15" thickBot="1" x14ac:dyDescent="0.35">
      <c r="A46" s="195">
        <v>20</v>
      </c>
      <c r="B46" s="75" t="s">
        <v>14</v>
      </c>
      <c r="C46" s="76">
        <v>30</v>
      </c>
      <c r="D46" s="76" t="s">
        <v>99</v>
      </c>
      <c r="E46" s="76">
        <v>2</v>
      </c>
      <c r="F46" s="76">
        <v>3</v>
      </c>
      <c r="G46" s="183"/>
      <c r="H46" s="76" t="s">
        <v>81</v>
      </c>
      <c r="I46" s="76"/>
      <c r="J46" s="127"/>
      <c r="K46" s="204"/>
      <c r="L46" s="204"/>
      <c r="M46" s="204"/>
      <c r="N46" s="204"/>
    </row>
    <row r="47" spans="1:15" x14ac:dyDescent="0.3">
      <c r="A47" s="134">
        <v>20</v>
      </c>
      <c r="B47" s="137" t="s">
        <v>14</v>
      </c>
      <c r="C47" s="135">
        <v>40</v>
      </c>
      <c r="D47" s="135" t="s">
        <v>72</v>
      </c>
      <c r="E47" s="135">
        <v>3</v>
      </c>
      <c r="F47" s="135">
        <v>2</v>
      </c>
      <c r="G47" s="186"/>
      <c r="H47" s="135" t="s">
        <v>81</v>
      </c>
      <c r="I47" s="135"/>
      <c r="J47" s="136"/>
      <c r="K47" s="204"/>
      <c r="N47" s="204"/>
    </row>
    <row r="48" spans="1:15" x14ac:dyDescent="0.3">
      <c r="A48" s="109">
        <v>80</v>
      </c>
      <c r="B48" s="61" t="s">
        <v>14</v>
      </c>
      <c r="C48" s="39">
        <v>40</v>
      </c>
      <c r="D48" s="39" t="s">
        <v>98</v>
      </c>
      <c r="E48" s="39">
        <v>1</v>
      </c>
      <c r="F48" s="39">
        <v>2</v>
      </c>
      <c r="G48" s="77"/>
      <c r="H48" s="39" t="s">
        <v>71</v>
      </c>
      <c r="I48" s="39"/>
      <c r="J48" s="110"/>
      <c r="K48" s="204"/>
      <c r="N48" s="204"/>
    </row>
    <row r="49" spans="1:14" x14ac:dyDescent="0.3">
      <c r="A49" s="109">
        <v>2</v>
      </c>
      <c r="B49" s="61" t="s">
        <v>83</v>
      </c>
      <c r="C49" s="39">
        <v>50</v>
      </c>
      <c r="D49" s="39" t="s">
        <v>98</v>
      </c>
      <c r="E49" s="39">
        <v>1</v>
      </c>
      <c r="F49" s="39">
        <v>2</v>
      </c>
      <c r="G49" s="77"/>
      <c r="H49" s="39" t="s">
        <v>71</v>
      </c>
      <c r="I49" s="39"/>
      <c r="J49" s="110"/>
      <c r="K49" s="204"/>
      <c r="N49" s="204"/>
    </row>
    <row r="50" spans="1:14" x14ac:dyDescent="0.3">
      <c r="A50" s="109">
        <v>20</v>
      </c>
      <c r="B50" s="61" t="s">
        <v>14</v>
      </c>
      <c r="C50" s="39">
        <v>40</v>
      </c>
      <c r="D50" s="39" t="s">
        <v>72</v>
      </c>
      <c r="E50" s="39">
        <v>3</v>
      </c>
      <c r="F50" s="39">
        <v>2</v>
      </c>
      <c r="G50" s="77"/>
      <c r="H50" s="39" t="s">
        <v>81</v>
      </c>
      <c r="I50" s="39"/>
      <c r="J50" s="110"/>
      <c r="K50" s="204"/>
      <c r="N50" s="204"/>
    </row>
    <row r="51" spans="1:14" x14ac:dyDescent="0.3">
      <c r="A51" s="109">
        <v>50</v>
      </c>
      <c r="B51" s="61" t="s">
        <v>14</v>
      </c>
      <c r="C51" s="39">
        <v>40</v>
      </c>
      <c r="D51" s="39" t="s">
        <v>98</v>
      </c>
      <c r="E51" s="39">
        <v>1</v>
      </c>
      <c r="F51" s="39">
        <v>2</v>
      </c>
      <c r="G51" s="77"/>
      <c r="H51" s="39" t="s">
        <v>71</v>
      </c>
      <c r="I51" s="39"/>
      <c r="J51" s="110"/>
      <c r="K51" s="204"/>
      <c r="N51" s="204"/>
    </row>
    <row r="52" spans="1:14" x14ac:dyDescent="0.3">
      <c r="A52" s="109">
        <v>20</v>
      </c>
      <c r="B52" s="61" t="s">
        <v>14</v>
      </c>
      <c r="C52" s="39">
        <v>40</v>
      </c>
      <c r="D52" s="39" t="s">
        <v>72</v>
      </c>
      <c r="E52" s="39">
        <v>3</v>
      </c>
      <c r="F52" s="39">
        <v>2</v>
      </c>
      <c r="G52" s="77"/>
      <c r="H52" s="39" t="s">
        <v>81</v>
      </c>
      <c r="I52" s="39"/>
      <c r="J52" s="110"/>
      <c r="K52" s="204"/>
      <c r="N52" s="204"/>
    </row>
    <row r="53" spans="1:14" x14ac:dyDescent="0.3">
      <c r="A53" s="109">
        <v>10</v>
      </c>
      <c r="B53" s="61" t="s">
        <v>14</v>
      </c>
      <c r="C53" s="39">
        <v>30</v>
      </c>
      <c r="D53" s="39" t="s">
        <v>72</v>
      </c>
      <c r="E53" s="39">
        <v>3</v>
      </c>
      <c r="F53" s="39">
        <v>2</v>
      </c>
      <c r="G53" s="77"/>
      <c r="H53" s="39" t="s">
        <v>81</v>
      </c>
      <c r="I53" s="39"/>
      <c r="J53" s="110"/>
      <c r="K53" s="204"/>
      <c r="N53" s="204"/>
    </row>
    <row r="54" spans="1:14" x14ac:dyDescent="0.3">
      <c r="A54" s="109">
        <v>35</v>
      </c>
      <c r="B54" s="61" t="s">
        <v>14</v>
      </c>
      <c r="C54" s="39">
        <v>40</v>
      </c>
      <c r="D54" s="39" t="s">
        <v>98</v>
      </c>
      <c r="E54" s="39">
        <v>1</v>
      </c>
      <c r="F54" s="39">
        <v>2</v>
      </c>
      <c r="G54" s="77"/>
      <c r="H54" s="39" t="s">
        <v>81</v>
      </c>
      <c r="I54" s="39"/>
      <c r="J54" s="110"/>
      <c r="K54" s="204"/>
      <c r="N54" s="204"/>
    </row>
    <row r="55" spans="1:14" x14ac:dyDescent="0.3">
      <c r="A55" s="109">
        <v>1</v>
      </c>
      <c r="B55" s="61" t="s">
        <v>83</v>
      </c>
      <c r="C55" s="39">
        <v>50</v>
      </c>
      <c r="D55" s="39" t="s">
        <v>98</v>
      </c>
      <c r="E55" s="39">
        <v>1</v>
      </c>
      <c r="F55" s="39">
        <v>2</v>
      </c>
      <c r="G55" s="77"/>
      <c r="H55" s="39" t="s">
        <v>81</v>
      </c>
      <c r="I55" s="39"/>
      <c r="J55" s="110"/>
      <c r="K55" s="204"/>
      <c r="N55" s="204"/>
    </row>
    <row r="56" spans="1:14" x14ac:dyDescent="0.3">
      <c r="A56" s="109">
        <v>15</v>
      </c>
      <c r="B56" s="61" t="s">
        <v>14</v>
      </c>
      <c r="C56" s="39">
        <v>40</v>
      </c>
      <c r="D56" s="39" t="s">
        <v>72</v>
      </c>
      <c r="E56" s="39">
        <v>3</v>
      </c>
      <c r="F56" s="39">
        <v>2</v>
      </c>
      <c r="G56" s="77"/>
      <c r="H56" s="39" t="s">
        <v>18</v>
      </c>
      <c r="I56" s="39"/>
      <c r="J56" s="110"/>
      <c r="K56" s="204"/>
      <c r="N56" s="204"/>
    </row>
    <row r="57" spans="1:14" x14ac:dyDescent="0.3">
      <c r="A57" s="109">
        <v>10</v>
      </c>
      <c r="B57" s="61" t="s">
        <v>14</v>
      </c>
      <c r="C57" s="39">
        <v>30</v>
      </c>
      <c r="D57" s="39" t="s">
        <v>72</v>
      </c>
      <c r="E57" s="39">
        <v>3</v>
      </c>
      <c r="F57" s="39">
        <v>2</v>
      </c>
      <c r="G57" s="77"/>
      <c r="H57" s="39" t="s">
        <v>18</v>
      </c>
      <c r="I57" s="39"/>
      <c r="J57" s="110"/>
      <c r="K57" s="204"/>
      <c r="N57" s="204"/>
    </row>
    <row r="58" spans="1:14" x14ac:dyDescent="0.3">
      <c r="A58" s="109">
        <v>1</v>
      </c>
      <c r="B58" s="61" t="s">
        <v>7</v>
      </c>
      <c r="C58" s="39">
        <v>50</v>
      </c>
      <c r="D58" s="39" t="s">
        <v>98</v>
      </c>
      <c r="E58" s="39">
        <v>1</v>
      </c>
      <c r="F58" s="39">
        <v>2</v>
      </c>
      <c r="G58" s="77"/>
      <c r="H58" s="39" t="s">
        <v>102</v>
      </c>
      <c r="I58" s="39"/>
      <c r="J58" s="110"/>
      <c r="K58" s="204"/>
      <c r="N58" s="204"/>
    </row>
    <row r="59" spans="1:14" x14ac:dyDescent="0.3">
      <c r="A59" s="109">
        <v>35</v>
      </c>
      <c r="B59" s="61" t="s">
        <v>14</v>
      </c>
      <c r="C59" s="39">
        <v>40</v>
      </c>
      <c r="D59" s="39" t="s">
        <v>98</v>
      </c>
      <c r="E59" s="39">
        <v>1</v>
      </c>
      <c r="F59" s="39">
        <v>2</v>
      </c>
      <c r="G59" s="77"/>
      <c r="H59" s="39" t="s">
        <v>71</v>
      </c>
      <c r="I59" s="39"/>
      <c r="J59" s="110" t="s">
        <v>153</v>
      </c>
      <c r="K59" s="204"/>
      <c r="N59" s="204"/>
    </row>
    <row r="60" spans="1:14" x14ac:dyDescent="0.3">
      <c r="A60" s="109">
        <v>1</v>
      </c>
      <c r="B60" s="61" t="s">
        <v>14</v>
      </c>
      <c r="C60" s="39">
        <v>70</v>
      </c>
      <c r="D60" s="39" t="s">
        <v>72</v>
      </c>
      <c r="E60" s="39">
        <v>3</v>
      </c>
      <c r="F60" s="39">
        <v>2</v>
      </c>
      <c r="G60" s="77"/>
      <c r="H60" s="39" t="s">
        <v>71</v>
      </c>
      <c r="I60" s="39"/>
      <c r="J60" s="110" t="s">
        <v>153</v>
      </c>
      <c r="K60" s="204"/>
      <c r="N60" s="204"/>
    </row>
    <row r="61" spans="1:14" x14ac:dyDescent="0.3">
      <c r="A61" s="109">
        <v>50</v>
      </c>
      <c r="B61" s="61" t="s">
        <v>14</v>
      </c>
      <c r="C61" s="39">
        <v>50</v>
      </c>
      <c r="D61" s="39" t="s">
        <v>72</v>
      </c>
      <c r="E61" s="39">
        <v>3</v>
      </c>
      <c r="F61" s="39">
        <v>2</v>
      </c>
      <c r="G61" s="77"/>
      <c r="H61" s="39" t="s">
        <v>71</v>
      </c>
      <c r="I61" s="126">
        <v>0.62638888888888888</v>
      </c>
      <c r="J61" s="110" t="s">
        <v>153</v>
      </c>
      <c r="K61" s="204"/>
      <c r="N61" s="204"/>
    </row>
    <row r="62" spans="1:14" x14ac:dyDescent="0.3">
      <c r="A62" s="109">
        <v>100</v>
      </c>
      <c r="B62" s="61" t="s">
        <v>14</v>
      </c>
      <c r="C62" s="39">
        <v>30</v>
      </c>
      <c r="D62" s="39" t="s">
        <v>72</v>
      </c>
      <c r="E62" s="39">
        <v>3</v>
      </c>
      <c r="F62" s="39">
        <v>2</v>
      </c>
      <c r="G62" s="77"/>
      <c r="H62" s="39" t="s">
        <v>71</v>
      </c>
      <c r="I62" s="39"/>
      <c r="J62" s="110" t="s">
        <v>153</v>
      </c>
      <c r="K62" s="204"/>
      <c r="N62" s="204"/>
    </row>
    <row r="63" spans="1:14" x14ac:dyDescent="0.3">
      <c r="A63" s="109">
        <v>50</v>
      </c>
      <c r="B63" s="61" t="s">
        <v>14</v>
      </c>
      <c r="C63" s="39">
        <v>40</v>
      </c>
      <c r="D63" s="39" t="s">
        <v>72</v>
      </c>
      <c r="E63" s="39">
        <v>3</v>
      </c>
      <c r="F63" s="39">
        <v>2</v>
      </c>
      <c r="G63" s="77"/>
      <c r="H63" s="39" t="s">
        <v>71</v>
      </c>
      <c r="I63" s="39"/>
      <c r="J63" s="110" t="s">
        <v>153</v>
      </c>
      <c r="K63" s="204"/>
      <c r="N63" s="204"/>
    </row>
    <row r="64" spans="1:14" x14ac:dyDescent="0.3">
      <c r="A64" s="109">
        <v>5</v>
      </c>
      <c r="B64" s="61" t="s">
        <v>14</v>
      </c>
      <c r="C64" s="39">
        <v>40</v>
      </c>
      <c r="D64" s="39" t="s">
        <v>72</v>
      </c>
      <c r="E64" s="39">
        <v>3</v>
      </c>
      <c r="F64" s="39">
        <v>3</v>
      </c>
      <c r="G64" s="77" t="s">
        <v>70</v>
      </c>
      <c r="H64" s="39" t="s">
        <v>71</v>
      </c>
      <c r="I64" s="39"/>
      <c r="J64" s="110" t="s">
        <v>153</v>
      </c>
      <c r="K64" s="204"/>
      <c r="N64" s="204"/>
    </row>
    <row r="65" spans="1:14" x14ac:dyDescent="0.3">
      <c r="A65" s="109">
        <v>3</v>
      </c>
      <c r="B65" s="61" t="s">
        <v>14</v>
      </c>
      <c r="C65" s="39">
        <v>30</v>
      </c>
      <c r="D65" s="39" t="s">
        <v>72</v>
      </c>
      <c r="E65" s="39">
        <v>3</v>
      </c>
      <c r="F65" s="39">
        <v>3</v>
      </c>
      <c r="G65" s="77" t="s">
        <v>70</v>
      </c>
      <c r="H65" s="39" t="s">
        <v>71</v>
      </c>
      <c r="I65" s="39"/>
      <c r="J65" s="110"/>
      <c r="K65" s="204"/>
      <c r="N65" s="204"/>
    </row>
    <row r="66" spans="1:14" x14ac:dyDescent="0.3">
      <c r="A66" s="109">
        <v>20</v>
      </c>
      <c r="B66" s="61" t="s">
        <v>14</v>
      </c>
      <c r="C66" s="39">
        <v>30</v>
      </c>
      <c r="D66" s="39" t="s">
        <v>99</v>
      </c>
      <c r="E66" s="39">
        <v>2</v>
      </c>
      <c r="F66" s="39">
        <v>3</v>
      </c>
      <c r="G66" s="77" t="s">
        <v>70</v>
      </c>
      <c r="H66" s="39" t="s">
        <v>81</v>
      </c>
      <c r="I66" s="39"/>
      <c r="J66" s="110"/>
      <c r="K66" s="204"/>
      <c r="N66" s="204"/>
    </row>
    <row r="67" spans="1:14" x14ac:dyDescent="0.3">
      <c r="A67" s="109">
        <v>2</v>
      </c>
      <c r="B67" s="61" t="s">
        <v>14</v>
      </c>
      <c r="C67" s="39">
        <v>40</v>
      </c>
      <c r="D67" s="39" t="s">
        <v>72</v>
      </c>
      <c r="E67" s="39">
        <v>3</v>
      </c>
      <c r="F67" s="39">
        <v>3</v>
      </c>
      <c r="G67" s="77" t="s">
        <v>70</v>
      </c>
      <c r="H67" s="39" t="s">
        <v>71</v>
      </c>
      <c r="I67" s="39"/>
      <c r="J67" s="110"/>
      <c r="K67" s="204"/>
      <c r="N67" s="204"/>
    </row>
    <row r="68" spans="1:14" x14ac:dyDescent="0.3">
      <c r="A68" s="109">
        <v>5</v>
      </c>
      <c r="B68" s="61" t="s">
        <v>14</v>
      </c>
      <c r="C68" s="39">
        <v>40</v>
      </c>
      <c r="D68" s="39" t="s">
        <v>99</v>
      </c>
      <c r="E68" s="39">
        <v>2</v>
      </c>
      <c r="F68" s="39">
        <v>3</v>
      </c>
      <c r="G68" s="77" t="s">
        <v>70</v>
      </c>
      <c r="H68" s="39" t="s">
        <v>81</v>
      </c>
      <c r="I68" s="39"/>
      <c r="J68" s="110"/>
      <c r="K68" s="204"/>
      <c r="N68" s="204"/>
    </row>
    <row r="69" spans="1:14" x14ac:dyDescent="0.3">
      <c r="A69" s="109">
        <v>35</v>
      </c>
      <c r="B69" s="61" t="s">
        <v>14</v>
      </c>
      <c r="C69" s="39">
        <v>40</v>
      </c>
      <c r="D69" s="39" t="s">
        <v>98</v>
      </c>
      <c r="E69" s="39">
        <v>1</v>
      </c>
      <c r="F69" s="39">
        <v>3</v>
      </c>
      <c r="G69" s="77" t="s">
        <v>70</v>
      </c>
      <c r="H69" s="39" t="s">
        <v>71</v>
      </c>
      <c r="I69" s="39"/>
      <c r="J69" s="110"/>
      <c r="K69" s="204"/>
      <c r="N69" s="204"/>
    </row>
    <row r="70" spans="1:14" x14ac:dyDescent="0.3">
      <c r="A70" s="109">
        <v>3</v>
      </c>
      <c r="B70" s="61" t="s">
        <v>14</v>
      </c>
      <c r="C70" s="39">
        <v>30</v>
      </c>
      <c r="D70" s="39" t="s">
        <v>99</v>
      </c>
      <c r="E70" s="39">
        <v>2</v>
      </c>
      <c r="F70" s="39">
        <v>3</v>
      </c>
      <c r="G70" s="77" t="s">
        <v>70</v>
      </c>
      <c r="H70" s="39" t="s">
        <v>71</v>
      </c>
      <c r="I70" s="39"/>
      <c r="J70" s="110"/>
      <c r="K70" s="204"/>
      <c r="N70" s="204"/>
    </row>
    <row r="71" spans="1:14" x14ac:dyDescent="0.3">
      <c r="A71" s="109">
        <v>1</v>
      </c>
      <c r="B71" s="61" t="s">
        <v>14</v>
      </c>
      <c r="C71" s="39">
        <v>30</v>
      </c>
      <c r="D71" s="39" t="s">
        <v>99</v>
      </c>
      <c r="E71" s="39">
        <v>2</v>
      </c>
      <c r="F71" s="39">
        <v>3</v>
      </c>
      <c r="G71" s="77" t="s">
        <v>70</v>
      </c>
      <c r="H71" s="39" t="s">
        <v>81</v>
      </c>
      <c r="I71" s="39"/>
      <c r="J71" s="110"/>
      <c r="K71" s="204"/>
      <c r="N71" s="204"/>
    </row>
    <row r="72" spans="1:14" x14ac:dyDescent="0.3">
      <c r="A72" s="109">
        <v>1</v>
      </c>
      <c r="B72" s="61" t="s">
        <v>14</v>
      </c>
      <c r="C72" s="39">
        <v>30</v>
      </c>
      <c r="D72" s="39" t="s">
        <v>72</v>
      </c>
      <c r="E72" s="39">
        <v>3</v>
      </c>
      <c r="F72" s="39">
        <v>3</v>
      </c>
      <c r="G72" s="77" t="s">
        <v>70</v>
      </c>
      <c r="H72" s="39" t="s">
        <v>71</v>
      </c>
      <c r="I72" s="39"/>
      <c r="J72" s="110"/>
      <c r="K72" s="204"/>
      <c r="N72" s="204"/>
    </row>
    <row r="73" spans="1:14" x14ac:dyDescent="0.3">
      <c r="A73" s="109">
        <v>1</v>
      </c>
      <c r="B73" s="61" t="s">
        <v>14</v>
      </c>
      <c r="C73" s="39">
        <v>40</v>
      </c>
      <c r="D73" s="39" t="s">
        <v>99</v>
      </c>
      <c r="E73" s="39">
        <v>2</v>
      </c>
      <c r="F73" s="39">
        <v>3</v>
      </c>
      <c r="G73" s="77" t="s">
        <v>70</v>
      </c>
      <c r="H73" s="39" t="s">
        <v>81</v>
      </c>
      <c r="I73" s="39"/>
      <c r="J73" s="110"/>
      <c r="K73" s="204"/>
      <c r="N73" s="204"/>
    </row>
    <row r="74" spans="1:14" x14ac:dyDescent="0.3">
      <c r="A74" s="109">
        <v>6</v>
      </c>
      <c r="B74" s="61" t="s">
        <v>14</v>
      </c>
      <c r="C74" s="39">
        <v>40</v>
      </c>
      <c r="D74" s="39" t="s">
        <v>98</v>
      </c>
      <c r="E74" s="39">
        <v>1</v>
      </c>
      <c r="F74" s="39">
        <v>3</v>
      </c>
      <c r="G74" s="77" t="s">
        <v>70</v>
      </c>
      <c r="H74" s="39" t="s">
        <v>71</v>
      </c>
      <c r="I74" s="39"/>
      <c r="J74" s="110"/>
      <c r="K74" s="204"/>
      <c r="N74" s="204"/>
    </row>
    <row r="75" spans="1:14" x14ac:dyDescent="0.3">
      <c r="A75" s="109">
        <v>10</v>
      </c>
      <c r="B75" s="61" t="s">
        <v>14</v>
      </c>
      <c r="C75" s="39">
        <v>30</v>
      </c>
      <c r="D75" s="39" t="s">
        <v>99</v>
      </c>
      <c r="E75" s="39">
        <v>2</v>
      </c>
      <c r="F75" s="39">
        <v>4</v>
      </c>
      <c r="G75" s="77" t="s">
        <v>151</v>
      </c>
      <c r="H75" s="39" t="s">
        <v>71</v>
      </c>
      <c r="I75" s="39"/>
      <c r="J75" s="110"/>
      <c r="K75" s="204"/>
      <c r="N75" s="204"/>
    </row>
    <row r="76" spans="1:14" x14ac:dyDescent="0.3">
      <c r="A76" s="109">
        <v>0</v>
      </c>
      <c r="B76" s="61"/>
      <c r="C76" s="39"/>
      <c r="D76" s="39" t="s">
        <v>98</v>
      </c>
      <c r="E76" s="39">
        <v>1</v>
      </c>
      <c r="F76" s="39">
        <v>5</v>
      </c>
      <c r="G76" s="77"/>
      <c r="H76" s="39"/>
      <c r="I76" s="39"/>
      <c r="J76" s="110"/>
      <c r="K76" s="204"/>
      <c r="N76" s="204"/>
    </row>
    <row r="77" spans="1:14" x14ac:dyDescent="0.3">
      <c r="A77" s="109">
        <v>10</v>
      </c>
      <c r="B77" s="61" t="s">
        <v>14</v>
      </c>
      <c r="C77" s="39">
        <v>30</v>
      </c>
      <c r="D77" s="39" t="s">
        <v>99</v>
      </c>
      <c r="E77" s="39">
        <v>2</v>
      </c>
      <c r="F77" s="39">
        <v>4</v>
      </c>
      <c r="G77" s="77" t="s">
        <v>151</v>
      </c>
      <c r="H77" s="39" t="s">
        <v>71</v>
      </c>
      <c r="I77" s="39"/>
      <c r="J77" s="110"/>
      <c r="K77" s="204"/>
      <c r="N77" s="204"/>
    </row>
    <row r="78" spans="1:14" x14ac:dyDescent="0.3">
      <c r="A78" s="109">
        <v>50</v>
      </c>
      <c r="B78" s="61" t="s">
        <v>14</v>
      </c>
      <c r="C78" s="39">
        <v>30</v>
      </c>
      <c r="D78" s="39" t="s">
        <v>72</v>
      </c>
      <c r="E78" s="39">
        <v>3</v>
      </c>
      <c r="F78" s="39">
        <v>4</v>
      </c>
      <c r="G78" s="77" t="s">
        <v>151</v>
      </c>
      <c r="H78" s="39" t="s">
        <v>71</v>
      </c>
      <c r="I78" s="39"/>
      <c r="J78" s="110"/>
      <c r="K78" s="204"/>
      <c r="N78" s="204"/>
    </row>
    <row r="79" spans="1:14" x14ac:dyDescent="0.3">
      <c r="A79" s="109">
        <v>20</v>
      </c>
      <c r="B79" s="61" t="s">
        <v>14</v>
      </c>
      <c r="C79" s="39">
        <v>50</v>
      </c>
      <c r="D79" s="39" t="s">
        <v>72</v>
      </c>
      <c r="E79" s="39">
        <v>3</v>
      </c>
      <c r="F79" s="39">
        <v>4</v>
      </c>
      <c r="G79" s="77" t="s">
        <v>151</v>
      </c>
      <c r="H79" s="39" t="s">
        <v>71</v>
      </c>
      <c r="I79" s="39"/>
      <c r="J79" s="110"/>
      <c r="K79" s="204"/>
      <c r="N79" s="204"/>
    </row>
    <row r="80" spans="1:14" x14ac:dyDescent="0.3">
      <c r="A80" s="109">
        <v>10</v>
      </c>
      <c r="B80" s="61" t="s">
        <v>14</v>
      </c>
      <c r="C80" s="39">
        <v>50</v>
      </c>
      <c r="D80" s="39" t="s">
        <v>99</v>
      </c>
      <c r="E80" s="39">
        <v>2</v>
      </c>
      <c r="F80" s="39">
        <v>4</v>
      </c>
      <c r="G80" s="77" t="s">
        <v>151</v>
      </c>
      <c r="H80" s="39" t="s">
        <v>71</v>
      </c>
      <c r="I80" s="39"/>
      <c r="J80" s="110"/>
      <c r="K80" s="204"/>
      <c r="N80" s="204"/>
    </row>
    <row r="81" spans="1:14" x14ac:dyDescent="0.3">
      <c r="A81" s="109">
        <v>30</v>
      </c>
      <c r="B81" s="61" t="s">
        <v>14</v>
      </c>
      <c r="C81" s="39">
        <v>30</v>
      </c>
      <c r="D81" s="39" t="s">
        <v>72</v>
      </c>
      <c r="E81" s="39">
        <v>3</v>
      </c>
      <c r="F81" s="39">
        <v>4</v>
      </c>
      <c r="G81" s="77" t="s">
        <v>151</v>
      </c>
      <c r="H81" s="39" t="s">
        <v>71</v>
      </c>
      <c r="I81" s="39"/>
      <c r="J81" s="110"/>
      <c r="K81" s="204"/>
      <c r="N81" s="204"/>
    </row>
    <row r="82" spans="1:14" x14ac:dyDescent="0.3">
      <c r="A82" s="109">
        <v>20</v>
      </c>
      <c r="B82" s="61" t="s">
        <v>14</v>
      </c>
      <c r="C82" s="39">
        <v>50</v>
      </c>
      <c r="D82" s="39" t="s">
        <v>72</v>
      </c>
      <c r="E82" s="39">
        <v>3</v>
      </c>
      <c r="F82" s="39">
        <v>4</v>
      </c>
      <c r="G82" s="77" t="s">
        <v>151</v>
      </c>
      <c r="H82" s="39" t="s">
        <v>71</v>
      </c>
      <c r="I82" s="39"/>
      <c r="J82" s="110"/>
      <c r="K82" s="204"/>
      <c r="N82" s="204"/>
    </row>
    <row r="83" spans="1:14" x14ac:dyDescent="0.3">
      <c r="A83" s="109">
        <v>1</v>
      </c>
      <c r="B83" s="61" t="s">
        <v>14</v>
      </c>
      <c r="C83" s="39">
        <v>30</v>
      </c>
      <c r="D83" s="39" t="s">
        <v>72</v>
      </c>
      <c r="E83" s="39">
        <v>3</v>
      </c>
      <c r="F83" s="39">
        <v>4</v>
      </c>
      <c r="G83" s="77" t="s">
        <v>151</v>
      </c>
      <c r="H83" s="39" t="s">
        <v>71</v>
      </c>
      <c r="I83" s="39"/>
      <c r="J83" s="110"/>
      <c r="K83" s="204"/>
      <c r="N83" s="204"/>
    </row>
    <row r="84" spans="1:14" x14ac:dyDescent="0.3">
      <c r="A84" s="109">
        <v>10</v>
      </c>
      <c r="B84" s="61" t="s">
        <v>14</v>
      </c>
      <c r="C84" s="39">
        <v>40</v>
      </c>
      <c r="D84" s="39" t="s">
        <v>99</v>
      </c>
      <c r="E84" s="39">
        <v>2</v>
      </c>
      <c r="F84" s="39">
        <v>4</v>
      </c>
      <c r="G84" s="77" t="s">
        <v>151</v>
      </c>
      <c r="H84" s="39" t="s">
        <v>71</v>
      </c>
      <c r="I84" s="39"/>
      <c r="J84" s="110" t="s">
        <v>152</v>
      </c>
      <c r="K84" s="204"/>
      <c r="N84" s="204"/>
    </row>
    <row r="85" spans="1:14" ht="15" thickBot="1" x14ac:dyDescent="0.35">
      <c r="A85" s="124">
        <v>3</v>
      </c>
      <c r="B85" s="71" t="s">
        <v>14</v>
      </c>
      <c r="C85" s="78">
        <v>50</v>
      </c>
      <c r="D85" s="78" t="s">
        <v>99</v>
      </c>
      <c r="E85" s="78">
        <v>2</v>
      </c>
      <c r="F85" s="78">
        <v>4</v>
      </c>
      <c r="G85" s="114" t="s">
        <v>151</v>
      </c>
      <c r="H85" s="78" t="s">
        <v>71</v>
      </c>
      <c r="I85" s="78"/>
      <c r="J85" s="125"/>
      <c r="K85" s="204"/>
      <c r="N85" s="204"/>
    </row>
    <row r="86" spans="1:14" x14ac:dyDescent="0.3">
      <c r="A86" s="134">
        <v>25</v>
      </c>
      <c r="B86" s="137" t="s">
        <v>14</v>
      </c>
      <c r="C86" s="135">
        <v>40</v>
      </c>
      <c r="D86" s="135" t="s">
        <v>99</v>
      </c>
      <c r="E86" s="135">
        <v>2</v>
      </c>
      <c r="F86" s="135">
        <v>4</v>
      </c>
      <c r="G86" s="186" t="s">
        <v>151</v>
      </c>
      <c r="H86" s="135" t="s">
        <v>101</v>
      </c>
      <c r="I86" s="135"/>
      <c r="J86" s="136"/>
      <c r="K86" s="204"/>
      <c r="N86" s="204"/>
    </row>
    <row r="87" spans="1:14" x14ac:dyDescent="0.3">
      <c r="A87" s="109">
        <v>50</v>
      </c>
      <c r="B87" s="61" t="s">
        <v>14</v>
      </c>
      <c r="C87" s="39">
        <v>40</v>
      </c>
      <c r="D87" s="39" t="s">
        <v>99</v>
      </c>
      <c r="E87" s="39">
        <v>2</v>
      </c>
      <c r="F87" s="39">
        <v>4</v>
      </c>
      <c r="G87" s="77" t="s">
        <v>151</v>
      </c>
      <c r="H87" s="39" t="s">
        <v>81</v>
      </c>
      <c r="I87" s="39"/>
      <c r="J87" s="110"/>
      <c r="K87" s="204"/>
      <c r="N87" s="204"/>
    </row>
    <row r="88" spans="1:14" x14ac:dyDescent="0.3">
      <c r="A88" s="109">
        <v>100</v>
      </c>
      <c r="B88" s="61" t="s">
        <v>14</v>
      </c>
      <c r="C88" s="39">
        <v>30</v>
      </c>
      <c r="D88" s="39" t="s">
        <v>72</v>
      </c>
      <c r="E88" s="39">
        <v>1</v>
      </c>
      <c r="F88" s="39">
        <v>4</v>
      </c>
      <c r="G88" s="77" t="s">
        <v>151</v>
      </c>
      <c r="H88" s="39"/>
      <c r="I88" s="39"/>
      <c r="J88" s="110"/>
      <c r="K88" s="204"/>
      <c r="N88" s="204"/>
    </row>
    <row r="89" spans="1:14" x14ac:dyDescent="0.3">
      <c r="A89" s="109">
        <v>50</v>
      </c>
      <c r="B89" s="61" t="s">
        <v>14</v>
      </c>
      <c r="C89" s="39">
        <v>30</v>
      </c>
      <c r="D89" s="39" t="s">
        <v>72</v>
      </c>
      <c r="E89" s="39">
        <v>1</v>
      </c>
      <c r="F89" s="39">
        <v>4</v>
      </c>
      <c r="G89" s="77" t="s">
        <v>151</v>
      </c>
      <c r="H89" s="39"/>
      <c r="I89" s="39"/>
      <c r="J89" s="110"/>
      <c r="K89" s="205"/>
      <c r="N89" s="205"/>
    </row>
    <row r="90" spans="1:14" x14ac:dyDescent="0.3">
      <c r="A90" s="109">
        <v>20</v>
      </c>
      <c r="B90" s="61" t="s">
        <v>14</v>
      </c>
      <c r="C90" s="39">
        <v>30</v>
      </c>
      <c r="D90" s="39" t="s">
        <v>72</v>
      </c>
      <c r="E90" s="39">
        <v>1</v>
      </c>
      <c r="F90" s="39">
        <v>4</v>
      </c>
      <c r="G90" s="77" t="s">
        <v>151</v>
      </c>
      <c r="H90" s="39" t="s">
        <v>102</v>
      </c>
      <c r="I90" s="39"/>
      <c r="J90" s="110"/>
    </row>
    <row r="91" spans="1:14" x14ac:dyDescent="0.3">
      <c r="A91" s="109">
        <v>7</v>
      </c>
      <c r="B91" s="61" t="s">
        <v>14</v>
      </c>
      <c r="C91" s="39">
        <v>40</v>
      </c>
      <c r="D91" s="39" t="s">
        <v>99</v>
      </c>
      <c r="E91" s="39">
        <v>2</v>
      </c>
      <c r="F91" s="39">
        <v>4</v>
      </c>
      <c r="G91" s="77" t="s">
        <v>151</v>
      </c>
      <c r="H91" s="39" t="s">
        <v>71</v>
      </c>
      <c r="I91" s="39"/>
      <c r="J91" s="110"/>
    </row>
    <row r="92" spans="1:14" x14ac:dyDescent="0.3">
      <c r="A92" s="109">
        <v>30</v>
      </c>
      <c r="B92" s="61" t="s">
        <v>14</v>
      </c>
      <c r="C92" s="39">
        <v>40</v>
      </c>
      <c r="D92" s="39" t="s">
        <v>98</v>
      </c>
      <c r="E92" s="39">
        <v>3</v>
      </c>
      <c r="F92" s="39">
        <v>4</v>
      </c>
      <c r="G92" s="77" t="s">
        <v>151</v>
      </c>
      <c r="H92" s="39" t="s">
        <v>101</v>
      </c>
      <c r="I92" s="39"/>
      <c r="J92" s="110"/>
    </row>
    <row r="93" spans="1:14" x14ac:dyDescent="0.3">
      <c r="A93" s="109">
        <v>40</v>
      </c>
      <c r="B93" s="61" t="s">
        <v>14</v>
      </c>
      <c r="C93" s="39">
        <v>30</v>
      </c>
      <c r="D93" s="39" t="s">
        <v>72</v>
      </c>
      <c r="E93" s="39">
        <v>1</v>
      </c>
      <c r="F93" s="39">
        <v>4</v>
      </c>
      <c r="G93" s="77" t="s">
        <v>151</v>
      </c>
      <c r="H93" s="39" t="s">
        <v>71</v>
      </c>
      <c r="I93" s="39"/>
      <c r="J93" s="110"/>
    </row>
    <row r="94" spans="1:14" x14ac:dyDescent="0.3">
      <c r="A94" s="109">
        <v>50</v>
      </c>
      <c r="B94" s="61" t="s">
        <v>14</v>
      </c>
      <c r="C94" s="39">
        <v>40</v>
      </c>
      <c r="D94" s="39" t="s">
        <v>72</v>
      </c>
      <c r="E94" s="39">
        <v>1</v>
      </c>
      <c r="F94" s="39">
        <v>4</v>
      </c>
      <c r="G94" s="77" t="s">
        <v>151</v>
      </c>
      <c r="H94" s="39" t="s">
        <v>71</v>
      </c>
      <c r="I94" s="39"/>
      <c r="J94" s="110"/>
    </row>
    <row r="95" spans="1:14" x14ac:dyDescent="0.3">
      <c r="A95" s="109">
        <v>20</v>
      </c>
      <c r="B95" s="61" t="s">
        <v>14</v>
      </c>
      <c r="C95" s="39">
        <v>50</v>
      </c>
      <c r="D95" s="39" t="s">
        <v>72</v>
      </c>
      <c r="E95" s="39">
        <v>1</v>
      </c>
      <c r="F95" s="39">
        <v>4</v>
      </c>
      <c r="G95" s="77" t="s">
        <v>151</v>
      </c>
      <c r="H95" s="39" t="s">
        <v>71</v>
      </c>
      <c r="I95" s="39"/>
      <c r="J95" s="110"/>
    </row>
    <row r="96" spans="1:14" x14ac:dyDescent="0.3">
      <c r="A96" s="109">
        <v>30</v>
      </c>
      <c r="B96" s="61" t="s">
        <v>14</v>
      </c>
      <c r="C96" s="39">
        <v>40</v>
      </c>
      <c r="D96" s="39" t="s">
        <v>99</v>
      </c>
      <c r="E96" s="39">
        <v>2</v>
      </c>
      <c r="F96" s="39">
        <v>4</v>
      </c>
      <c r="G96" s="77" t="s">
        <v>151</v>
      </c>
      <c r="H96" s="39" t="s">
        <v>71</v>
      </c>
      <c r="I96" s="39"/>
      <c r="J96" s="110"/>
    </row>
    <row r="97" spans="1:10" x14ac:dyDescent="0.3">
      <c r="A97" s="109">
        <v>60</v>
      </c>
      <c r="B97" s="61" t="s">
        <v>14</v>
      </c>
      <c r="C97" s="39">
        <v>30</v>
      </c>
      <c r="D97" s="39" t="s">
        <v>72</v>
      </c>
      <c r="E97" s="39">
        <v>1</v>
      </c>
      <c r="F97" s="39">
        <v>4</v>
      </c>
      <c r="G97" s="77" t="s">
        <v>151</v>
      </c>
      <c r="H97" s="39" t="s">
        <v>71</v>
      </c>
      <c r="I97" s="39"/>
      <c r="J97" s="110"/>
    </row>
    <row r="98" spans="1:10" x14ac:dyDescent="0.3">
      <c r="A98" s="109">
        <v>20</v>
      </c>
      <c r="B98" s="61" t="s">
        <v>14</v>
      </c>
      <c r="C98" s="39">
        <v>50</v>
      </c>
      <c r="D98" s="39" t="s">
        <v>72</v>
      </c>
      <c r="E98" s="39">
        <v>1</v>
      </c>
      <c r="F98" s="39">
        <v>4</v>
      </c>
      <c r="G98" s="77" t="s">
        <v>151</v>
      </c>
      <c r="H98" s="39" t="s">
        <v>71</v>
      </c>
      <c r="I98" s="39"/>
      <c r="J98" s="110"/>
    </row>
    <row r="99" spans="1:10" x14ac:dyDescent="0.3">
      <c r="A99" s="109">
        <v>10</v>
      </c>
      <c r="B99" s="61" t="s">
        <v>14</v>
      </c>
      <c r="C99" s="39">
        <v>30</v>
      </c>
      <c r="D99" s="39" t="s">
        <v>72</v>
      </c>
      <c r="E99" s="39">
        <v>1</v>
      </c>
      <c r="F99" s="39">
        <v>4</v>
      </c>
      <c r="G99" s="77" t="s">
        <v>151</v>
      </c>
      <c r="H99" s="39" t="s">
        <v>102</v>
      </c>
      <c r="I99" s="39"/>
      <c r="J99" s="110"/>
    </row>
    <row r="100" spans="1:10" x14ac:dyDescent="0.3">
      <c r="A100" s="109">
        <v>20</v>
      </c>
      <c r="B100" s="61" t="s">
        <v>14</v>
      </c>
      <c r="C100" s="39">
        <v>30</v>
      </c>
      <c r="D100" s="39" t="s">
        <v>72</v>
      </c>
      <c r="E100" s="39">
        <v>1</v>
      </c>
      <c r="F100" s="39">
        <v>4</v>
      </c>
      <c r="G100" s="77" t="s">
        <v>151</v>
      </c>
      <c r="H100" s="39" t="s">
        <v>71</v>
      </c>
      <c r="I100" s="39"/>
      <c r="J100" s="110"/>
    </row>
    <row r="101" spans="1:10" x14ac:dyDescent="0.3">
      <c r="A101" s="109">
        <v>3</v>
      </c>
      <c r="B101" s="61" t="s">
        <v>83</v>
      </c>
      <c r="C101" s="39">
        <v>40</v>
      </c>
      <c r="D101" s="39" t="s">
        <v>72</v>
      </c>
      <c r="E101" s="39">
        <v>1</v>
      </c>
      <c r="F101" s="39">
        <v>4</v>
      </c>
      <c r="G101" s="77" t="s">
        <v>151</v>
      </c>
      <c r="H101" s="39" t="s">
        <v>71</v>
      </c>
      <c r="I101" s="39"/>
      <c r="J101" s="110"/>
    </row>
    <row r="102" spans="1:10" x14ac:dyDescent="0.3">
      <c r="A102" s="109">
        <v>20</v>
      </c>
      <c r="B102" s="61" t="s">
        <v>14</v>
      </c>
      <c r="C102" s="39">
        <v>40</v>
      </c>
      <c r="D102" s="39" t="s">
        <v>99</v>
      </c>
      <c r="E102" s="39">
        <v>2</v>
      </c>
      <c r="F102" s="39">
        <v>4</v>
      </c>
      <c r="G102" s="77" t="s">
        <v>151</v>
      </c>
      <c r="H102" s="39" t="s">
        <v>71</v>
      </c>
      <c r="I102" s="39"/>
      <c r="J102" s="110"/>
    </row>
    <row r="103" spans="1:10" x14ac:dyDescent="0.3">
      <c r="A103" s="109">
        <v>40</v>
      </c>
      <c r="B103" s="61" t="s">
        <v>14</v>
      </c>
      <c r="C103" s="39">
        <v>40</v>
      </c>
      <c r="D103" s="39" t="s">
        <v>98</v>
      </c>
      <c r="E103" s="39">
        <v>3</v>
      </c>
      <c r="F103" s="39">
        <v>4</v>
      </c>
      <c r="G103" s="77" t="s">
        <v>151</v>
      </c>
      <c r="H103" s="39" t="s">
        <v>101</v>
      </c>
      <c r="I103" s="39"/>
      <c r="J103" s="110"/>
    </row>
    <row r="104" spans="1:10" x14ac:dyDescent="0.3">
      <c r="A104" s="109">
        <v>20</v>
      </c>
      <c r="B104" s="61" t="s">
        <v>14</v>
      </c>
      <c r="C104" s="39">
        <v>40</v>
      </c>
      <c r="D104" s="39" t="s">
        <v>99</v>
      </c>
      <c r="E104" s="39">
        <v>2</v>
      </c>
      <c r="F104" s="39">
        <v>4</v>
      </c>
      <c r="G104" s="77" t="s">
        <v>151</v>
      </c>
      <c r="H104" s="39" t="s">
        <v>71</v>
      </c>
      <c r="I104" s="39"/>
      <c r="J104" s="110"/>
    </row>
    <row r="105" spans="1:10" x14ac:dyDescent="0.3">
      <c r="A105" s="109">
        <v>30</v>
      </c>
      <c r="B105" s="61" t="s">
        <v>14</v>
      </c>
      <c r="C105" s="39">
        <v>40</v>
      </c>
      <c r="D105" s="39" t="s">
        <v>98</v>
      </c>
      <c r="E105" s="39">
        <v>2</v>
      </c>
      <c r="F105" s="39">
        <v>4</v>
      </c>
      <c r="G105" s="77" t="s">
        <v>151</v>
      </c>
      <c r="H105" s="39" t="s">
        <v>71</v>
      </c>
      <c r="I105" s="39"/>
      <c r="J105" s="110"/>
    </row>
    <row r="106" spans="1:10" x14ac:dyDescent="0.3">
      <c r="A106" s="109">
        <v>30</v>
      </c>
      <c r="B106" s="61" t="s">
        <v>14</v>
      </c>
      <c r="C106" s="39">
        <v>30</v>
      </c>
      <c r="D106" s="39" t="s">
        <v>72</v>
      </c>
      <c r="E106" s="39">
        <v>1</v>
      </c>
      <c r="F106" s="39">
        <v>4</v>
      </c>
      <c r="G106" s="77" t="s">
        <v>151</v>
      </c>
      <c r="H106" s="39" t="s">
        <v>71</v>
      </c>
      <c r="I106" s="39"/>
      <c r="J106" s="110"/>
    </row>
    <row r="107" spans="1:10" x14ac:dyDescent="0.3">
      <c r="A107" s="109">
        <v>5</v>
      </c>
      <c r="B107" s="61" t="s">
        <v>14</v>
      </c>
      <c r="C107" s="39">
        <v>50</v>
      </c>
      <c r="D107" s="39" t="s">
        <v>72</v>
      </c>
      <c r="E107" s="39">
        <v>1</v>
      </c>
      <c r="F107" s="39">
        <v>4</v>
      </c>
      <c r="G107" s="77" t="s">
        <v>151</v>
      </c>
      <c r="H107" s="39" t="s">
        <v>71</v>
      </c>
      <c r="I107" s="39"/>
      <c r="J107" s="110"/>
    </row>
    <row r="108" spans="1:10" x14ac:dyDescent="0.3">
      <c r="A108" s="109">
        <v>30</v>
      </c>
      <c r="B108" s="61" t="s">
        <v>14</v>
      </c>
      <c r="C108" s="39">
        <v>40</v>
      </c>
      <c r="D108" s="39" t="s">
        <v>98</v>
      </c>
      <c r="E108" s="39">
        <v>2</v>
      </c>
      <c r="F108" s="39">
        <v>4</v>
      </c>
      <c r="G108" s="77" t="s">
        <v>151</v>
      </c>
      <c r="H108" s="39" t="s">
        <v>71</v>
      </c>
      <c r="I108" s="39"/>
      <c r="J108" s="110"/>
    </row>
    <row r="109" spans="1:10" x14ac:dyDescent="0.3">
      <c r="A109" s="109">
        <v>50</v>
      </c>
      <c r="B109" s="61" t="s">
        <v>14</v>
      </c>
      <c r="C109" s="39">
        <v>50</v>
      </c>
      <c r="D109" s="39" t="s">
        <v>99</v>
      </c>
      <c r="E109" s="39">
        <v>2</v>
      </c>
      <c r="F109" s="39">
        <v>4</v>
      </c>
      <c r="G109" s="77" t="s">
        <v>151</v>
      </c>
      <c r="H109" s="39" t="s">
        <v>71</v>
      </c>
      <c r="I109" s="39"/>
      <c r="J109" s="110"/>
    </row>
    <row r="110" spans="1:10" x14ac:dyDescent="0.3">
      <c r="A110" s="109">
        <v>1</v>
      </c>
      <c r="B110" s="61" t="s">
        <v>7</v>
      </c>
      <c r="C110" s="39" t="s">
        <v>154</v>
      </c>
      <c r="D110" s="39" t="s">
        <v>99</v>
      </c>
      <c r="E110" s="39">
        <v>2</v>
      </c>
      <c r="F110" s="39">
        <v>4</v>
      </c>
      <c r="G110" s="77" t="s">
        <v>151</v>
      </c>
      <c r="H110" s="39" t="s">
        <v>71</v>
      </c>
      <c r="I110" s="39"/>
      <c r="J110" s="110"/>
    </row>
    <row r="111" spans="1:10" x14ac:dyDescent="0.3">
      <c r="A111" s="109">
        <v>32</v>
      </c>
      <c r="B111" s="61" t="s">
        <v>14</v>
      </c>
      <c r="C111" s="39">
        <v>40</v>
      </c>
      <c r="D111" s="39" t="s">
        <v>98</v>
      </c>
      <c r="E111" s="39">
        <v>2</v>
      </c>
      <c r="F111" s="39">
        <v>4</v>
      </c>
      <c r="G111" s="77" t="s">
        <v>151</v>
      </c>
      <c r="H111" s="39" t="s">
        <v>102</v>
      </c>
      <c r="I111" s="39"/>
      <c r="J111" s="110" t="s">
        <v>155</v>
      </c>
    </row>
    <row r="112" spans="1:10" x14ac:dyDescent="0.3">
      <c r="A112" s="109">
        <v>25</v>
      </c>
      <c r="B112" s="61" t="s">
        <v>14</v>
      </c>
      <c r="C112" s="39">
        <v>30</v>
      </c>
      <c r="D112" s="39" t="s">
        <v>72</v>
      </c>
      <c r="E112" s="39">
        <v>1</v>
      </c>
      <c r="F112" s="39">
        <v>4</v>
      </c>
      <c r="G112" s="77" t="s">
        <v>151</v>
      </c>
      <c r="H112" s="39" t="s">
        <v>71</v>
      </c>
      <c r="I112" s="39"/>
      <c r="J112" s="110"/>
    </row>
    <row r="113" spans="1:10" x14ac:dyDescent="0.3">
      <c r="A113" s="109">
        <v>15</v>
      </c>
      <c r="B113" s="61" t="s">
        <v>14</v>
      </c>
      <c r="C113" s="39">
        <v>40</v>
      </c>
      <c r="D113" s="39" t="s">
        <v>98</v>
      </c>
      <c r="E113" s="39">
        <v>1</v>
      </c>
      <c r="F113" s="39">
        <v>4</v>
      </c>
      <c r="G113" s="77" t="s">
        <v>151</v>
      </c>
      <c r="H113" s="39" t="s">
        <v>71</v>
      </c>
      <c r="I113" s="39"/>
      <c r="J113" s="110"/>
    </row>
    <row r="114" spans="1:10" x14ac:dyDescent="0.3">
      <c r="A114" s="109">
        <v>1</v>
      </c>
      <c r="B114" s="61" t="s">
        <v>7</v>
      </c>
      <c r="C114" s="39">
        <v>50</v>
      </c>
      <c r="D114" s="39" t="s">
        <v>98</v>
      </c>
      <c r="E114" s="39">
        <v>1</v>
      </c>
      <c r="F114" s="39">
        <v>4</v>
      </c>
      <c r="G114" s="77" t="s">
        <v>151</v>
      </c>
      <c r="H114" s="39" t="s">
        <v>71</v>
      </c>
      <c r="I114" s="39"/>
      <c r="J114" s="110"/>
    </row>
    <row r="115" spans="1:10" x14ac:dyDescent="0.3">
      <c r="A115" s="109">
        <v>21</v>
      </c>
      <c r="B115" s="61" t="s">
        <v>14</v>
      </c>
      <c r="C115" s="39">
        <v>30</v>
      </c>
      <c r="D115" s="39" t="s">
        <v>72</v>
      </c>
      <c r="E115" s="39">
        <v>2</v>
      </c>
      <c r="F115" s="39">
        <v>4</v>
      </c>
      <c r="G115" s="77" t="s">
        <v>151</v>
      </c>
      <c r="H115" s="39" t="s">
        <v>71</v>
      </c>
      <c r="I115" s="39"/>
      <c r="J115" s="110"/>
    </row>
    <row r="116" spans="1:10" x14ac:dyDescent="0.3">
      <c r="A116" s="109">
        <v>10</v>
      </c>
      <c r="B116" s="61" t="s">
        <v>14</v>
      </c>
      <c r="C116" s="39">
        <v>30</v>
      </c>
      <c r="D116" s="39" t="s">
        <v>72</v>
      </c>
      <c r="E116" s="39">
        <v>2</v>
      </c>
      <c r="F116" s="39">
        <v>4</v>
      </c>
      <c r="G116" s="77" t="s">
        <v>151</v>
      </c>
      <c r="H116" s="39" t="s">
        <v>71</v>
      </c>
      <c r="I116" s="39"/>
      <c r="J116" s="110"/>
    </row>
    <row r="117" spans="1:10" x14ac:dyDescent="0.3">
      <c r="A117" s="109">
        <v>40</v>
      </c>
      <c r="B117" s="61" t="s">
        <v>14</v>
      </c>
      <c r="C117" s="39">
        <v>40</v>
      </c>
      <c r="D117" s="39" t="s">
        <v>98</v>
      </c>
      <c r="E117" s="39">
        <v>1</v>
      </c>
      <c r="F117" s="39">
        <v>4</v>
      </c>
      <c r="G117" s="77" t="s">
        <v>151</v>
      </c>
      <c r="H117" s="39" t="s">
        <v>102</v>
      </c>
      <c r="I117" s="39"/>
      <c r="J117" s="110"/>
    </row>
    <row r="118" spans="1:10" x14ac:dyDescent="0.3">
      <c r="A118" s="109">
        <v>1</v>
      </c>
      <c r="B118" s="61" t="s">
        <v>14</v>
      </c>
      <c r="C118" s="39">
        <v>175</v>
      </c>
      <c r="D118" s="39" t="s">
        <v>72</v>
      </c>
      <c r="E118" s="39">
        <v>2</v>
      </c>
      <c r="F118" s="39">
        <v>4</v>
      </c>
      <c r="G118" s="77" t="s">
        <v>151</v>
      </c>
      <c r="H118" s="39" t="s">
        <v>71</v>
      </c>
      <c r="I118" s="39"/>
      <c r="J118" s="110"/>
    </row>
    <row r="119" spans="1:10" x14ac:dyDescent="0.3">
      <c r="A119" s="109">
        <v>30</v>
      </c>
      <c r="B119" s="61" t="s">
        <v>14</v>
      </c>
      <c r="C119" s="39">
        <v>40</v>
      </c>
      <c r="D119" s="39" t="s">
        <v>98</v>
      </c>
      <c r="E119" s="39">
        <v>1</v>
      </c>
      <c r="F119" s="39">
        <v>4</v>
      </c>
      <c r="G119" s="77" t="s">
        <v>151</v>
      </c>
      <c r="H119" s="39" t="s">
        <v>71</v>
      </c>
      <c r="I119" s="39"/>
      <c r="J119" s="110"/>
    </row>
    <row r="120" spans="1:10" x14ac:dyDescent="0.3">
      <c r="A120" s="109">
        <v>20</v>
      </c>
      <c r="B120" s="61" t="s">
        <v>14</v>
      </c>
      <c r="C120" s="39">
        <v>50</v>
      </c>
      <c r="D120" s="39" t="s">
        <v>72</v>
      </c>
      <c r="E120" s="39">
        <v>2</v>
      </c>
      <c r="F120" s="39">
        <v>4</v>
      </c>
      <c r="G120" s="77" t="s">
        <v>151</v>
      </c>
      <c r="H120" s="39" t="s">
        <v>71</v>
      </c>
      <c r="I120" s="39"/>
      <c r="J120" s="110"/>
    </row>
    <row r="121" spans="1:10" ht="15" thickBot="1" x14ac:dyDescent="0.35">
      <c r="A121" s="124">
        <v>30</v>
      </c>
      <c r="B121" s="71" t="s">
        <v>14</v>
      </c>
      <c r="C121" s="78">
        <v>30</v>
      </c>
      <c r="D121" s="78" t="s">
        <v>72</v>
      </c>
      <c r="E121" s="78">
        <v>2</v>
      </c>
      <c r="F121" s="78">
        <v>4</v>
      </c>
      <c r="G121" s="114" t="s">
        <v>151</v>
      </c>
      <c r="H121" s="78" t="s">
        <v>71</v>
      </c>
      <c r="I121" s="78"/>
      <c r="J121" s="125"/>
    </row>
    <row r="122" spans="1:10" x14ac:dyDescent="0.3">
      <c r="A122" s="134">
        <v>20</v>
      </c>
      <c r="B122" s="137" t="s">
        <v>14</v>
      </c>
      <c r="C122" s="135">
        <v>30</v>
      </c>
      <c r="D122" s="135" t="s">
        <v>72</v>
      </c>
      <c r="E122" s="135">
        <v>2</v>
      </c>
      <c r="F122" s="135">
        <v>4</v>
      </c>
      <c r="G122" s="186"/>
      <c r="H122" s="135" t="s">
        <v>71</v>
      </c>
      <c r="I122" s="135"/>
      <c r="J122" s="136"/>
    </row>
    <row r="123" spans="1:10" x14ac:dyDescent="0.3">
      <c r="A123" s="109">
        <v>10</v>
      </c>
      <c r="B123" s="61" t="s">
        <v>14</v>
      </c>
      <c r="C123" s="39">
        <v>50</v>
      </c>
      <c r="D123" s="39" t="s">
        <v>72</v>
      </c>
      <c r="E123" s="39">
        <v>2</v>
      </c>
      <c r="F123" s="39">
        <v>4</v>
      </c>
      <c r="G123" s="77"/>
      <c r="H123" s="39" t="s">
        <v>71</v>
      </c>
      <c r="I123" s="39"/>
      <c r="J123" s="110"/>
    </row>
    <row r="124" spans="1:10" x14ac:dyDescent="0.3">
      <c r="A124" s="109">
        <v>1</v>
      </c>
      <c r="B124" s="61" t="s">
        <v>7</v>
      </c>
      <c r="C124" s="39">
        <v>60</v>
      </c>
      <c r="D124" s="39" t="s">
        <v>72</v>
      </c>
      <c r="E124" s="39">
        <v>2</v>
      </c>
      <c r="F124" s="39">
        <v>4</v>
      </c>
      <c r="G124" s="77"/>
      <c r="H124" s="39" t="s">
        <v>71</v>
      </c>
      <c r="I124" s="39"/>
      <c r="J124" s="110"/>
    </row>
    <row r="125" spans="1:10" x14ac:dyDescent="0.3">
      <c r="A125" s="109">
        <v>30</v>
      </c>
      <c r="B125" s="61" t="s">
        <v>14</v>
      </c>
      <c r="C125" s="39">
        <v>30</v>
      </c>
      <c r="D125" s="39" t="s">
        <v>72</v>
      </c>
      <c r="E125" s="39">
        <v>2</v>
      </c>
      <c r="F125" s="39">
        <v>4</v>
      </c>
      <c r="G125" s="77"/>
      <c r="H125" s="39" t="s">
        <v>71</v>
      </c>
      <c r="I125" s="39"/>
      <c r="J125" s="110"/>
    </row>
    <row r="126" spans="1:10" x14ac:dyDescent="0.3">
      <c r="A126" s="109">
        <v>2</v>
      </c>
      <c r="B126" s="61" t="s">
        <v>83</v>
      </c>
      <c r="C126" s="39">
        <v>60</v>
      </c>
      <c r="D126" s="39" t="s">
        <v>98</v>
      </c>
      <c r="E126" s="39">
        <v>2</v>
      </c>
      <c r="F126" s="39">
        <v>4</v>
      </c>
      <c r="G126" s="77"/>
      <c r="H126" s="39" t="s">
        <v>71</v>
      </c>
      <c r="I126" s="39"/>
      <c r="J126" s="110"/>
    </row>
    <row r="127" spans="1:10" x14ac:dyDescent="0.3">
      <c r="A127" s="109">
        <v>1</v>
      </c>
      <c r="B127" s="61" t="s">
        <v>7</v>
      </c>
      <c r="C127" s="39">
        <v>60</v>
      </c>
      <c r="D127" s="39" t="s">
        <v>98</v>
      </c>
      <c r="E127" s="39">
        <v>2</v>
      </c>
      <c r="F127" s="39">
        <v>4</v>
      </c>
      <c r="G127" s="77"/>
      <c r="H127" s="39" t="s">
        <v>71</v>
      </c>
      <c r="I127" s="39"/>
      <c r="J127" s="110"/>
    </row>
    <row r="128" spans="1:10" x14ac:dyDescent="0.3">
      <c r="A128" s="109">
        <v>35</v>
      </c>
      <c r="B128" s="61" t="s">
        <v>14</v>
      </c>
      <c r="C128" s="39">
        <v>40</v>
      </c>
      <c r="D128" s="39" t="s">
        <v>98</v>
      </c>
      <c r="E128" s="39">
        <v>2</v>
      </c>
      <c r="F128" s="39">
        <v>4</v>
      </c>
      <c r="G128" s="77"/>
      <c r="H128" s="39" t="s">
        <v>71</v>
      </c>
      <c r="I128" s="39"/>
      <c r="J128" s="110"/>
    </row>
    <row r="129" spans="1:10" x14ac:dyDescent="0.3">
      <c r="A129" s="109">
        <v>20</v>
      </c>
      <c r="B129" s="61" t="s">
        <v>14</v>
      </c>
      <c r="C129" s="39">
        <v>30</v>
      </c>
      <c r="D129" s="39" t="s">
        <v>72</v>
      </c>
      <c r="E129" s="39">
        <v>2</v>
      </c>
      <c r="F129" s="39">
        <v>4</v>
      </c>
      <c r="G129" s="77"/>
      <c r="H129" s="39" t="s">
        <v>71</v>
      </c>
      <c r="I129" s="39"/>
      <c r="J129" s="110"/>
    </row>
    <row r="130" spans="1:10" x14ac:dyDescent="0.3">
      <c r="A130" s="109">
        <v>3</v>
      </c>
      <c r="B130" s="61" t="s">
        <v>7</v>
      </c>
      <c r="C130" s="39">
        <v>50</v>
      </c>
      <c r="D130" s="39" t="s">
        <v>72</v>
      </c>
      <c r="E130" s="39">
        <v>2</v>
      </c>
      <c r="F130" s="39">
        <v>4</v>
      </c>
      <c r="G130" s="77"/>
      <c r="H130" s="39" t="s">
        <v>71</v>
      </c>
      <c r="I130" s="39"/>
      <c r="J130" s="110"/>
    </row>
    <row r="131" spans="1:10" x14ac:dyDescent="0.3">
      <c r="A131" s="109">
        <v>50</v>
      </c>
      <c r="B131" s="61" t="s">
        <v>14</v>
      </c>
      <c r="C131" s="39">
        <v>30</v>
      </c>
      <c r="D131" s="39" t="s">
        <v>72</v>
      </c>
      <c r="E131" s="39">
        <v>2</v>
      </c>
      <c r="F131" s="39">
        <v>4</v>
      </c>
      <c r="G131" s="77"/>
      <c r="H131" s="39" t="s">
        <v>71</v>
      </c>
      <c r="I131" s="39"/>
      <c r="J131" s="110"/>
    </row>
    <row r="132" spans="1:10" x14ac:dyDescent="0.3">
      <c r="A132" s="109">
        <v>20</v>
      </c>
      <c r="B132" s="61" t="s">
        <v>14</v>
      </c>
      <c r="C132" s="39">
        <v>50</v>
      </c>
      <c r="D132" s="39" t="s">
        <v>72</v>
      </c>
      <c r="E132" s="39">
        <v>2</v>
      </c>
      <c r="F132" s="39">
        <v>4</v>
      </c>
      <c r="G132" s="77"/>
      <c r="H132" s="39" t="s">
        <v>71</v>
      </c>
      <c r="I132" s="39"/>
      <c r="J132" s="110"/>
    </row>
    <row r="133" spans="1:10" x14ac:dyDescent="0.3">
      <c r="A133" s="109">
        <v>2</v>
      </c>
      <c r="B133" s="61" t="s">
        <v>7</v>
      </c>
      <c r="C133" s="39">
        <v>50</v>
      </c>
      <c r="D133" s="39" t="s">
        <v>72</v>
      </c>
      <c r="E133" s="39">
        <v>2</v>
      </c>
      <c r="F133" s="39">
        <v>4</v>
      </c>
      <c r="G133" s="77"/>
      <c r="H133" s="39" t="s">
        <v>71</v>
      </c>
      <c r="I133" s="39"/>
      <c r="J133" s="110"/>
    </row>
    <row r="134" spans="1:10" x14ac:dyDescent="0.3">
      <c r="A134" s="109">
        <v>25</v>
      </c>
      <c r="B134" s="61" t="s">
        <v>14</v>
      </c>
      <c r="C134" s="39">
        <v>40</v>
      </c>
      <c r="D134" s="39" t="s">
        <v>98</v>
      </c>
      <c r="E134" s="39">
        <v>1</v>
      </c>
      <c r="F134" s="39">
        <v>4</v>
      </c>
      <c r="G134" s="77"/>
      <c r="H134" s="39" t="s">
        <v>71</v>
      </c>
      <c r="I134" s="39"/>
      <c r="J134" s="110"/>
    </row>
    <row r="135" spans="1:10" x14ac:dyDescent="0.3">
      <c r="A135" s="109">
        <v>5</v>
      </c>
      <c r="B135" s="61" t="s">
        <v>7</v>
      </c>
      <c r="C135" s="39">
        <v>40</v>
      </c>
      <c r="D135" s="39" t="s">
        <v>98</v>
      </c>
      <c r="E135" s="39">
        <v>1</v>
      </c>
      <c r="F135" s="39">
        <v>4</v>
      </c>
      <c r="G135" s="77"/>
      <c r="H135" s="39" t="s">
        <v>71</v>
      </c>
      <c r="I135" s="39"/>
      <c r="J135" s="110"/>
    </row>
    <row r="136" spans="1:10" x14ac:dyDescent="0.3">
      <c r="A136" s="109"/>
      <c r="B136" s="61"/>
      <c r="C136" s="39"/>
      <c r="D136" s="39"/>
      <c r="E136" s="39"/>
      <c r="F136" s="39">
        <v>6</v>
      </c>
      <c r="G136" s="77"/>
      <c r="H136" s="39" t="s">
        <v>71</v>
      </c>
      <c r="I136" s="39"/>
      <c r="J136" s="110" t="s">
        <v>115</v>
      </c>
    </row>
    <row r="137" spans="1:10" x14ac:dyDescent="0.3">
      <c r="A137" s="109"/>
      <c r="B137" s="61"/>
      <c r="C137" s="39"/>
      <c r="D137" s="39"/>
      <c r="E137" s="39"/>
      <c r="F137" s="39">
        <v>7</v>
      </c>
      <c r="G137" s="77"/>
      <c r="H137" s="39" t="s">
        <v>71</v>
      </c>
      <c r="I137" s="39"/>
      <c r="J137" s="110" t="s">
        <v>115</v>
      </c>
    </row>
    <row r="138" spans="1:10" x14ac:dyDescent="0.3">
      <c r="A138" s="109">
        <v>22</v>
      </c>
      <c r="B138" s="61" t="s">
        <v>14</v>
      </c>
      <c r="C138" s="39">
        <v>40</v>
      </c>
      <c r="D138" s="39" t="s">
        <v>98</v>
      </c>
      <c r="E138" s="39">
        <v>1</v>
      </c>
      <c r="F138" s="39">
        <v>8</v>
      </c>
      <c r="G138" s="77" t="s">
        <v>111</v>
      </c>
      <c r="H138" s="39" t="s">
        <v>71</v>
      </c>
      <c r="I138" s="126">
        <v>0.64930555555555558</v>
      </c>
      <c r="J138" s="110"/>
    </row>
    <row r="139" spans="1:10" x14ac:dyDescent="0.3">
      <c r="A139" s="109">
        <v>13</v>
      </c>
      <c r="B139" s="61" t="s">
        <v>14</v>
      </c>
      <c r="C139" s="39">
        <v>40</v>
      </c>
      <c r="D139" s="39" t="s">
        <v>98</v>
      </c>
      <c r="E139" s="39">
        <v>1</v>
      </c>
      <c r="F139" s="39">
        <v>9</v>
      </c>
      <c r="G139" s="77" t="s">
        <v>156</v>
      </c>
      <c r="H139" s="39" t="s">
        <v>71</v>
      </c>
      <c r="I139" s="39"/>
      <c r="J139" s="110"/>
    </row>
    <row r="140" spans="1:10" x14ac:dyDescent="0.3">
      <c r="A140" s="109">
        <v>20</v>
      </c>
      <c r="B140" s="61" t="s">
        <v>14</v>
      </c>
      <c r="C140" s="39">
        <v>30</v>
      </c>
      <c r="D140" s="39" t="s">
        <v>72</v>
      </c>
      <c r="E140" s="39">
        <v>2</v>
      </c>
      <c r="F140" s="39">
        <v>10</v>
      </c>
      <c r="G140" s="77" t="s">
        <v>151</v>
      </c>
      <c r="H140" s="39" t="s">
        <v>71</v>
      </c>
      <c r="I140" s="39"/>
      <c r="J140" s="110"/>
    </row>
    <row r="141" spans="1:10" x14ac:dyDescent="0.3">
      <c r="A141" s="109">
        <v>10</v>
      </c>
      <c r="B141" s="61" t="s">
        <v>14</v>
      </c>
      <c r="C141" s="39">
        <v>50</v>
      </c>
      <c r="D141" s="39" t="s">
        <v>72</v>
      </c>
      <c r="E141" s="39">
        <v>2</v>
      </c>
      <c r="F141" s="39">
        <v>10</v>
      </c>
      <c r="G141" s="77" t="s">
        <v>151</v>
      </c>
      <c r="H141" s="39" t="s">
        <v>71</v>
      </c>
      <c r="I141" s="39"/>
      <c r="J141" s="110"/>
    </row>
    <row r="142" spans="1:10" x14ac:dyDescent="0.3">
      <c r="A142" s="109">
        <v>10</v>
      </c>
      <c r="B142" s="61" t="s">
        <v>14</v>
      </c>
      <c r="C142" s="39">
        <v>40</v>
      </c>
      <c r="D142" s="39" t="s">
        <v>72</v>
      </c>
      <c r="E142" s="39">
        <v>2</v>
      </c>
      <c r="F142" s="39">
        <v>10</v>
      </c>
      <c r="G142" s="77" t="s">
        <v>151</v>
      </c>
      <c r="H142" s="39" t="s">
        <v>71</v>
      </c>
      <c r="I142" s="39"/>
      <c r="J142" s="110"/>
    </row>
    <row r="143" spans="1:10" x14ac:dyDescent="0.3">
      <c r="A143" s="109">
        <v>40</v>
      </c>
      <c r="B143" s="61" t="s">
        <v>14</v>
      </c>
      <c r="C143" s="39">
        <v>40</v>
      </c>
      <c r="D143" s="39" t="s">
        <v>98</v>
      </c>
      <c r="E143" s="39">
        <v>1</v>
      </c>
      <c r="F143" s="39">
        <v>10</v>
      </c>
      <c r="G143" s="77" t="s">
        <v>151</v>
      </c>
      <c r="H143" s="39" t="s">
        <v>71</v>
      </c>
      <c r="I143" s="39"/>
      <c r="J143" s="110"/>
    </row>
    <row r="144" spans="1:10" x14ac:dyDescent="0.3">
      <c r="A144" s="109">
        <v>30</v>
      </c>
      <c r="B144" s="61" t="s">
        <v>14</v>
      </c>
      <c r="C144" s="39">
        <v>40</v>
      </c>
      <c r="D144" s="39" t="s">
        <v>72</v>
      </c>
      <c r="E144" s="39">
        <v>2</v>
      </c>
      <c r="F144" s="39">
        <v>10</v>
      </c>
      <c r="G144" s="77" t="s">
        <v>151</v>
      </c>
      <c r="H144" s="39" t="s">
        <v>71</v>
      </c>
      <c r="I144" s="39"/>
      <c r="J144" s="110"/>
    </row>
    <row r="145" spans="1:10" x14ac:dyDescent="0.3">
      <c r="A145" s="109">
        <v>20</v>
      </c>
      <c r="B145" s="61" t="s">
        <v>14</v>
      </c>
      <c r="C145" s="39">
        <v>40</v>
      </c>
      <c r="D145" s="39" t="s">
        <v>72</v>
      </c>
      <c r="E145" s="39">
        <v>2</v>
      </c>
      <c r="F145" s="39">
        <v>10</v>
      </c>
      <c r="G145" s="77" t="s">
        <v>151</v>
      </c>
      <c r="H145" s="39" t="s">
        <v>71</v>
      </c>
      <c r="I145" s="39"/>
      <c r="J145" s="110"/>
    </row>
    <row r="146" spans="1:10" x14ac:dyDescent="0.3">
      <c r="A146" s="109">
        <v>15</v>
      </c>
      <c r="B146" s="61" t="s">
        <v>14</v>
      </c>
      <c r="C146" s="81">
        <v>40</v>
      </c>
      <c r="D146" s="39" t="s">
        <v>98</v>
      </c>
      <c r="E146" s="39">
        <v>1</v>
      </c>
      <c r="F146" s="39">
        <v>10</v>
      </c>
      <c r="G146" s="77" t="s">
        <v>151</v>
      </c>
      <c r="H146" s="39" t="s">
        <v>71</v>
      </c>
      <c r="I146" s="39"/>
      <c r="J146" s="110"/>
    </row>
    <row r="147" spans="1:10" x14ac:dyDescent="0.3">
      <c r="A147" s="109">
        <v>10</v>
      </c>
      <c r="B147" s="61" t="s">
        <v>14</v>
      </c>
      <c r="C147" s="39">
        <v>30</v>
      </c>
      <c r="D147" s="39" t="s">
        <v>72</v>
      </c>
      <c r="E147" s="39">
        <v>2</v>
      </c>
      <c r="F147" s="39">
        <v>10</v>
      </c>
      <c r="G147" s="77" t="s">
        <v>151</v>
      </c>
      <c r="H147" s="39" t="s">
        <v>71</v>
      </c>
      <c r="I147" s="39"/>
      <c r="J147" s="110"/>
    </row>
    <row r="148" spans="1:10" x14ac:dyDescent="0.3">
      <c r="A148" s="109">
        <v>15</v>
      </c>
      <c r="B148" s="61" t="s">
        <v>14</v>
      </c>
      <c r="C148" s="39">
        <v>30</v>
      </c>
      <c r="D148" s="39" t="s">
        <v>72</v>
      </c>
      <c r="E148" s="39">
        <v>2</v>
      </c>
      <c r="F148" s="39">
        <v>10</v>
      </c>
      <c r="G148" s="77" t="s">
        <v>151</v>
      </c>
      <c r="H148" s="39" t="s">
        <v>71</v>
      </c>
      <c r="I148" s="39"/>
      <c r="J148" s="110"/>
    </row>
    <row r="149" spans="1:10" x14ac:dyDescent="0.3">
      <c r="A149" s="109">
        <v>20</v>
      </c>
      <c r="B149" s="61" t="s">
        <v>14</v>
      </c>
      <c r="C149" s="39">
        <v>30</v>
      </c>
      <c r="D149" s="39" t="s">
        <v>72</v>
      </c>
      <c r="E149" s="39">
        <v>2</v>
      </c>
      <c r="F149" s="39">
        <v>10</v>
      </c>
      <c r="G149" s="77" t="s">
        <v>151</v>
      </c>
      <c r="H149" s="39" t="s">
        <v>71</v>
      </c>
      <c r="I149" s="39"/>
      <c r="J149" s="110"/>
    </row>
    <row r="150" spans="1:10" x14ac:dyDescent="0.3">
      <c r="A150" s="109">
        <v>8</v>
      </c>
      <c r="B150" s="61" t="s">
        <v>14</v>
      </c>
      <c r="C150" s="39">
        <v>50</v>
      </c>
      <c r="D150" s="39" t="s">
        <v>72</v>
      </c>
      <c r="E150" s="39">
        <v>2</v>
      </c>
      <c r="F150" s="39">
        <v>10</v>
      </c>
      <c r="G150" s="77" t="s">
        <v>151</v>
      </c>
      <c r="H150" s="39" t="s">
        <v>125</v>
      </c>
      <c r="I150" s="39"/>
      <c r="J150" s="110"/>
    </row>
    <row r="151" spans="1:10" x14ac:dyDescent="0.3">
      <c r="A151" s="109">
        <v>1</v>
      </c>
      <c r="B151" s="61" t="s">
        <v>7</v>
      </c>
      <c r="C151" s="39">
        <v>60</v>
      </c>
      <c r="D151" s="39" t="s">
        <v>72</v>
      </c>
      <c r="E151" s="39">
        <v>2</v>
      </c>
      <c r="F151" s="39">
        <v>10</v>
      </c>
      <c r="G151" s="77" t="s">
        <v>151</v>
      </c>
      <c r="H151" s="39" t="s">
        <v>71</v>
      </c>
      <c r="I151" s="39"/>
      <c r="J151" s="110"/>
    </row>
    <row r="152" spans="1:10" x14ac:dyDescent="0.3">
      <c r="A152" s="109">
        <v>15</v>
      </c>
      <c r="B152" s="61" t="s">
        <v>14</v>
      </c>
      <c r="C152" s="39">
        <v>30</v>
      </c>
      <c r="D152" s="39" t="s">
        <v>72</v>
      </c>
      <c r="E152" s="39">
        <v>2</v>
      </c>
      <c r="F152" s="39">
        <v>10</v>
      </c>
      <c r="G152" s="77" t="s">
        <v>151</v>
      </c>
      <c r="H152" s="39" t="s">
        <v>71</v>
      </c>
      <c r="I152" s="39"/>
      <c r="J152" s="110"/>
    </row>
    <row r="153" spans="1:10" ht="15" thickBot="1" x14ac:dyDescent="0.35">
      <c r="A153" s="124">
        <v>13</v>
      </c>
      <c r="B153" s="71" t="s">
        <v>14</v>
      </c>
      <c r="C153" s="78">
        <v>40</v>
      </c>
      <c r="D153" s="78" t="s">
        <v>98</v>
      </c>
      <c r="E153" s="78">
        <v>1</v>
      </c>
      <c r="F153" s="78">
        <v>10</v>
      </c>
      <c r="G153" s="114" t="s">
        <v>151</v>
      </c>
      <c r="H153" s="78" t="s">
        <v>71</v>
      </c>
      <c r="I153" s="78"/>
      <c r="J153" s="125"/>
    </row>
    <row r="154" spans="1:10" x14ac:dyDescent="0.3">
      <c r="A154" s="118"/>
      <c r="B154" s="79"/>
      <c r="C154" s="118"/>
      <c r="D154" s="118"/>
      <c r="E154" s="118"/>
      <c r="F154" s="118"/>
      <c r="G154" s="22"/>
      <c r="H154" s="118"/>
      <c r="I154" s="118"/>
      <c r="J154" s="118"/>
    </row>
    <row r="155" spans="1:10" x14ac:dyDescent="0.3">
      <c r="A155" s="118"/>
      <c r="B155" s="79"/>
      <c r="C155" s="118"/>
      <c r="D155" s="118"/>
      <c r="E155" s="118"/>
      <c r="F155" s="118"/>
      <c r="G155" s="22"/>
      <c r="H155" s="118"/>
      <c r="I155" s="118"/>
      <c r="J155" s="118"/>
    </row>
    <row r="156" spans="1:10" x14ac:dyDescent="0.3">
      <c r="A156" s="118"/>
      <c r="B156" s="79"/>
      <c r="C156" s="118"/>
      <c r="D156" s="118"/>
      <c r="E156" s="118"/>
      <c r="F156" s="118"/>
      <c r="G156" s="22"/>
      <c r="H156" s="118"/>
      <c r="I156" s="118"/>
      <c r="J156" s="118"/>
    </row>
    <row r="157" spans="1:10" x14ac:dyDescent="0.3">
      <c r="A157" s="118"/>
      <c r="B157" s="79"/>
      <c r="C157" s="118"/>
      <c r="D157" s="118"/>
      <c r="E157" s="118"/>
      <c r="F157" s="118"/>
      <c r="G157" s="22"/>
      <c r="H157" s="118"/>
      <c r="I157" s="118"/>
      <c r="J157" s="118"/>
    </row>
    <row r="158" spans="1:10" x14ac:dyDescent="0.3">
      <c r="A158" s="118"/>
      <c r="B158" s="79"/>
      <c r="C158" s="118"/>
      <c r="D158" s="118"/>
      <c r="E158" s="118"/>
      <c r="F158" s="118"/>
      <c r="G158" s="22"/>
      <c r="H158" s="118"/>
      <c r="I158" s="118"/>
      <c r="J158" s="118"/>
    </row>
    <row r="159" spans="1:10" x14ac:dyDescent="0.3">
      <c r="A159" s="118"/>
      <c r="B159" s="79"/>
      <c r="C159" s="118"/>
      <c r="D159" s="118"/>
      <c r="E159" s="118"/>
      <c r="F159" s="118"/>
      <c r="G159" s="22"/>
      <c r="H159" s="118"/>
      <c r="I159" s="118"/>
      <c r="J159" s="118"/>
    </row>
    <row r="160" spans="1:10" x14ac:dyDescent="0.3">
      <c r="A160" s="118"/>
      <c r="B160" s="79"/>
      <c r="C160" s="118"/>
      <c r="D160" s="118"/>
      <c r="E160" s="118"/>
      <c r="F160" s="118"/>
      <c r="G160" s="22"/>
      <c r="H160" s="118"/>
      <c r="I160" s="118"/>
      <c r="J160" s="118"/>
    </row>
    <row r="161" spans="1:10" x14ac:dyDescent="0.3">
      <c r="A161" s="118"/>
      <c r="B161" s="79"/>
      <c r="C161" s="118"/>
      <c r="D161" s="118"/>
      <c r="E161" s="118"/>
      <c r="F161" s="118"/>
      <c r="G161" s="22"/>
      <c r="H161" s="118"/>
      <c r="I161" s="118"/>
      <c r="J161" s="118"/>
    </row>
    <row r="162" spans="1:10" x14ac:dyDescent="0.3">
      <c r="A162" s="118"/>
      <c r="B162" s="79"/>
      <c r="C162" s="118"/>
      <c r="D162" s="118"/>
      <c r="E162" s="118"/>
      <c r="F162" s="118"/>
      <c r="G162" s="22"/>
      <c r="H162" s="118"/>
      <c r="I162" s="118"/>
      <c r="J162" s="118"/>
    </row>
    <row r="163" spans="1:10" x14ac:dyDescent="0.3">
      <c r="A163" s="118"/>
      <c r="B163" s="79"/>
      <c r="C163" s="118"/>
      <c r="D163" s="118"/>
      <c r="E163" s="118"/>
      <c r="F163" s="118"/>
      <c r="G163" s="22"/>
      <c r="H163" s="118"/>
      <c r="I163" s="118"/>
      <c r="J163" s="118"/>
    </row>
    <row r="164" spans="1:10" x14ac:dyDescent="0.3">
      <c r="A164" s="118"/>
      <c r="B164" s="79"/>
      <c r="C164" s="118"/>
      <c r="D164" s="118"/>
      <c r="E164" s="118"/>
      <c r="F164" s="118"/>
      <c r="G164" s="22"/>
      <c r="H164" s="118"/>
      <c r="I164" s="118"/>
      <c r="J164" s="118"/>
    </row>
    <row r="165" spans="1:10" x14ac:dyDescent="0.3">
      <c r="A165" s="118"/>
      <c r="B165" s="79"/>
      <c r="C165" s="118"/>
      <c r="D165" s="118"/>
      <c r="E165" s="118"/>
      <c r="F165" s="118"/>
      <c r="G165" s="22"/>
      <c r="H165" s="118"/>
      <c r="I165" s="118"/>
      <c r="J165" s="118"/>
    </row>
    <row r="166" spans="1:10" x14ac:dyDescent="0.3">
      <c r="A166" s="118"/>
      <c r="B166" s="79"/>
      <c r="C166" s="118"/>
      <c r="D166" s="118"/>
      <c r="E166" s="118"/>
      <c r="F166" s="118"/>
      <c r="G166" s="22"/>
      <c r="H166" s="118"/>
      <c r="I166" s="118"/>
      <c r="J166" s="118"/>
    </row>
    <row r="167" spans="1:10" x14ac:dyDescent="0.3">
      <c r="A167" s="118"/>
      <c r="B167" s="79"/>
      <c r="C167" s="118"/>
      <c r="D167" s="118"/>
      <c r="E167" s="118"/>
      <c r="F167" s="118"/>
      <c r="G167" s="22"/>
      <c r="H167" s="118"/>
      <c r="I167" s="118"/>
      <c r="J167" s="118"/>
    </row>
    <row r="168" spans="1:10" x14ac:dyDescent="0.3">
      <c r="A168" s="118"/>
      <c r="B168" s="79"/>
      <c r="C168" s="118"/>
      <c r="D168" s="118"/>
      <c r="E168" s="118"/>
      <c r="F168" s="118"/>
      <c r="G168" s="22"/>
      <c r="H168" s="118"/>
      <c r="I168" s="118"/>
      <c r="J168" s="118"/>
    </row>
    <row r="169" spans="1:10" x14ac:dyDescent="0.3">
      <c r="A169" s="118"/>
      <c r="B169" s="79"/>
      <c r="C169" s="118"/>
      <c r="D169" s="118"/>
      <c r="E169" s="118"/>
      <c r="F169" s="118"/>
      <c r="G169" s="22"/>
      <c r="H169" s="118"/>
      <c r="I169" s="118"/>
      <c r="J169" s="118"/>
    </row>
    <row r="170" spans="1:10" x14ac:dyDescent="0.3">
      <c r="A170" s="118"/>
      <c r="B170" s="79"/>
      <c r="C170" s="118"/>
      <c r="D170" s="118"/>
      <c r="E170" s="118"/>
      <c r="F170" s="118"/>
      <c r="G170" s="22"/>
      <c r="H170" s="118"/>
      <c r="I170" s="118"/>
      <c r="J170" s="118"/>
    </row>
    <row r="171" spans="1:10" x14ac:dyDescent="0.3">
      <c r="A171" s="118"/>
      <c r="B171" s="79"/>
      <c r="C171" s="118"/>
      <c r="D171" s="118"/>
      <c r="E171" s="118"/>
      <c r="F171" s="118"/>
      <c r="G171" s="22"/>
      <c r="H171" s="118"/>
      <c r="I171" s="118"/>
      <c r="J171" s="118"/>
    </row>
    <row r="172" spans="1:10" x14ac:dyDescent="0.3">
      <c r="A172" s="118"/>
      <c r="B172" s="79"/>
      <c r="C172" s="118"/>
      <c r="D172" s="118"/>
      <c r="E172" s="118"/>
      <c r="F172" s="118"/>
      <c r="G172" s="22"/>
      <c r="H172" s="118"/>
      <c r="I172" s="118"/>
      <c r="J172" s="118"/>
    </row>
    <row r="173" spans="1:10" x14ac:dyDescent="0.3">
      <c r="A173" s="118"/>
      <c r="B173" s="79"/>
      <c r="C173" s="118"/>
      <c r="D173" s="118"/>
      <c r="E173" s="118"/>
      <c r="F173" s="118"/>
      <c r="G173" s="22"/>
      <c r="H173" s="118"/>
      <c r="I173" s="118"/>
      <c r="J173" s="118"/>
    </row>
    <row r="174" spans="1:10" x14ac:dyDescent="0.3">
      <c r="A174" s="118"/>
      <c r="B174" s="79"/>
      <c r="C174" s="118"/>
      <c r="D174" s="118"/>
      <c r="E174" s="118"/>
      <c r="F174" s="118"/>
      <c r="G174" s="22"/>
      <c r="H174" s="118"/>
      <c r="I174" s="118"/>
      <c r="J174" s="118"/>
    </row>
    <row r="175" spans="1:10" x14ac:dyDescent="0.3">
      <c r="A175" s="118"/>
      <c r="B175" s="79"/>
      <c r="C175" s="118"/>
      <c r="D175" s="118"/>
      <c r="E175" s="118"/>
      <c r="F175" s="118"/>
      <c r="G175" s="22"/>
      <c r="H175" s="118"/>
      <c r="I175" s="118"/>
      <c r="J175" s="118"/>
    </row>
    <row r="176" spans="1:10" x14ac:dyDescent="0.3">
      <c r="A176" s="118"/>
      <c r="B176" s="79"/>
      <c r="C176" s="118"/>
      <c r="D176" s="118"/>
      <c r="E176" s="118"/>
      <c r="F176" s="118"/>
      <c r="G176" s="22"/>
      <c r="H176" s="118"/>
      <c r="I176" s="118"/>
      <c r="J176" s="118"/>
    </row>
    <row r="177" spans="1:10" x14ac:dyDescent="0.3">
      <c r="A177" s="118"/>
      <c r="B177" s="79"/>
      <c r="C177" s="118"/>
      <c r="D177" s="118"/>
      <c r="E177" s="118"/>
      <c r="F177" s="118"/>
      <c r="G177" s="22"/>
      <c r="H177" s="118"/>
      <c r="I177" s="118"/>
      <c r="J177" s="118"/>
    </row>
    <row r="178" spans="1:10" x14ac:dyDescent="0.3">
      <c r="A178" s="118"/>
      <c r="B178" s="79"/>
      <c r="C178" s="118"/>
      <c r="D178" s="118"/>
      <c r="E178" s="118"/>
      <c r="F178" s="118"/>
      <c r="G178" s="22"/>
      <c r="H178" s="118"/>
      <c r="I178" s="118"/>
      <c r="J178" s="118"/>
    </row>
    <row r="179" spans="1:10" x14ac:dyDescent="0.3">
      <c r="A179" s="118"/>
      <c r="B179" s="79"/>
      <c r="C179" s="118"/>
      <c r="D179" s="118"/>
      <c r="E179" s="118"/>
      <c r="F179" s="118"/>
      <c r="G179" s="22"/>
      <c r="H179" s="118"/>
      <c r="I179" s="118"/>
      <c r="J179" s="118"/>
    </row>
    <row r="180" spans="1:10" x14ac:dyDescent="0.3">
      <c r="A180" s="118"/>
      <c r="B180" s="79"/>
      <c r="C180" s="118"/>
      <c r="D180" s="118"/>
      <c r="E180" s="118"/>
      <c r="F180" s="118"/>
      <c r="G180" s="22"/>
      <c r="H180" s="118"/>
      <c r="I180" s="118"/>
      <c r="J180" s="118"/>
    </row>
    <row r="181" spans="1:10" x14ac:dyDescent="0.3">
      <c r="A181" s="118"/>
      <c r="B181" s="79"/>
      <c r="C181" s="118"/>
      <c r="D181" s="118"/>
      <c r="E181" s="118"/>
      <c r="F181" s="118"/>
      <c r="G181" s="22"/>
      <c r="H181" s="118"/>
      <c r="I181" s="118"/>
      <c r="J181" s="118"/>
    </row>
    <row r="182" spans="1:10" x14ac:dyDescent="0.3">
      <c r="A182" s="118"/>
      <c r="B182" s="79"/>
      <c r="C182" s="118"/>
      <c r="D182" s="118"/>
      <c r="E182" s="118"/>
      <c r="F182" s="118"/>
      <c r="G182" s="22"/>
      <c r="H182" s="118"/>
      <c r="I182" s="118"/>
      <c r="J182" s="118"/>
    </row>
    <row r="183" spans="1:10" x14ac:dyDescent="0.3">
      <c r="A183" s="118"/>
      <c r="B183" s="79"/>
      <c r="C183" s="118"/>
      <c r="D183" s="118"/>
      <c r="E183" s="118"/>
      <c r="F183" s="118"/>
      <c r="G183" s="22"/>
      <c r="H183" s="118"/>
      <c r="I183" s="118"/>
      <c r="J183" s="118"/>
    </row>
    <row r="184" spans="1:10" x14ac:dyDescent="0.3">
      <c r="A184" s="118"/>
      <c r="B184" s="79"/>
      <c r="C184" s="118"/>
      <c r="D184" s="118"/>
      <c r="E184" s="118"/>
      <c r="F184" s="118"/>
      <c r="G184" s="22"/>
      <c r="H184" s="118"/>
      <c r="I184" s="118"/>
      <c r="J184" s="118"/>
    </row>
    <row r="185" spans="1:10" x14ac:dyDescent="0.3">
      <c r="A185" s="118"/>
      <c r="B185" s="79"/>
      <c r="C185" s="118"/>
      <c r="D185" s="118"/>
      <c r="E185" s="118"/>
      <c r="F185" s="118"/>
      <c r="G185" s="22"/>
      <c r="H185" s="118"/>
      <c r="I185" s="118"/>
      <c r="J185" s="118"/>
    </row>
    <row r="186" spans="1:10" x14ac:dyDescent="0.3">
      <c r="A186" s="118"/>
      <c r="B186" s="79"/>
      <c r="C186" s="118"/>
      <c r="D186" s="118"/>
      <c r="E186" s="118"/>
      <c r="F186" s="118"/>
      <c r="G186" s="22"/>
      <c r="H186" s="118"/>
      <c r="I186" s="118"/>
      <c r="J186" s="118"/>
    </row>
    <row r="187" spans="1:10" x14ac:dyDescent="0.3">
      <c r="A187" s="118"/>
      <c r="B187" s="79"/>
      <c r="C187" s="118"/>
      <c r="D187" s="118"/>
      <c r="E187" s="118"/>
      <c r="F187" s="118"/>
      <c r="G187" s="22"/>
      <c r="H187" s="118"/>
      <c r="I187" s="119"/>
      <c r="J187" s="118"/>
    </row>
    <row r="188" spans="1:10" x14ac:dyDescent="0.3">
      <c r="A188" s="79"/>
      <c r="B188" s="118"/>
      <c r="C188" s="118"/>
      <c r="D188" s="118"/>
      <c r="E188" s="118"/>
      <c r="F188" s="118"/>
      <c r="G188" s="22"/>
      <c r="H188" s="118"/>
      <c r="I188" s="118"/>
      <c r="J188" s="118"/>
    </row>
    <row r="189" spans="1:10" x14ac:dyDescent="0.3">
      <c r="A189" s="79"/>
      <c r="B189" s="118"/>
      <c r="C189" s="118"/>
      <c r="D189" s="118"/>
      <c r="E189" s="118"/>
      <c r="F189" s="118"/>
      <c r="G189" s="22"/>
      <c r="H189" s="118"/>
      <c r="I189" s="118"/>
      <c r="J189" s="118"/>
    </row>
    <row r="190" spans="1:10" x14ac:dyDescent="0.3">
      <c r="A190" s="79"/>
      <c r="B190" s="118"/>
      <c r="C190" s="118"/>
      <c r="D190" s="118"/>
      <c r="E190" s="118"/>
      <c r="F190" s="118"/>
      <c r="G190" s="22"/>
      <c r="H190" s="118"/>
      <c r="I190" s="118"/>
      <c r="J190" s="118"/>
    </row>
    <row r="191" spans="1:10" x14ac:dyDescent="0.3">
      <c r="A191" s="79"/>
      <c r="B191" s="118"/>
      <c r="C191" s="118"/>
      <c r="D191" s="118"/>
      <c r="E191" s="118"/>
      <c r="F191" s="118"/>
      <c r="G191" s="22"/>
      <c r="H191" s="118"/>
      <c r="I191" s="118"/>
      <c r="J191" s="118"/>
    </row>
    <row r="192" spans="1:10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</row>
    <row r="193" spans="1:10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</row>
    <row r="194" spans="1:10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10" max="10" width="13.6640625" bestFit="1" customWidth="1"/>
    <col min="11" max="11" width="8.109375" customWidth="1"/>
    <col min="12" max="12" width="8.6640625" customWidth="1"/>
    <col min="13" max="15" width="8.44140625" customWidth="1"/>
  </cols>
  <sheetData>
    <row r="1" spans="1:15" ht="15" thickBot="1" x14ac:dyDescent="0.35">
      <c r="A1" s="84"/>
      <c r="B1" s="85"/>
      <c r="C1" s="85"/>
      <c r="D1" s="86" t="s">
        <v>96</v>
      </c>
      <c r="E1" s="85"/>
      <c r="F1" s="85"/>
      <c r="G1" s="85"/>
      <c r="H1" s="87"/>
      <c r="I1" s="88" t="s">
        <v>116</v>
      </c>
      <c r="J1" s="154" t="s">
        <v>117</v>
      </c>
      <c r="K1" s="210" t="s">
        <v>223</v>
      </c>
      <c r="L1" s="49"/>
      <c r="M1" s="50"/>
      <c r="N1" s="50"/>
    </row>
    <row r="2" spans="1:15" ht="15.6" thickTop="1" thickBot="1" x14ac:dyDescent="0.35">
      <c r="A2" s="90" t="s">
        <v>61</v>
      </c>
      <c r="B2" s="2" t="s">
        <v>99</v>
      </c>
      <c r="C2" s="2"/>
      <c r="D2" s="3"/>
      <c r="E2" s="2"/>
      <c r="F2" s="2"/>
      <c r="G2" s="6"/>
      <c r="H2" s="46"/>
      <c r="I2" s="56" t="s">
        <v>73</v>
      </c>
      <c r="J2" s="91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92" t="s">
        <v>5</v>
      </c>
      <c r="B3" s="93">
        <v>2166</v>
      </c>
      <c r="C3" s="7" t="s">
        <v>2</v>
      </c>
      <c r="D3" s="8"/>
      <c r="E3" s="7" t="s">
        <v>3</v>
      </c>
      <c r="F3" s="9"/>
      <c r="G3" s="94" t="s">
        <v>4</v>
      </c>
      <c r="H3" s="8"/>
      <c r="I3" s="97" t="s">
        <v>58</v>
      </c>
      <c r="J3" s="95">
        <v>1</v>
      </c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0</v>
      </c>
      <c r="O3" s="204" t="s">
        <v>14</v>
      </c>
    </row>
    <row r="4" spans="1:15" ht="15.6" thickTop="1" thickBot="1" x14ac:dyDescent="0.35">
      <c r="A4" s="90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96" t="s">
        <v>10</v>
      </c>
      <c r="H4" s="15" t="s">
        <v>11</v>
      </c>
      <c r="I4" s="97" t="s">
        <v>109</v>
      </c>
      <c r="J4" s="95">
        <v>2</v>
      </c>
      <c r="K4" s="204" t="s">
        <v>177</v>
      </c>
      <c r="L4" s="204">
        <f>SUMIFS($A$11:$A$401,$B$11:$B$401,"CH",$F$11:$F$401,"2")</f>
        <v>0</v>
      </c>
      <c r="M4" s="204" t="s">
        <v>7</v>
      </c>
      <c r="N4" s="204">
        <f>SUMIFS($A$11:$A$401,$B$11:$B$401,"RT",$F$11:$F$401,"2")</f>
        <v>0</v>
      </c>
      <c r="O4" s="204" t="s">
        <v>14</v>
      </c>
    </row>
    <row r="5" spans="1:15" ht="15" thickTop="1" x14ac:dyDescent="0.3">
      <c r="A5" s="98" t="s">
        <v>67</v>
      </c>
      <c r="B5" s="55">
        <v>0.64583333333333337</v>
      </c>
      <c r="C5" s="11" t="s">
        <v>13</v>
      </c>
      <c r="D5" s="12" t="s">
        <v>14</v>
      </c>
      <c r="E5" s="13" t="s">
        <v>15</v>
      </c>
      <c r="F5" s="12" t="s">
        <v>16</v>
      </c>
      <c r="G5" s="96" t="s">
        <v>17</v>
      </c>
      <c r="H5" s="15" t="s">
        <v>18</v>
      </c>
      <c r="I5" s="97" t="s">
        <v>68</v>
      </c>
      <c r="J5" s="95">
        <v>3</v>
      </c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99" t="s">
        <v>12</v>
      </c>
      <c r="B6" s="161">
        <v>43697</v>
      </c>
      <c r="C6" s="11" t="s">
        <v>19</v>
      </c>
      <c r="D6" s="12" t="s">
        <v>20</v>
      </c>
      <c r="E6" s="13" t="s">
        <v>21</v>
      </c>
      <c r="F6" s="12" t="s">
        <v>22</v>
      </c>
      <c r="G6" s="96" t="s">
        <v>23</v>
      </c>
      <c r="H6" s="15" t="s">
        <v>24</v>
      </c>
      <c r="I6" s="97" t="s">
        <v>98</v>
      </c>
      <c r="J6" s="155">
        <v>4</v>
      </c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0</v>
      </c>
      <c r="O6" s="204" t="s">
        <v>14</v>
      </c>
    </row>
    <row r="7" spans="1:15" x14ac:dyDescent="0.3">
      <c r="A7" s="100" t="s">
        <v>62</v>
      </c>
      <c r="B7" s="18">
        <v>15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97" t="s">
        <v>110</v>
      </c>
      <c r="J7" s="95">
        <v>5</v>
      </c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01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97"/>
      <c r="J8" s="95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01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102" t="s">
        <v>37</v>
      </c>
      <c r="H9" s="25"/>
      <c r="I9" s="28"/>
      <c r="J9" s="103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2</v>
      </c>
      <c r="O9" s="204" t="s">
        <v>14</v>
      </c>
    </row>
    <row r="10" spans="1:15" ht="15" thickTop="1" x14ac:dyDescent="0.3">
      <c r="A10" s="104" t="s">
        <v>33</v>
      </c>
      <c r="B10" s="22"/>
      <c r="C10" s="11" t="s">
        <v>38</v>
      </c>
      <c r="D10" s="12" t="s">
        <v>39</v>
      </c>
      <c r="E10" s="105" t="s">
        <v>40</v>
      </c>
      <c r="F10" s="27" t="s">
        <v>41</v>
      </c>
      <c r="G10" s="102" t="s">
        <v>42</v>
      </c>
      <c r="H10" s="9"/>
      <c r="I10" s="106" t="s">
        <v>43</v>
      </c>
      <c r="J10" s="107"/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108"/>
      <c r="B11" s="29"/>
      <c r="C11" s="28" t="s">
        <v>44</v>
      </c>
      <c r="D11" s="30" t="s">
        <v>45</v>
      </c>
      <c r="E11" s="105" t="s">
        <v>46</v>
      </c>
      <c r="F11" s="30" t="s">
        <v>69</v>
      </c>
      <c r="G11" s="22" t="s">
        <v>59</v>
      </c>
      <c r="H11" s="30" t="s">
        <v>47</v>
      </c>
      <c r="I11" s="97" t="s">
        <v>75</v>
      </c>
      <c r="J11" s="103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188" t="s">
        <v>48</v>
      </c>
      <c r="B12" s="83" t="s">
        <v>49</v>
      </c>
      <c r="C12" s="83" t="s">
        <v>50</v>
      </c>
      <c r="D12" s="83" t="s">
        <v>51</v>
      </c>
      <c r="E12" s="83" t="s">
        <v>52</v>
      </c>
      <c r="F12" s="83" t="s">
        <v>53</v>
      </c>
      <c r="G12" s="83" t="s">
        <v>54</v>
      </c>
      <c r="H12" s="83" t="s">
        <v>55</v>
      </c>
      <c r="I12" s="83" t="s">
        <v>56</v>
      </c>
      <c r="J12" s="189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x14ac:dyDescent="0.3">
      <c r="A13" s="134">
        <v>0</v>
      </c>
      <c r="B13" s="137"/>
      <c r="C13" s="135"/>
      <c r="D13" s="190"/>
      <c r="E13" s="135"/>
      <c r="F13" s="135">
        <v>1</v>
      </c>
      <c r="G13" s="135" t="s">
        <v>111</v>
      </c>
      <c r="H13" s="135"/>
      <c r="I13" s="135"/>
      <c r="J13" s="136" t="s">
        <v>115</v>
      </c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109">
        <v>0</v>
      </c>
      <c r="B14" s="61"/>
      <c r="C14" s="39"/>
      <c r="D14" s="128"/>
      <c r="E14" s="35"/>
      <c r="F14" s="39">
        <v>2</v>
      </c>
      <c r="G14" s="39" t="s">
        <v>22</v>
      </c>
      <c r="H14" s="39"/>
      <c r="I14" s="39"/>
      <c r="J14" s="110" t="s">
        <v>115</v>
      </c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109">
        <v>1</v>
      </c>
      <c r="B15" s="61" t="s">
        <v>83</v>
      </c>
      <c r="C15" s="39">
        <v>250</v>
      </c>
      <c r="D15" s="128" t="s">
        <v>58</v>
      </c>
      <c r="E15" s="35">
        <v>1</v>
      </c>
      <c r="F15" s="39">
        <v>3</v>
      </c>
      <c r="G15" s="39" t="s">
        <v>111</v>
      </c>
      <c r="H15" s="39"/>
      <c r="I15" s="39"/>
      <c r="J15" s="110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109">
        <v>0</v>
      </c>
      <c r="B16" s="61"/>
      <c r="C16" s="39"/>
      <c r="D16" s="128"/>
      <c r="E16" s="35"/>
      <c r="F16" s="39">
        <v>4</v>
      </c>
      <c r="G16" s="39" t="s">
        <v>41</v>
      </c>
      <c r="H16" s="39"/>
      <c r="I16" s="39"/>
      <c r="J16" s="110" t="s">
        <v>115</v>
      </c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109">
        <v>0</v>
      </c>
      <c r="B17" s="61"/>
      <c r="C17" s="39"/>
      <c r="D17" s="128"/>
      <c r="E17" s="35"/>
      <c r="F17" s="39">
        <v>5</v>
      </c>
      <c r="G17" s="39"/>
      <c r="H17" s="39"/>
      <c r="I17" s="39"/>
      <c r="J17" s="110" t="s">
        <v>115</v>
      </c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1</v>
      </c>
      <c r="B18" s="61" t="s">
        <v>83</v>
      </c>
      <c r="C18" s="39">
        <v>250</v>
      </c>
      <c r="D18" s="128" t="s">
        <v>109</v>
      </c>
      <c r="E18" s="35">
        <v>2</v>
      </c>
      <c r="F18" s="39">
        <v>6</v>
      </c>
      <c r="G18" s="39" t="s">
        <v>111</v>
      </c>
      <c r="H18" s="39" t="s">
        <v>112</v>
      </c>
      <c r="I18" s="39"/>
      <c r="J18" s="110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1</v>
      </c>
      <c r="B19" s="61" t="s">
        <v>32</v>
      </c>
      <c r="C19" s="39">
        <v>30</v>
      </c>
      <c r="D19" s="39" t="s">
        <v>68</v>
      </c>
      <c r="E19" s="39">
        <v>2</v>
      </c>
      <c r="F19" s="39">
        <v>7</v>
      </c>
      <c r="G19" s="39" t="s">
        <v>41</v>
      </c>
      <c r="H19" s="39" t="s">
        <v>113</v>
      </c>
      <c r="I19" s="39"/>
      <c r="J19" s="110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1</v>
      </c>
      <c r="B20" s="61" t="s">
        <v>83</v>
      </c>
      <c r="C20" s="39">
        <v>250</v>
      </c>
      <c r="D20" s="39" t="s">
        <v>98</v>
      </c>
      <c r="E20" s="39">
        <v>5</v>
      </c>
      <c r="F20" s="39">
        <v>6</v>
      </c>
      <c r="G20" s="39" t="s">
        <v>111</v>
      </c>
      <c r="H20" s="39" t="s">
        <v>71</v>
      </c>
      <c r="I20" s="39"/>
      <c r="J20" s="110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1</v>
      </c>
      <c r="B21" s="61" t="s">
        <v>14</v>
      </c>
      <c r="C21" s="39">
        <v>200</v>
      </c>
      <c r="D21" s="39" t="s">
        <v>98</v>
      </c>
      <c r="E21" s="39">
        <v>5</v>
      </c>
      <c r="F21" s="39">
        <v>7</v>
      </c>
      <c r="G21" s="39" t="s">
        <v>41</v>
      </c>
      <c r="H21" s="39" t="s">
        <v>113</v>
      </c>
      <c r="I21" s="39"/>
      <c r="J21" s="110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1</v>
      </c>
      <c r="B22" s="61" t="s">
        <v>14</v>
      </c>
      <c r="C22" s="39">
        <v>200</v>
      </c>
      <c r="D22" s="39" t="s">
        <v>98</v>
      </c>
      <c r="E22" s="39">
        <v>5</v>
      </c>
      <c r="F22" s="39">
        <v>7</v>
      </c>
      <c r="G22" s="39" t="s">
        <v>41</v>
      </c>
      <c r="H22" s="39" t="s">
        <v>114</v>
      </c>
      <c r="I22" s="39"/>
      <c r="J22" s="110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0</v>
      </c>
      <c r="B23" s="61"/>
      <c r="C23" s="39"/>
      <c r="D23" s="39"/>
      <c r="E23" s="39"/>
      <c r="F23" s="39">
        <v>8</v>
      </c>
      <c r="G23" s="39"/>
      <c r="H23" s="39"/>
      <c r="I23" s="68"/>
      <c r="J23" s="110" t="s">
        <v>115</v>
      </c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32">
        <v>0</v>
      </c>
      <c r="B24" s="69"/>
      <c r="C24" s="69"/>
      <c r="D24" s="39"/>
      <c r="E24" s="39"/>
      <c r="F24" s="69">
        <v>9</v>
      </c>
      <c r="G24" s="69" t="s">
        <v>41</v>
      </c>
      <c r="H24" s="69"/>
      <c r="I24" s="69"/>
      <c r="J24" s="110" t="s">
        <v>115</v>
      </c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ht="15" thickBot="1" x14ac:dyDescent="0.35">
      <c r="A25" s="177">
        <v>1</v>
      </c>
      <c r="B25" s="72" t="s">
        <v>83</v>
      </c>
      <c r="C25" s="72">
        <v>300</v>
      </c>
      <c r="D25" s="78" t="s">
        <v>98</v>
      </c>
      <c r="E25" s="78">
        <v>5</v>
      </c>
      <c r="F25" s="133">
        <v>10</v>
      </c>
      <c r="G25" s="72" t="s">
        <v>22</v>
      </c>
      <c r="H25" s="72" t="s">
        <v>71</v>
      </c>
      <c r="I25" s="191">
        <v>0.71875</v>
      </c>
      <c r="J25" s="117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1:15" x14ac:dyDescent="0.3"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1:15" x14ac:dyDescent="0.3"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1:15" x14ac:dyDescent="0.3"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1:15" x14ac:dyDescent="0.3"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1:15" x14ac:dyDescent="0.3"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1:15" x14ac:dyDescent="0.3"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1:15" x14ac:dyDescent="0.3"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1:15" x14ac:dyDescent="0.3"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1:15" x14ac:dyDescent="0.3"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1:15" x14ac:dyDescent="0.3"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1:15" x14ac:dyDescent="0.3"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1:15" x14ac:dyDescent="0.3"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1:15" x14ac:dyDescent="0.3">
      <c r="K45" s="204" t="s">
        <v>222</v>
      </c>
      <c r="L45" s="204">
        <f>SUM(L3:L44)</f>
        <v>0</v>
      </c>
      <c r="M45" s="204" t="s">
        <v>7</v>
      </c>
      <c r="N45" s="204">
        <f>SUM(N3:N44)</f>
        <v>2</v>
      </c>
      <c r="O45" s="204" t="s">
        <v>14</v>
      </c>
    </row>
    <row r="46" spans="11:15" x14ac:dyDescent="0.3">
      <c r="K46" s="204"/>
      <c r="L46" s="204"/>
      <c r="M46" s="204"/>
      <c r="N46" s="204"/>
    </row>
    <row r="47" spans="11:15" x14ac:dyDescent="0.3">
      <c r="K47" s="204"/>
      <c r="N47" s="204"/>
    </row>
    <row r="48" spans="11:15" x14ac:dyDescent="0.3"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T33"/>
  <sheetViews>
    <sheetView topLeftCell="B1" zoomScaleNormal="100" workbookViewId="0">
      <selection activeCell="M27" sqref="M27"/>
    </sheetView>
  </sheetViews>
  <sheetFormatPr defaultRowHeight="14.4" x14ac:dyDescent="0.3"/>
  <cols>
    <col min="4" max="4" width="11.6640625" customWidth="1"/>
    <col min="8" max="8" width="16" customWidth="1"/>
    <col min="10" max="10" width="10.6640625" customWidth="1"/>
    <col min="11" max="11" width="10.88671875" customWidth="1"/>
  </cols>
  <sheetData>
    <row r="1" spans="2:20" ht="15.6" thickTop="1" thickBot="1" x14ac:dyDescent="0.35">
      <c r="B1" s="1"/>
      <c r="C1" s="2"/>
      <c r="D1" s="2"/>
      <c r="E1" s="3" t="s">
        <v>60</v>
      </c>
      <c r="F1" s="2"/>
      <c r="G1" s="2"/>
      <c r="H1" s="2"/>
      <c r="I1" s="4"/>
      <c r="J1" s="56" t="s">
        <v>95</v>
      </c>
      <c r="K1" s="164" t="s">
        <v>84</v>
      </c>
    </row>
    <row r="2" spans="2:20" ht="15.6" thickTop="1" thickBot="1" x14ac:dyDescent="0.35">
      <c r="B2" s="56" t="s">
        <v>61</v>
      </c>
      <c r="C2" s="2"/>
      <c r="D2" s="2"/>
      <c r="E2" s="3"/>
      <c r="F2" s="2"/>
      <c r="G2" s="2"/>
      <c r="H2" s="6"/>
      <c r="I2" s="46"/>
      <c r="J2" s="56" t="s">
        <v>73</v>
      </c>
      <c r="K2" s="5" t="s">
        <v>74</v>
      </c>
    </row>
    <row r="3" spans="2:20" ht="15.6" thickTop="1" thickBot="1" x14ac:dyDescent="0.35">
      <c r="B3" s="57" t="s">
        <v>5</v>
      </c>
      <c r="C3" s="49"/>
      <c r="D3" s="7" t="s">
        <v>2</v>
      </c>
      <c r="E3" s="8"/>
      <c r="F3" s="7" t="s">
        <v>3</v>
      </c>
      <c r="G3" s="9"/>
      <c r="H3" s="10" t="s">
        <v>4</v>
      </c>
      <c r="I3" s="8"/>
      <c r="K3" s="9" t="s">
        <v>93</v>
      </c>
    </row>
    <row r="4" spans="2:20" ht="15.6" thickTop="1" thickBot="1" x14ac:dyDescent="0.35">
      <c r="B4" s="56" t="s">
        <v>1</v>
      </c>
      <c r="C4" s="48"/>
      <c r="D4" s="11" t="s">
        <v>6</v>
      </c>
      <c r="E4" s="12" t="s">
        <v>7</v>
      </c>
      <c r="F4" s="13" t="s">
        <v>8</v>
      </c>
      <c r="G4" s="12" t="s">
        <v>9</v>
      </c>
      <c r="H4" s="14" t="s">
        <v>10</v>
      </c>
      <c r="I4" s="15" t="s">
        <v>11</v>
      </c>
      <c r="J4" s="50"/>
      <c r="K4" s="9"/>
    </row>
    <row r="5" spans="2:20" ht="15" thickTop="1" x14ac:dyDescent="0.3">
      <c r="B5" s="54" t="s">
        <v>67</v>
      </c>
      <c r="C5" s="55"/>
      <c r="D5" s="11" t="s">
        <v>13</v>
      </c>
      <c r="E5" s="12" t="s">
        <v>14</v>
      </c>
      <c r="F5" s="13" t="s">
        <v>15</v>
      </c>
      <c r="G5" s="12" t="s">
        <v>16</v>
      </c>
      <c r="H5" s="14" t="s">
        <v>91</v>
      </c>
      <c r="I5" s="15" t="s">
        <v>18</v>
      </c>
      <c r="J5" s="50"/>
      <c r="K5" s="9"/>
    </row>
    <row r="6" spans="2:20" x14ac:dyDescent="0.3">
      <c r="B6" s="53" t="s">
        <v>12</v>
      </c>
      <c r="C6" s="17"/>
      <c r="D6" s="11" t="s">
        <v>19</v>
      </c>
      <c r="E6" s="12" t="s">
        <v>20</v>
      </c>
      <c r="F6" s="13" t="s">
        <v>21</v>
      </c>
      <c r="G6" s="12" t="s">
        <v>22</v>
      </c>
      <c r="H6" s="14" t="s">
        <v>23</v>
      </c>
      <c r="I6" s="15" t="s">
        <v>24</v>
      </c>
      <c r="J6" s="50"/>
      <c r="K6" s="9"/>
    </row>
    <row r="7" spans="2:20" x14ac:dyDescent="0.3">
      <c r="B7" s="172" t="s">
        <v>92</v>
      </c>
      <c r="C7" s="18"/>
      <c r="D7" s="11" t="s">
        <v>26</v>
      </c>
      <c r="E7" s="12" t="s">
        <v>27</v>
      </c>
      <c r="F7" s="11" t="s">
        <v>94</v>
      </c>
      <c r="G7" s="12" t="s">
        <v>76</v>
      </c>
      <c r="H7" s="19" t="s">
        <v>65</v>
      </c>
      <c r="I7" s="15" t="s">
        <v>63</v>
      </c>
      <c r="J7" s="50"/>
      <c r="K7" s="9"/>
    </row>
    <row r="8" spans="2:20" ht="15" thickBot="1" x14ac:dyDescent="0.35">
      <c r="B8" s="16" t="s">
        <v>25</v>
      </c>
      <c r="C8" s="41"/>
      <c r="D8" s="13" t="s">
        <v>82</v>
      </c>
      <c r="E8" s="12" t="s">
        <v>83</v>
      </c>
      <c r="F8" s="13" t="s">
        <v>89</v>
      </c>
      <c r="G8" s="12" t="s">
        <v>70</v>
      </c>
      <c r="H8" s="21" t="s">
        <v>66</v>
      </c>
      <c r="I8" s="15" t="s">
        <v>64</v>
      </c>
      <c r="J8" s="50"/>
      <c r="K8" s="9"/>
    </row>
    <row r="9" spans="2:20" ht="15.6" thickTop="1" thickBot="1" x14ac:dyDescent="0.35">
      <c r="B9" s="16" t="s">
        <v>30</v>
      </c>
      <c r="C9" s="58"/>
      <c r="D9" s="11" t="s">
        <v>34</v>
      </c>
      <c r="E9" s="12" t="s">
        <v>32</v>
      </c>
      <c r="F9" s="23" t="s">
        <v>35</v>
      </c>
      <c r="G9" s="12" t="s">
        <v>36</v>
      </c>
      <c r="H9" s="24" t="s">
        <v>37</v>
      </c>
      <c r="I9" s="25"/>
      <c r="J9" s="28"/>
      <c r="K9" s="31"/>
    </row>
    <row r="10" spans="2:20" ht="15" thickTop="1" x14ac:dyDescent="0.3">
      <c r="B10" s="59" t="s">
        <v>33</v>
      </c>
      <c r="C10" s="22"/>
      <c r="D10" s="11" t="s">
        <v>38</v>
      </c>
      <c r="E10" s="12" t="s">
        <v>39</v>
      </c>
      <c r="F10" s="26" t="s">
        <v>40</v>
      </c>
      <c r="G10" s="27" t="s">
        <v>41</v>
      </c>
      <c r="H10" s="24" t="s">
        <v>42</v>
      </c>
      <c r="I10" s="9"/>
      <c r="J10" s="52" t="s">
        <v>43</v>
      </c>
      <c r="K10" s="8"/>
    </row>
    <row r="11" spans="2:20" ht="15" thickBot="1" x14ac:dyDescent="0.35">
      <c r="B11" s="28"/>
      <c r="C11" s="29"/>
      <c r="D11" s="28" t="s">
        <v>44</v>
      </c>
      <c r="E11" s="30" t="s">
        <v>45</v>
      </c>
      <c r="F11" s="26" t="s">
        <v>46</v>
      </c>
      <c r="G11" s="30" t="s">
        <v>69</v>
      </c>
      <c r="H11" t="s">
        <v>59</v>
      </c>
      <c r="I11" s="30" t="s">
        <v>47</v>
      </c>
      <c r="J11" s="158"/>
      <c r="K11" s="31"/>
    </row>
    <row r="12" spans="2:20" ht="15.6" thickTop="1" thickBot="1" x14ac:dyDescent="0.35">
      <c r="B12" s="32" t="s">
        <v>48</v>
      </c>
      <c r="C12" s="33" t="s">
        <v>49</v>
      </c>
      <c r="D12" s="33" t="s">
        <v>50</v>
      </c>
      <c r="E12" s="33" t="s">
        <v>51</v>
      </c>
      <c r="F12" s="33" t="s">
        <v>52</v>
      </c>
      <c r="G12" s="33" t="s">
        <v>53</v>
      </c>
      <c r="H12" s="33" t="s">
        <v>54</v>
      </c>
      <c r="I12" s="33" t="s">
        <v>55</v>
      </c>
      <c r="J12" s="33" t="s">
        <v>56</v>
      </c>
      <c r="K12" s="33" t="s">
        <v>57</v>
      </c>
      <c r="N12" s="148"/>
      <c r="O12" s="148"/>
      <c r="P12" s="148"/>
      <c r="Q12" s="148"/>
      <c r="R12" s="148"/>
      <c r="S12" s="148"/>
      <c r="T12" s="148"/>
    </row>
    <row r="13" spans="2:20" ht="15" thickTop="1" x14ac:dyDescent="0.3">
      <c r="B13" s="34"/>
      <c r="C13" s="60"/>
      <c r="D13" s="35"/>
      <c r="E13" s="36"/>
      <c r="F13" s="35"/>
      <c r="G13" s="35"/>
      <c r="H13" s="35"/>
      <c r="I13" s="35"/>
      <c r="J13" s="35"/>
      <c r="K13" s="37"/>
      <c r="N13" s="148"/>
      <c r="O13" s="148"/>
      <c r="P13" s="148"/>
      <c r="Q13" s="148"/>
      <c r="R13" s="148"/>
      <c r="S13" s="148"/>
      <c r="T13" s="148"/>
    </row>
    <row r="14" spans="2:20" x14ac:dyDescent="0.3">
      <c r="B14" s="38"/>
      <c r="C14" s="61"/>
      <c r="D14" s="39"/>
      <c r="E14" s="40"/>
      <c r="F14" s="39"/>
      <c r="G14" s="39"/>
      <c r="H14" s="39"/>
      <c r="I14" s="39"/>
      <c r="J14" s="39"/>
      <c r="K14" s="41"/>
      <c r="N14" s="148"/>
      <c r="O14" s="148"/>
      <c r="P14" s="148"/>
      <c r="Q14" s="148"/>
      <c r="R14" s="148"/>
      <c r="S14" s="148"/>
      <c r="T14" s="148"/>
    </row>
    <row r="15" spans="2:20" x14ac:dyDescent="0.3">
      <c r="B15" s="38"/>
      <c r="C15" s="61"/>
      <c r="D15" s="39"/>
      <c r="E15" s="39"/>
      <c r="F15" s="39"/>
      <c r="G15" s="39"/>
      <c r="H15" s="39"/>
      <c r="I15" s="39"/>
      <c r="J15" s="39"/>
      <c r="K15" s="41"/>
      <c r="N15" s="148"/>
      <c r="O15" s="148"/>
      <c r="P15" s="148"/>
      <c r="Q15" s="148"/>
      <c r="R15" s="148"/>
      <c r="S15" s="148"/>
      <c r="T15" s="148"/>
    </row>
    <row r="16" spans="2:20" x14ac:dyDescent="0.3">
      <c r="B16" s="38"/>
      <c r="C16" s="61"/>
      <c r="D16" s="39"/>
      <c r="E16" s="39"/>
      <c r="F16" s="39"/>
      <c r="G16" s="39"/>
      <c r="H16" s="39"/>
      <c r="I16" s="39"/>
      <c r="J16" s="39"/>
      <c r="K16" s="41"/>
      <c r="N16" s="148"/>
      <c r="O16" s="148"/>
      <c r="P16" s="148"/>
      <c r="Q16" s="148"/>
      <c r="R16" s="148"/>
      <c r="S16" s="148"/>
      <c r="T16" s="148"/>
    </row>
    <row r="17" spans="2:20" x14ac:dyDescent="0.3">
      <c r="B17" s="38"/>
      <c r="C17" s="61"/>
      <c r="D17" s="39"/>
      <c r="E17" s="39"/>
      <c r="F17" s="39"/>
      <c r="G17" s="39"/>
      <c r="H17" s="39"/>
      <c r="I17" s="39"/>
      <c r="J17" s="39"/>
      <c r="K17" s="41"/>
      <c r="N17" s="148"/>
      <c r="O17" s="148"/>
      <c r="P17" s="148"/>
      <c r="Q17" s="148"/>
      <c r="R17" s="148"/>
      <c r="S17" s="148"/>
      <c r="T17" s="148"/>
    </row>
    <row r="18" spans="2:20" x14ac:dyDescent="0.3">
      <c r="B18" s="38"/>
      <c r="C18" s="61"/>
      <c r="D18" s="39"/>
      <c r="E18" s="39"/>
      <c r="F18" s="39"/>
      <c r="G18" s="39"/>
      <c r="H18" s="39"/>
      <c r="I18" s="39"/>
      <c r="J18" s="39"/>
      <c r="K18" s="41"/>
      <c r="N18" s="148"/>
      <c r="O18" s="148"/>
      <c r="P18" s="148"/>
      <c r="Q18" s="148"/>
      <c r="R18" s="148"/>
      <c r="S18" s="148"/>
      <c r="T18" s="148"/>
    </row>
    <row r="19" spans="2:20" x14ac:dyDescent="0.3">
      <c r="B19" s="38"/>
      <c r="C19" s="61"/>
      <c r="D19" s="39"/>
      <c r="E19" s="39"/>
      <c r="F19" s="39"/>
      <c r="G19" s="39"/>
      <c r="H19" s="39"/>
      <c r="I19" s="39"/>
      <c r="J19" s="39"/>
      <c r="K19" s="41"/>
      <c r="N19" s="148"/>
      <c r="O19" s="148"/>
      <c r="P19" s="148"/>
      <c r="Q19" s="148"/>
      <c r="R19" s="149"/>
      <c r="S19" s="148"/>
      <c r="T19" s="148"/>
    </row>
    <row r="20" spans="2:20" x14ac:dyDescent="0.3">
      <c r="B20" s="38"/>
      <c r="C20" s="61"/>
      <c r="D20" s="39"/>
      <c r="E20" s="39"/>
      <c r="F20" s="39"/>
      <c r="G20" s="39"/>
      <c r="H20" s="39"/>
      <c r="I20" s="39"/>
      <c r="J20" s="39"/>
      <c r="K20" s="41"/>
      <c r="N20" s="148"/>
      <c r="O20" s="148"/>
      <c r="P20" s="148"/>
      <c r="Q20" s="148"/>
      <c r="R20" s="148"/>
      <c r="S20" s="148"/>
      <c r="T20" s="148"/>
    </row>
    <row r="21" spans="2:20" x14ac:dyDescent="0.3">
      <c r="B21" s="38"/>
      <c r="C21" s="61"/>
      <c r="D21" s="39"/>
      <c r="E21" s="39"/>
      <c r="F21" s="39"/>
      <c r="G21" s="39"/>
      <c r="H21" s="39"/>
      <c r="I21" s="39"/>
      <c r="J21" s="39"/>
      <c r="K21" s="41"/>
      <c r="N21" s="148"/>
      <c r="O21" s="148"/>
      <c r="P21" s="148"/>
      <c r="Q21" s="148"/>
      <c r="R21" s="148"/>
      <c r="S21" s="148"/>
      <c r="T21" s="148"/>
    </row>
    <row r="22" spans="2:20" x14ac:dyDescent="0.3">
      <c r="B22" s="38"/>
      <c r="C22" s="61"/>
      <c r="D22" s="39"/>
      <c r="E22" s="39"/>
      <c r="F22" s="39"/>
      <c r="G22" s="39"/>
      <c r="H22" s="39"/>
      <c r="I22" s="39"/>
      <c r="J22" s="39"/>
      <c r="K22" s="41"/>
    </row>
    <row r="23" spans="2:20" x14ac:dyDescent="0.3">
      <c r="B23" s="38"/>
      <c r="C23" s="61"/>
      <c r="D23" s="39"/>
      <c r="E23" s="39"/>
      <c r="F23" s="39"/>
      <c r="G23" s="39"/>
      <c r="H23" s="39"/>
      <c r="I23" s="39"/>
      <c r="J23" s="39"/>
      <c r="K23" s="41"/>
    </row>
    <row r="24" spans="2:20" x14ac:dyDescent="0.3">
      <c r="B24" s="38"/>
      <c r="C24" s="61"/>
      <c r="D24" s="39"/>
      <c r="E24" s="39"/>
      <c r="F24" s="39"/>
      <c r="G24" s="39"/>
      <c r="H24" s="39"/>
      <c r="I24" s="39"/>
      <c r="J24" s="39"/>
      <c r="K24" s="41"/>
    </row>
    <row r="25" spans="2:20" x14ac:dyDescent="0.3">
      <c r="B25" s="38"/>
      <c r="C25" s="61"/>
      <c r="D25" s="39"/>
      <c r="E25" s="39"/>
      <c r="F25" s="39"/>
      <c r="G25" s="39"/>
      <c r="H25" s="39"/>
      <c r="I25" s="39"/>
      <c r="J25" s="39"/>
      <c r="K25" s="41"/>
    </row>
    <row r="26" spans="2:20" x14ac:dyDescent="0.3">
      <c r="B26" s="38"/>
      <c r="C26" s="61"/>
      <c r="D26" s="39"/>
      <c r="E26" s="39"/>
      <c r="F26" s="39"/>
      <c r="G26" s="39"/>
      <c r="H26" s="39"/>
      <c r="I26" s="39"/>
      <c r="J26" s="39"/>
      <c r="K26" s="41"/>
    </row>
    <row r="27" spans="2:20" x14ac:dyDescent="0.3">
      <c r="B27" s="38"/>
      <c r="C27" s="61"/>
      <c r="D27" s="39"/>
      <c r="E27" s="39"/>
      <c r="F27" s="39"/>
      <c r="G27" s="39"/>
      <c r="H27" s="39"/>
      <c r="I27" s="39"/>
      <c r="J27" s="39"/>
      <c r="K27" s="41"/>
    </row>
    <row r="28" spans="2:20" x14ac:dyDescent="0.3">
      <c r="B28" s="38"/>
      <c r="C28" s="61"/>
      <c r="D28" s="39"/>
      <c r="E28" s="39"/>
      <c r="F28" s="39"/>
      <c r="G28" s="39"/>
      <c r="H28" s="39"/>
      <c r="I28" s="39"/>
      <c r="J28" s="39"/>
      <c r="K28" s="41"/>
    </row>
    <row r="29" spans="2:20" x14ac:dyDescent="0.3">
      <c r="B29" s="38"/>
      <c r="C29" s="61"/>
      <c r="D29" s="39"/>
      <c r="E29" s="39"/>
      <c r="F29" s="39"/>
      <c r="G29" s="39"/>
      <c r="H29" s="39"/>
      <c r="I29" s="39"/>
      <c r="J29" s="39"/>
      <c r="K29" s="41"/>
    </row>
    <row r="30" spans="2:20" x14ac:dyDescent="0.3">
      <c r="B30" s="38"/>
      <c r="C30" s="61"/>
      <c r="D30" s="39"/>
      <c r="E30" s="39"/>
      <c r="F30" s="39"/>
      <c r="G30" s="39"/>
      <c r="H30" s="39"/>
      <c r="I30" s="39"/>
      <c r="J30" s="39"/>
      <c r="K30" s="41"/>
    </row>
    <row r="31" spans="2:20" x14ac:dyDescent="0.3">
      <c r="B31" s="38"/>
      <c r="C31" s="61"/>
      <c r="D31" s="39"/>
      <c r="E31" s="39"/>
      <c r="F31" s="39"/>
      <c r="G31" s="39"/>
      <c r="H31" s="39"/>
      <c r="I31" s="39"/>
      <c r="J31" s="39"/>
      <c r="K31" s="41"/>
    </row>
    <row r="32" spans="2:20" ht="15" thickBot="1" x14ac:dyDescent="0.35">
      <c r="B32" s="42"/>
      <c r="C32" s="62"/>
      <c r="D32" s="43"/>
      <c r="E32" s="43"/>
      <c r="F32" s="43"/>
      <c r="G32" s="43"/>
      <c r="H32" s="43"/>
      <c r="I32" s="43"/>
      <c r="J32" s="44"/>
      <c r="K32" s="20"/>
    </row>
    <row r="33" ht="15" thickTop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10" max="10" width="13.33203125" bestFit="1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116</v>
      </c>
      <c r="J1" s="46" t="s">
        <v>117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134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 t="s">
        <v>217</v>
      </c>
      <c r="C3" s="7" t="s">
        <v>2</v>
      </c>
      <c r="D3" s="8"/>
      <c r="E3" s="7" t="s">
        <v>3</v>
      </c>
      <c r="F3" s="9"/>
      <c r="G3" s="10" t="s">
        <v>4</v>
      </c>
      <c r="H3" s="8"/>
      <c r="I3" s="50" t="s">
        <v>98</v>
      </c>
      <c r="J3" s="9" t="s">
        <v>104</v>
      </c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0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68</v>
      </c>
      <c r="J4" s="9" t="s">
        <v>136</v>
      </c>
      <c r="K4" s="204" t="s">
        <v>177</v>
      </c>
      <c r="L4" s="204">
        <f>SUMIFS($A$11:$A$401,$B$11:$B$401,"CH",$F$11:$F$401,"2")</f>
        <v>1</v>
      </c>
      <c r="M4" s="204" t="s">
        <v>7</v>
      </c>
      <c r="N4" s="204">
        <f>SUMIFS($A$11:$A$401,$B$11:$B$401,"RT",$F$11:$F$401,"2")</f>
        <v>7</v>
      </c>
      <c r="O4" s="204" t="s">
        <v>14</v>
      </c>
    </row>
    <row r="5" spans="1:15" ht="15" thickTop="1" x14ac:dyDescent="0.3">
      <c r="A5" s="54" t="s">
        <v>67</v>
      </c>
      <c r="B5" s="55">
        <v>0.70138888888888884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/>
      <c r="J5" s="9"/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14</v>
      </c>
      <c r="O5" s="204" t="s">
        <v>14</v>
      </c>
    </row>
    <row r="6" spans="1:15" x14ac:dyDescent="0.3">
      <c r="A6" s="53" t="s">
        <v>12</v>
      </c>
      <c r="B6" s="161">
        <v>43698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/>
      <c r="J6" s="9"/>
      <c r="K6" s="204" t="s">
        <v>179</v>
      </c>
      <c r="L6" s="204">
        <f>SUMIFS($A$11:$A$401,$B$11:$B$401,"CH",$F$11:$F$401,"4")</f>
        <v>1</v>
      </c>
      <c r="M6" s="204" t="s">
        <v>7</v>
      </c>
      <c r="N6" s="204">
        <f>SUMIFS($A$11:$A$401,$B$11:$B$401,"RT",$F$11:$F$401,"4")</f>
        <v>14</v>
      </c>
      <c r="O6" s="204" t="s">
        <v>14</v>
      </c>
    </row>
    <row r="7" spans="1:15" x14ac:dyDescent="0.3">
      <c r="A7" s="47" t="s">
        <v>62</v>
      </c>
      <c r="B7" s="18"/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50"/>
      <c r="J7" s="9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6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/>
      <c r="J8" s="9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1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2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 t="s">
        <v>135</v>
      </c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50"/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145" t="s">
        <v>48</v>
      </c>
      <c r="B12" s="83" t="s">
        <v>49</v>
      </c>
      <c r="C12" s="83" t="s">
        <v>50</v>
      </c>
      <c r="D12" s="83" t="s">
        <v>51</v>
      </c>
      <c r="E12" s="83" t="s">
        <v>52</v>
      </c>
      <c r="F12" s="83" t="s">
        <v>53</v>
      </c>
      <c r="G12" s="83" t="s">
        <v>54</v>
      </c>
      <c r="H12" s="83" t="s">
        <v>55</v>
      </c>
      <c r="I12" s="83" t="s">
        <v>56</v>
      </c>
      <c r="J12" s="83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x14ac:dyDescent="0.3">
      <c r="A13" s="134">
        <v>0</v>
      </c>
      <c r="B13" s="137"/>
      <c r="C13" s="135"/>
      <c r="D13" s="190"/>
      <c r="E13" s="135"/>
      <c r="F13" s="135">
        <v>1</v>
      </c>
      <c r="G13" s="135" t="s">
        <v>22</v>
      </c>
      <c r="H13" s="135"/>
      <c r="I13" s="147">
        <v>0.70138888888888884</v>
      </c>
      <c r="J13" s="136" t="s">
        <v>115</v>
      </c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109">
        <v>6</v>
      </c>
      <c r="B14" s="61" t="s">
        <v>14</v>
      </c>
      <c r="C14" s="39">
        <v>40</v>
      </c>
      <c r="D14" s="128" t="s">
        <v>98</v>
      </c>
      <c r="E14" s="39">
        <v>1</v>
      </c>
      <c r="F14" s="35">
        <v>2</v>
      </c>
      <c r="G14" s="39" t="s">
        <v>41</v>
      </c>
      <c r="H14" s="39" t="s">
        <v>71</v>
      </c>
      <c r="I14" s="39"/>
      <c r="J14" s="110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1</v>
      </c>
      <c r="O14" s="204" t="s">
        <v>14</v>
      </c>
    </row>
    <row r="15" spans="1:15" x14ac:dyDescent="0.3">
      <c r="A15" s="109">
        <v>1</v>
      </c>
      <c r="B15" s="61" t="s">
        <v>7</v>
      </c>
      <c r="C15" s="39">
        <v>50</v>
      </c>
      <c r="D15" s="128" t="s">
        <v>98</v>
      </c>
      <c r="E15" s="39">
        <v>1</v>
      </c>
      <c r="F15" s="35">
        <v>2</v>
      </c>
      <c r="G15" s="39" t="s">
        <v>41</v>
      </c>
      <c r="H15" s="39" t="s">
        <v>71</v>
      </c>
      <c r="I15" s="39"/>
      <c r="J15" s="110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109">
        <v>1</v>
      </c>
      <c r="B16" s="61" t="s">
        <v>14</v>
      </c>
      <c r="C16" s="39">
        <v>120</v>
      </c>
      <c r="D16" s="128" t="s">
        <v>98</v>
      </c>
      <c r="E16" s="39">
        <v>1</v>
      </c>
      <c r="F16" s="35">
        <v>2</v>
      </c>
      <c r="G16" s="39" t="s">
        <v>41</v>
      </c>
      <c r="H16" s="39" t="s">
        <v>71</v>
      </c>
      <c r="I16" s="39"/>
      <c r="J16" s="110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109">
        <v>3</v>
      </c>
      <c r="B17" s="61" t="s">
        <v>14</v>
      </c>
      <c r="C17" s="39">
        <v>40</v>
      </c>
      <c r="D17" s="128" t="s">
        <v>98</v>
      </c>
      <c r="E17" s="39">
        <v>1</v>
      </c>
      <c r="F17" s="35">
        <v>3</v>
      </c>
      <c r="G17" s="39" t="s">
        <v>22</v>
      </c>
      <c r="H17" s="39" t="s">
        <v>71</v>
      </c>
      <c r="I17" s="39"/>
      <c r="J17" s="110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1</v>
      </c>
      <c r="B18" s="61" t="s">
        <v>14</v>
      </c>
      <c r="C18" s="39">
        <v>90</v>
      </c>
      <c r="D18" s="128" t="s">
        <v>98</v>
      </c>
      <c r="E18" s="39">
        <v>1</v>
      </c>
      <c r="F18" s="35">
        <v>3</v>
      </c>
      <c r="G18" s="39" t="s">
        <v>22</v>
      </c>
      <c r="H18" s="39" t="s">
        <v>71</v>
      </c>
      <c r="I18" s="39"/>
      <c r="J18" s="110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1</v>
      </c>
      <c r="B19" s="61" t="s">
        <v>14</v>
      </c>
      <c r="C19" s="39">
        <v>40</v>
      </c>
      <c r="D19" s="128" t="s">
        <v>98</v>
      </c>
      <c r="E19" s="39">
        <v>1</v>
      </c>
      <c r="F19" s="35">
        <v>3</v>
      </c>
      <c r="G19" s="39" t="s">
        <v>22</v>
      </c>
      <c r="H19" s="39" t="s">
        <v>71</v>
      </c>
      <c r="I19" s="39"/>
      <c r="J19" s="110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3</v>
      </c>
      <c r="B20" s="61" t="s">
        <v>14</v>
      </c>
      <c r="C20" s="39">
        <v>40</v>
      </c>
      <c r="D20" s="128" t="s">
        <v>98</v>
      </c>
      <c r="E20" s="39">
        <v>1</v>
      </c>
      <c r="F20" s="35">
        <v>3</v>
      </c>
      <c r="G20" s="39" t="s">
        <v>22</v>
      </c>
      <c r="H20" s="39" t="s">
        <v>71</v>
      </c>
      <c r="I20" s="39"/>
      <c r="J20" s="110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2</v>
      </c>
      <c r="B21" s="61" t="s">
        <v>14</v>
      </c>
      <c r="C21" s="39">
        <v>40</v>
      </c>
      <c r="D21" s="128" t="s">
        <v>98</v>
      </c>
      <c r="E21" s="39">
        <v>1</v>
      </c>
      <c r="F21" s="35">
        <v>3</v>
      </c>
      <c r="G21" s="39" t="s">
        <v>22</v>
      </c>
      <c r="H21" s="39" t="s">
        <v>71</v>
      </c>
      <c r="I21" s="39"/>
      <c r="J21" s="110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4</v>
      </c>
      <c r="B22" s="61" t="s">
        <v>14</v>
      </c>
      <c r="C22" s="39">
        <v>40</v>
      </c>
      <c r="D22" s="128" t="s">
        <v>98</v>
      </c>
      <c r="E22" s="39">
        <v>1</v>
      </c>
      <c r="F22" s="35">
        <v>3</v>
      </c>
      <c r="G22" s="39" t="s">
        <v>22</v>
      </c>
      <c r="H22" s="39" t="s">
        <v>71</v>
      </c>
      <c r="I22" s="39"/>
      <c r="J22" s="110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12</v>
      </c>
      <c r="B23" s="61" t="s">
        <v>14</v>
      </c>
      <c r="C23" s="39">
        <v>40</v>
      </c>
      <c r="D23" s="39" t="s">
        <v>98</v>
      </c>
      <c r="E23" s="39">
        <v>1</v>
      </c>
      <c r="F23" s="39">
        <v>4</v>
      </c>
      <c r="G23" s="39" t="s">
        <v>76</v>
      </c>
      <c r="H23" s="39" t="s">
        <v>71</v>
      </c>
      <c r="I23" s="39"/>
      <c r="J23" s="110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09">
        <v>1</v>
      </c>
      <c r="B24" s="61" t="s">
        <v>7</v>
      </c>
      <c r="C24" s="39">
        <v>60</v>
      </c>
      <c r="D24" s="39" t="s">
        <v>98</v>
      </c>
      <c r="E24" s="39">
        <v>1</v>
      </c>
      <c r="F24" s="39">
        <v>4</v>
      </c>
      <c r="G24" s="39" t="s">
        <v>76</v>
      </c>
      <c r="H24" s="39" t="s">
        <v>71</v>
      </c>
      <c r="I24" s="39"/>
      <c r="J24" s="110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109">
        <v>2</v>
      </c>
      <c r="B25" s="61" t="s">
        <v>14</v>
      </c>
      <c r="C25" s="39">
        <v>50</v>
      </c>
      <c r="D25" s="39" t="s">
        <v>98</v>
      </c>
      <c r="E25" s="39">
        <v>1</v>
      </c>
      <c r="F25" s="39">
        <v>4</v>
      </c>
      <c r="G25" s="39" t="s">
        <v>76</v>
      </c>
      <c r="H25" s="39" t="s">
        <v>71</v>
      </c>
      <c r="I25" s="39"/>
      <c r="J25" s="110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109">
        <v>0</v>
      </c>
      <c r="B26" s="61"/>
      <c r="C26" s="39"/>
      <c r="D26" s="39"/>
      <c r="E26" s="39"/>
      <c r="F26" s="39">
        <v>5</v>
      </c>
      <c r="G26" s="39" t="s">
        <v>22</v>
      </c>
      <c r="H26" s="39"/>
      <c r="I26" s="39"/>
      <c r="J26" s="110" t="s">
        <v>115</v>
      </c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109">
        <v>1</v>
      </c>
      <c r="B27" s="61" t="s">
        <v>14</v>
      </c>
      <c r="C27" s="39">
        <v>50</v>
      </c>
      <c r="D27" s="39" t="s">
        <v>98</v>
      </c>
      <c r="E27" s="39">
        <v>1</v>
      </c>
      <c r="F27" s="39">
        <v>6</v>
      </c>
      <c r="G27" s="39" t="s">
        <v>41</v>
      </c>
      <c r="H27" s="39" t="s">
        <v>80</v>
      </c>
      <c r="I27" s="39"/>
      <c r="J27" s="110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109">
        <v>2</v>
      </c>
      <c r="B28" s="61" t="s">
        <v>14</v>
      </c>
      <c r="C28" s="39">
        <v>40</v>
      </c>
      <c r="D28" s="39" t="s">
        <v>98</v>
      </c>
      <c r="E28" s="39">
        <v>1</v>
      </c>
      <c r="F28" s="39">
        <v>7</v>
      </c>
      <c r="G28" s="39" t="s">
        <v>41</v>
      </c>
      <c r="H28" s="39"/>
      <c r="I28" s="39"/>
      <c r="J28" s="110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109">
        <v>0</v>
      </c>
      <c r="B29" s="61"/>
      <c r="C29" s="39"/>
      <c r="D29" s="39"/>
      <c r="E29" s="39"/>
      <c r="F29" s="39">
        <v>8</v>
      </c>
      <c r="G29" s="39" t="s">
        <v>41</v>
      </c>
      <c r="H29" s="39"/>
      <c r="I29" s="39"/>
      <c r="J29" s="110" t="s">
        <v>115</v>
      </c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109">
        <v>0</v>
      </c>
      <c r="B30" s="61"/>
      <c r="C30" s="39"/>
      <c r="D30" s="39"/>
      <c r="E30" s="39"/>
      <c r="F30" s="39">
        <v>9</v>
      </c>
      <c r="G30" s="39" t="s">
        <v>70</v>
      </c>
      <c r="H30" s="39"/>
      <c r="I30" s="39"/>
      <c r="J30" s="110" t="s">
        <v>115</v>
      </c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109">
        <v>0</v>
      </c>
      <c r="B31" s="61"/>
      <c r="C31" s="39"/>
      <c r="D31" s="39"/>
      <c r="E31" s="39"/>
      <c r="F31" s="39">
        <v>10</v>
      </c>
      <c r="G31" s="39" t="s">
        <v>41</v>
      </c>
      <c r="H31" s="39"/>
      <c r="I31" s="39"/>
      <c r="J31" s="110" t="s">
        <v>115</v>
      </c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109">
        <v>0</v>
      </c>
      <c r="B32" s="61"/>
      <c r="C32" s="39"/>
      <c r="D32" s="39"/>
      <c r="E32" s="39"/>
      <c r="F32" s="39">
        <v>11</v>
      </c>
      <c r="G32" s="39" t="s">
        <v>22</v>
      </c>
      <c r="H32" s="39"/>
      <c r="I32" s="68"/>
      <c r="J32" s="110" t="s">
        <v>115</v>
      </c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109">
        <v>1</v>
      </c>
      <c r="B33" s="61" t="s">
        <v>14</v>
      </c>
      <c r="C33" s="39">
        <v>40</v>
      </c>
      <c r="D33" s="39" t="s">
        <v>68</v>
      </c>
      <c r="E33" s="39">
        <v>2</v>
      </c>
      <c r="F33" s="61">
        <v>12</v>
      </c>
      <c r="G33" s="69" t="s">
        <v>70</v>
      </c>
      <c r="H33" s="69" t="s">
        <v>71</v>
      </c>
      <c r="I33" s="69"/>
      <c r="J33" s="116"/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x14ac:dyDescent="0.3">
      <c r="A34" s="109">
        <v>0</v>
      </c>
      <c r="B34" s="61"/>
      <c r="C34" s="39"/>
      <c r="D34" s="39"/>
      <c r="E34" s="39"/>
      <c r="F34" s="61">
        <v>13</v>
      </c>
      <c r="G34" s="69" t="s">
        <v>41</v>
      </c>
      <c r="H34" s="69"/>
      <c r="I34" s="69"/>
      <c r="J34" s="116" t="s">
        <v>115</v>
      </c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A35" s="109">
        <v>0</v>
      </c>
      <c r="B35" s="61"/>
      <c r="C35" s="39"/>
      <c r="D35" s="39"/>
      <c r="E35" s="39"/>
      <c r="F35" s="61">
        <v>14</v>
      </c>
      <c r="G35" s="69" t="s">
        <v>111</v>
      </c>
      <c r="H35" s="69"/>
      <c r="I35" s="69"/>
      <c r="J35" s="116" t="s">
        <v>115</v>
      </c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A36" s="109">
        <v>0</v>
      </c>
      <c r="B36" s="61"/>
      <c r="C36" s="39"/>
      <c r="D36" s="39"/>
      <c r="E36" s="39"/>
      <c r="F36" s="61">
        <v>15</v>
      </c>
      <c r="G36" s="69" t="s">
        <v>22</v>
      </c>
      <c r="H36" s="69"/>
      <c r="I36" s="69"/>
      <c r="J36" s="116" t="s">
        <v>115</v>
      </c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A37" s="109">
        <v>0</v>
      </c>
      <c r="B37" s="61"/>
      <c r="C37" s="39"/>
      <c r="D37" s="39"/>
      <c r="E37" s="39"/>
      <c r="F37" s="61">
        <v>16</v>
      </c>
      <c r="G37" s="69" t="s">
        <v>41</v>
      </c>
      <c r="H37" s="69"/>
      <c r="I37" s="69"/>
      <c r="J37" s="116" t="s">
        <v>115</v>
      </c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x14ac:dyDescent="0.3">
      <c r="A38" s="109">
        <v>0</v>
      </c>
      <c r="B38" s="61"/>
      <c r="C38" s="39"/>
      <c r="D38" s="39"/>
      <c r="E38" s="39"/>
      <c r="F38" s="61">
        <v>17</v>
      </c>
      <c r="G38" s="69" t="s">
        <v>137</v>
      </c>
      <c r="H38" s="69"/>
      <c r="I38" s="69"/>
      <c r="J38" s="116" t="s">
        <v>115</v>
      </c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ht="15" thickBot="1" x14ac:dyDescent="0.35">
      <c r="A39" s="124">
        <v>0</v>
      </c>
      <c r="B39" s="71"/>
      <c r="C39" s="78"/>
      <c r="D39" s="78"/>
      <c r="E39" s="78"/>
      <c r="F39" s="71">
        <v>18</v>
      </c>
      <c r="G39" s="72"/>
      <c r="H39" s="72"/>
      <c r="I39" s="191">
        <v>0.74305555555555547</v>
      </c>
      <c r="J39" s="116" t="s">
        <v>115</v>
      </c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x14ac:dyDescent="0.3"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K45" s="204" t="s">
        <v>222</v>
      </c>
      <c r="L45" s="204">
        <f>SUM(L3:L44)</f>
        <v>2</v>
      </c>
      <c r="M45" s="204" t="s">
        <v>7</v>
      </c>
      <c r="N45" s="204">
        <f>SUM(N3:N44)</f>
        <v>39</v>
      </c>
      <c r="O45" s="204" t="s">
        <v>14</v>
      </c>
    </row>
    <row r="46" spans="1:15" x14ac:dyDescent="0.3">
      <c r="K46" s="204"/>
      <c r="L46" s="204"/>
      <c r="M46" s="204"/>
      <c r="N46" s="204"/>
    </row>
    <row r="47" spans="1:15" x14ac:dyDescent="0.3">
      <c r="K47" s="204"/>
      <c r="N47" s="204"/>
    </row>
    <row r="48" spans="1:15" x14ac:dyDescent="0.3"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44140625" bestFit="1" customWidth="1"/>
    <col min="5" max="5" width="12.88671875" customWidth="1"/>
    <col min="6" max="6" width="7.44140625" customWidth="1"/>
    <col min="7" max="7" width="14.6640625" bestFit="1" customWidth="1"/>
    <col min="8" max="8" width="10.88671875" bestFit="1" customWidth="1"/>
    <col min="9" max="9" width="9.88671875" customWidth="1"/>
    <col min="10" max="10" width="10.5546875" bestFit="1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116</v>
      </c>
      <c r="J1" s="46" t="s">
        <v>117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68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>
        <v>213</v>
      </c>
      <c r="C3" s="7" t="s">
        <v>2</v>
      </c>
      <c r="D3" s="8"/>
      <c r="E3" s="7" t="s">
        <v>3</v>
      </c>
      <c r="F3" s="9"/>
      <c r="G3" s="10" t="s">
        <v>4</v>
      </c>
      <c r="H3" s="8"/>
      <c r="I3" s="50" t="s">
        <v>109</v>
      </c>
      <c r="J3" s="9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1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98</v>
      </c>
      <c r="J4" s="9"/>
      <c r="K4" s="204" t="s">
        <v>177</v>
      </c>
      <c r="L4" s="204">
        <f>SUMIFS($A$11:$A$401,$B$11:$B$401,"CH",$F$11:$F$401,"2")</f>
        <v>3</v>
      </c>
      <c r="M4" s="204" t="s">
        <v>7</v>
      </c>
      <c r="N4" s="204">
        <f>SUMIFS($A$11:$A$401,$B$11:$B$401,"RT",$F$11:$F$401,"2")</f>
        <v>1</v>
      </c>
      <c r="O4" s="204" t="s">
        <v>14</v>
      </c>
    </row>
    <row r="5" spans="1:15" ht="15" thickTop="1" x14ac:dyDescent="0.3">
      <c r="A5" s="54" t="s">
        <v>67</v>
      </c>
      <c r="B5" s="55">
        <v>0.64583333333333337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 t="s">
        <v>99</v>
      </c>
      <c r="J5" s="9"/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53" t="s">
        <v>12</v>
      </c>
      <c r="B6" s="161">
        <v>43690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 t="s">
        <v>128</v>
      </c>
      <c r="J6" s="9"/>
      <c r="K6" s="204" t="s">
        <v>179</v>
      </c>
      <c r="L6" s="204">
        <f>SUMIFS($A$11:$A$401,$B$11:$B$401,"CH",$F$11:$F$401,"4")</f>
        <v>2</v>
      </c>
      <c r="M6" s="204" t="s">
        <v>7</v>
      </c>
      <c r="N6" s="204">
        <f>SUMIFS($A$11:$A$401,$B$11:$B$401,"RT",$F$11:$F$401,"4")</f>
        <v>2</v>
      </c>
      <c r="O6" s="204" t="s">
        <v>14</v>
      </c>
    </row>
    <row r="7" spans="1:15" x14ac:dyDescent="0.3">
      <c r="A7" s="47" t="s">
        <v>62</v>
      </c>
      <c r="B7" s="18">
        <v>15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50" t="s">
        <v>58</v>
      </c>
      <c r="J7" s="9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2</v>
      </c>
      <c r="O7" s="204" t="s">
        <v>14</v>
      </c>
    </row>
    <row r="8" spans="1:15" ht="15" thickBot="1" x14ac:dyDescent="0.35">
      <c r="A8" s="16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/>
      <c r="J8" s="9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0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 t="s">
        <v>107</v>
      </c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50"/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145" t="s">
        <v>48</v>
      </c>
      <c r="B12" s="83" t="s">
        <v>49</v>
      </c>
      <c r="C12" s="83" t="s">
        <v>50</v>
      </c>
      <c r="D12" s="83" t="s">
        <v>51</v>
      </c>
      <c r="E12" s="83" t="s">
        <v>52</v>
      </c>
      <c r="F12" s="83" t="s">
        <v>53</v>
      </c>
      <c r="G12" s="83" t="s">
        <v>54</v>
      </c>
      <c r="H12" s="83" t="s">
        <v>55</v>
      </c>
      <c r="I12" s="83" t="s">
        <v>56</v>
      </c>
      <c r="J12" s="83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x14ac:dyDescent="0.3">
      <c r="A13" s="134">
        <v>1</v>
      </c>
      <c r="B13" s="137" t="s">
        <v>32</v>
      </c>
      <c r="C13" s="135">
        <v>80</v>
      </c>
      <c r="D13" s="190" t="s">
        <v>72</v>
      </c>
      <c r="E13" s="135">
        <v>4</v>
      </c>
      <c r="F13" s="135">
        <v>1</v>
      </c>
      <c r="G13" s="135" t="s">
        <v>22</v>
      </c>
      <c r="H13" s="135" t="s">
        <v>71</v>
      </c>
      <c r="I13" s="147">
        <v>0.64583333333333337</v>
      </c>
      <c r="J13" s="136" t="s">
        <v>9</v>
      </c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109">
        <v>1</v>
      </c>
      <c r="B14" s="61" t="s">
        <v>32</v>
      </c>
      <c r="C14" s="39">
        <v>60</v>
      </c>
      <c r="D14" s="39" t="s">
        <v>98</v>
      </c>
      <c r="E14" s="39">
        <v>2</v>
      </c>
      <c r="F14" s="39">
        <v>1</v>
      </c>
      <c r="G14" s="39" t="s">
        <v>22</v>
      </c>
      <c r="H14" s="39" t="s">
        <v>71</v>
      </c>
      <c r="I14" s="39"/>
      <c r="J14" s="110" t="s">
        <v>9</v>
      </c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109">
        <v>1</v>
      </c>
      <c r="B15" s="61" t="s">
        <v>14</v>
      </c>
      <c r="C15" s="39">
        <v>30</v>
      </c>
      <c r="D15" s="39" t="s">
        <v>105</v>
      </c>
      <c r="E15" s="39" t="s">
        <v>124</v>
      </c>
      <c r="F15" s="39">
        <v>1</v>
      </c>
      <c r="G15" s="39" t="s">
        <v>22</v>
      </c>
      <c r="H15" s="39" t="s">
        <v>71</v>
      </c>
      <c r="I15" s="39"/>
      <c r="J15" s="110" t="s">
        <v>9</v>
      </c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109">
        <v>1</v>
      </c>
      <c r="B16" s="61" t="s">
        <v>32</v>
      </c>
      <c r="C16" s="39">
        <v>50</v>
      </c>
      <c r="D16" s="39" t="s">
        <v>58</v>
      </c>
      <c r="E16" s="39">
        <v>5</v>
      </c>
      <c r="F16" s="39">
        <v>1</v>
      </c>
      <c r="G16" s="39" t="s">
        <v>22</v>
      </c>
      <c r="H16" s="39" t="s">
        <v>71</v>
      </c>
      <c r="I16" s="39"/>
      <c r="J16" s="110" t="s">
        <v>9</v>
      </c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109">
        <v>1</v>
      </c>
      <c r="B17" s="61" t="s">
        <v>27</v>
      </c>
      <c r="C17" s="39">
        <v>50</v>
      </c>
      <c r="D17" s="39" t="s">
        <v>58</v>
      </c>
      <c r="E17" s="39">
        <v>5</v>
      </c>
      <c r="F17" s="39">
        <v>1</v>
      </c>
      <c r="G17" s="39" t="s">
        <v>22</v>
      </c>
      <c r="H17" s="39" t="s">
        <v>11</v>
      </c>
      <c r="I17" s="39"/>
      <c r="J17" s="110" t="s">
        <v>9</v>
      </c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3</v>
      </c>
      <c r="B18" s="61" t="s">
        <v>7</v>
      </c>
      <c r="C18" s="39">
        <v>50</v>
      </c>
      <c r="D18" s="39" t="s">
        <v>58</v>
      </c>
      <c r="E18" s="39">
        <v>5</v>
      </c>
      <c r="F18" s="39">
        <v>2</v>
      </c>
      <c r="G18" s="39" t="s">
        <v>41</v>
      </c>
      <c r="H18" s="39" t="s">
        <v>11</v>
      </c>
      <c r="I18" s="126">
        <v>0.67361111111111116</v>
      </c>
      <c r="J18" s="110" t="s">
        <v>9</v>
      </c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1</v>
      </c>
      <c r="B19" s="61" t="s">
        <v>14</v>
      </c>
      <c r="C19" s="39">
        <v>300</v>
      </c>
      <c r="D19" s="39" t="s">
        <v>129</v>
      </c>
      <c r="E19" s="39">
        <v>3</v>
      </c>
      <c r="F19" s="39">
        <v>2</v>
      </c>
      <c r="G19" s="39" t="s">
        <v>41</v>
      </c>
      <c r="H19" s="39" t="s">
        <v>71</v>
      </c>
      <c r="I19" s="39"/>
      <c r="J19" s="110" t="s">
        <v>9</v>
      </c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20</v>
      </c>
      <c r="B20" s="61" t="s">
        <v>83</v>
      </c>
      <c r="C20" s="39">
        <v>100</v>
      </c>
      <c r="D20" s="39" t="s">
        <v>72</v>
      </c>
      <c r="E20" s="39">
        <v>4</v>
      </c>
      <c r="F20" s="39">
        <v>2</v>
      </c>
      <c r="G20" s="39" t="s">
        <v>41</v>
      </c>
      <c r="H20" s="39" t="s">
        <v>71</v>
      </c>
      <c r="I20" s="39"/>
      <c r="J20" s="110" t="s">
        <v>9</v>
      </c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1</v>
      </c>
      <c r="B21" s="61" t="s">
        <v>45</v>
      </c>
      <c r="C21" s="39">
        <v>20</v>
      </c>
      <c r="D21" s="39" t="s">
        <v>105</v>
      </c>
      <c r="E21" s="39" t="s">
        <v>124</v>
      </c>
      <c r="F21" s="39">
        <v>3</v>
      </c>
      <c r="G21" s="39" t="s">
        <v>111</v>
      </c>
      <c r="H21" s="39" t="s">
        <v>71</v>
      </c>
      <c r="I21" s="39"/>
      <c r="J21" s="110" t="s">
        <v>79</v>
      </c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1</v>
      </c>
      <c r="B22" s="61" t="s">
        <v>83</v>
      </c>
      <c r="C22" s="39">
        <v>350</v>
      </c>
      <c r="D22" s="39" t="s">
        <v>72</v>
      </c>
      <c r="E22" s="39">
        <v>5</v>
      </c>
      <c r="F22" s="39">
        <v>4</v>
      </c>
      <c r="G22" s="39" t="s">
        <v>111</v>
      </c>
      <c r="H22" s="39" t="s">
        <v>71</v>
      </c>
      <c r="I22" s="39"/>
      <c r="J22" s="110" t="s">
        <v>9</v>
      </c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1</v>
      </c>
      <c r="B23" s="61" t="s">
        <v>14</v>
      </c>
      <c r="C23" s="39">
        <v>500</v>
      </c>
      <c r="D23" s="39" t="s">
        <v>129</v>
      </c>
      <c r="E23" s="39">
        <v>3</v>
      </c>
      <c r="F23" s="39">
        <v>4</v>
      </c>
      <c r="G23" s="39" t="s">
        <v>111</v>
      </c>
      <c r="H23" s="39" t="s">
        <v>71</v>
      </c>
      <c r="I23" s="39"/>
      <c r="J23" s="110" t="s">
        <v>9</v>
      </c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09">
        <v>1</v>
      </c>
      <c r="B24" s="61" t="s">
        <v>7</v>
      </c>
      <c r="C24" s="39">
        <v>50</v>
      </c>
      <c r="D24" s="39" t="s">
        <v>72</v>
      </c>
      <c r="E24" s="39">
        <v>5</v>
      </c>
      <c r="F24" s="39">
        <v>4</v>
      </c>
      <c r="G24" s="39" t="s">
        <v>111</v>
      </c>
      <c r="H24" s="39" t="s">
        <v>125</v>
      </c>
      <c r="I24" s="39"/>
      <c r="J24" s="110" t="s">
        <v>9</v>
      </c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109">
        <v>1</v>
      </c>
      <c r="B25" s="61" t="s">
        <v>14</v>
      </c>
      <c r="C25" s="39">
        <v>30</v>
      </c>
      <c r="D25" s="39" t="s">
        <v>130</v>
      </c>
      <c r="E25" s="39" t="s">
        <v>124</v>
      </c>
      <c r="F25" s="39">
        <v>4</v>
      </c>
      <c r="G25" s="39" t="s">
        <v>111</v>
      </c>
      <c r="H25" s="39" t="s">
        <v>80</v>
      </c>
      <c r="I25" s="39"/>
      <c r="J25" s="110" t="s">
        <v>79</v>
      </c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109">
        <v>1</v>
      </c>
      <c r="B26" s="61" t="s">
        <v>7</v>
      </c>
      <c r="C26" s="39">
        <v>25</v>
      </c>
      <c r="D26" s="39" t="s">
        <v>105</v>
      </c>
      <c r="E26" s="39" t="s">
        <v>124</v>
      </c>
      <c r="F26" s="39">
        <v>4</v>
      </c>
      <c r="G26" s="39" t="s">
        <v>111</v>
      </c>
      <c r="H26" s="39" t="s">
        <v>80</v>
      </c>
      <c r="I26" s="39"/>
      <c r="J26" s="110" t="s">
        <v>79</v>
      </c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109">
        <v>2</v>
      </c>
      <c r="B27" s="61" t="s">
        <v>14</v>
      </c>
      <c r="C27" s="39">
        <v>500</v>
      </c>
      <c r="D27" s="39" t="s">
        <v>99</v>
      </c>
      <c r="E27" s="39">
        <v>2</v>
      </c>
      <c r="F27" s="39">
        <v>5</v>
      </c>
      <c r="G27" s="39" t="s">
        <v>22</v>
      </c>
      <c r="H27" s="39" t="s">
        <v>71</v>
      </c>
      <c r="I27" s="39"/>
      <c r="J27" s="110" t="s">
        <v>9</v>
      </c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109">
        <v>4</v>
      </c>
      <c r="B28" s="61" t="s">
        <v>83</v>
      </c>
      <c r="C28" s="39">
        <v>300</v>
      </c>
      <c r="D28" s="39" t="s">
        <v>99</v>
      </c>
      <c r="E28" s="39">
        <v>2</v>
      </c>
      <c r="F28" s="39">
        <v>5</v>
      </c>
      <c r="G28" s="39" t="s">
        <v>22</v>
      </c>
      <c r="H28" s="39" t="s">
        <v>71</v>
      </c>
      <c r="I28" s="39"/>
      <c r="J28" s="110" t="s">
        <v>9</v>
      </c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109">
        <v>6</v>
      </c>
      <c r="B29" s="61" t="s">
        <v>83</v>
      </c>
      <c r="C29" s="39">
        <v>400</v>
      </c>
      <c r="D29" s="39" t="s">
        <v>129</v>
      </c>
      <c r="E29" s="39">
        <v>3</v>
      </c>
      <c r="F29" s="39">
        <v>5</v>
      </c>
      <c r="G29" s="39" t="s">
        <v>22</v>
      </c>
      <c r="H29" s="39" t="s">
        <v>71</v>
      </c>
      <c r="I29" s="39"/>
      <c r="J29" s="110" t="s">
        <v>9</v>
      </c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109">
        <v>10</v>
      </c>
      <c r="B30" s="61" t="s">
        <v>83</v>
      </c>
      <c r="C30" s="39">
        <v>250</v>
      </c>
      <c r="D30" s="39" t="s">
        <v>99</v>
      </c>
      <c r="E30" s="39">
        <v>2</v>
      </c>
      <c r="F30" s="39">
        <v>5</v>
      </c>
      <c r="G30" s="39" t="s">
        <v>22</v>
      </c>
      <c r="H30" s="39" t="s">
        <v>71</v>
      </c>
      <c r="I30" s="68"/>
      <c r="J30" s="110" t="s">
        <v>9</v>
      </c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111">
        <v>1</v>
      </c>
      <c r="B31" s="69" t="s">
        <v>45</v>
      </c>
      <c r="C31" s="69">
        <v>60</v>
      </c>
      <c r="D31" s="69" t="s">
        <v>98</v>
      </c>
      <c r="E31" s="69">
        <v>1</v>
      </c>
      <c r="F31" s="69">
        <v>6</v>
      </c>
      <c r="G31" s="69" t="s">
        <v>156</v>
      </c>
      <c r="H31" s="69" t="s">
        <v>125</v>
      </c>
      <c r="I31" s="69"/>
      <c r="J31" s="116" t="s">
        <v>9</v>
      </c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111">
        <v>0</v>
      </c>
      <c r="B32" s="69"/>
      <c r="C32" s="69"/>
      <c r="D32" s="69"/>
      <c r="E32" s="69"/>
      <c r="F32" s="69">
        <v>7</v>
      </c>
      <c r="G32" s="69" t="s">
        <v>22</v>
      </c>
      <c r="H32" s="39"/>
      <c r="I32" s="69"/>
      <c r="J32" s="116"/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111">
        <v>0</v>
      </c>
      <c r="B33" s="69"/>
      <c r="C33" s="69"/>
      <c r="D33" s="69"/>
      <c r="E33" s="69"/>
      <c r="F33" s="69">
        <v>8</v>
      </c>
      <c r="G33" s="69" t="s">
        <v>111</v>
      </c>
      <c r="H33" s="80"/>
      <c r="I33" s="69"/>
      <c r="J33" s="116"/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ht="15" thickBot="1" x14ac:dyDescent="0.35">
      <c r="A34" s="113">
        <v>0</v>
      </c>
      <c r="B34" s="72"/>
      <c r="C34" s="72"/>
      <c r="D34" s="72"/>
      <c r="E34" s="72"/>
      <c r="F34" s="72">
        <v>9</v>
      </c>
      <c r="G34" s="72" t="s">
        <v>41</v>
      </c>
      <c r="H34" s="133"/>
      <c r="I34" s="191">
        <v>0.75</v>
      </c>
      <c r="J34" s="117"/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x14ac:dyDescent="0.3"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x14ac:dyDescent="0.3"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x14ac:dyDescent="0.3"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K45" s="204" t="s">
        <v>222</v>
      </c>
      <c r="L45" s="204">
        <f>SUM(L3:L44)</f>
        <v>5</v>
      </c>
      <c r="M45" s="204" t="s">
        <v>7</v>
      </c>
      <c r="N45" s="204">
        <f>SUM(N3:N44)</f>
        <v>6</v>
      </c>
      <c r="O45" s="204" t="s">
        <v>14</v>
      </c>
    </row>
    <row r="46" spans="1:15" x14ac:dyDescent="0.3">
      <c r="K46" s="204"/>
      <c r="L46" s="204"/>
      <c r="M46" s="204"/>
      <c r="N46" s="204"/>
    </row>
    <row r="47" spans="1:15" x14ac:dyDescent="0.3">
      <c r="K47" s="204"/>
      <c r="N47" s="204"/>
    </row>
    <row r="48" spans="1:15" x14ac:dyDescent="0.3"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10" max="10" width="12.6640625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88" t="s">
        <v>159</v>
      </c>
      <c r="J1" s="154" t="s">
        <v>117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72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>
        <v>323</v>
      </c>
      <c r="C3" s="7" t="s">
        <v>2</v>
      </c>
      <c r="D3" s="8"/>
      <c r="E3" s="7" t="s">
        <v>3</v>
      </c>
      <c r="F3" s="9"/>
      <c r="G3" s="10" t="s">
        <v>4</v>
      </c>
      <c r="H3" s="8"/>
      <c r="J3" s="9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0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98</v>
      </c>
      <c r="J4" s="9">
        <v>1</v>
      </c>
      <c r="K4" s="204" t="s">
        <v>177</v>
      </c>
      <c r="L4" s="204">
        <f>SUMIFS($A$11:$A$401,$B$11:$B$401,"CH",$F$11:$F$401,"2")</f>
        <v>1</v>
      </c>
      <c r="M4" s="204" t="s">
        <v>7</v>
      </c>
      <c r="N4" s="204">
        <f>SUMIFS($A$11:$A$401,$B$11:$B$401,"RT",$F$11:$F$401,"2")</f>
        <v>3</v>
      </c>
      <c r="O4" s="204" t="s">
        <v>14</v>
      </c>
    </row>
    <row r="5" spans="1:15" ht="15" thickTop="1" x14ac:dyDescent="0.3">
      <c r="A5" s="54" t="s">
        <v>67</v>
      </c>
      <c r="B5" s="55">
        <v>0.61111111111111105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 t="s">
        <v>58</v>
      </c>
      <c r="J5" s="9">
        <v>2</v>
      </c>
      <c r="K5" s="204" t="s">
        <v>178</v>
      </c>
      <c r="L5" s="204">
        <f>SUMIFS($A$11:$A$401,$B$11:$B$401,"CH",$F$11:$F$401,"3")</f>
        <v>2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53" t="s">
        <v>12</v>
      </c>
      <c r="B6" s="161">
        <v>43698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 t="s">
        <v>68</v>
      </c>
      <c r="J6" s="9">
        <v>3</v>
      </c>
      <c r="K6" s="204" t="s">
        <v>179</v>
      </c>
      <c r="L6" s="204">
        <f>SUMIFS($A$11:$A$401,$B$11:$B$401,"CH",$F$11:$F$401,"4")</f>
        <v>1</v>
      </c>
      <c r="M6" s="204" t="s">
        <v>7</v>
      </c>
      <c r="N6" s="204">
        <f>SUMIFS($A$11:$A$401,$B$11:$B$401,"RT",$F$11:$F$401,"4")</f>
        <v>2</v>
      </c>
      <c r="O6" s="204" t="s">
        <v>14</v>
      </c>
    </row>
    <row r="7" spans="1:15" x14ac:dyDescent="0.3">
      <c r="A7" s="47" t="s">
        <v>62</v>
      </c>
      <c r="B7" s="18">
        <v>14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50" t="s">
        <v>99</v>
      </c>
      <c r="J7" s="9">
        <v>4</v>
      </c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6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 t="s">
        <v>109</v>
      </c>
      <c r="J8" s="9">
        <v>5</v>
      </c>
      <c r="K8" s="204" t="s">
        <v>181</v>
      </c>
      <c r="L8" s="204">
        <f>SUMIFS($A$11:$A$401,$B$11:$B$401,"CH",$F$11:$F$401,"6")</f>
        <v>1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5</v>
      </c>
      <c r="M9" s="204" t="s">
        <v>7</v>
      </c>
      <c r="N9" s="204">
        <f>SUMIFS($A$11:$A$401,$B$11:$B$401,"RT",$F$11:$F$401,"7")</f>
        <v>7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 t="s">
        <v>107</v>
      </c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11"/>
      <c r="B11" s="22"/>
      <c r="C11" s="11" t="s">
        <v>44</v>
      </c>
      <c r="D11" s="12" t="s">
        <v>45</v>
      </c>
      <c r="E11" s="26" t="s">
        <v>46</v>
      </c>
      <c r="F11" s="12" t="s">
        <v>69</v>
      </c>
      <c r="G11" t="s">
        <v>59</v>
      </c>
      <c r="H11" s="12" t="s">
        <v>47</v>
      </c>
      <c r="I11" s="50"/>
      <c r="J11" s="8" t="s">
        <v>157</v>
      </c>
      <c r="K11" s="204" t="s">
        <v>184</v>
      </c>
      <c r="L11" s="204">
        <f>SUMIFS($A$11:$A$401,$B$11:$B$401,"CH",$F$11:$F$401,"9")</f>
        <v>6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" thickBot="1" x14ac:dyDescent="0.35">
      <c r="A12" s="196" t="s">
        <v>48</v>
      </c>
      <c r="B12" s="197" t="s">
        <v>49</v>
      </c>
      <c r="C12" s="197" t="s">
        <v>50</v>
      </c>
      <c r="D12" s="197" t="s">
        <v>51</v>
      </c>
      <c r="E12" s="197" t="s">
        <v>52</v>
      </c>
      <c r="F12" s="197" t="s">
        <v>53</v>
      </c>
      <c r="G12" s="197" t="s">
        <v>54</v>
      </c>
      <c r="H12" s="197" t="s">
        <v>55</v>
      </c>
      <c r="I12" s="197" t="s">
        <v>56</v>
      </c>
      <c r="J12" s="198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5</v>
      </c>
      <c r="O12" s="204" t="s">
        <v>14</v>
      </c>
    </row>
    <row r="13" spans="1:15" x14ac:dyDescent="0.3">
      <c r="A13" s="134">
        <v>0</v>
      </c>
      <c r="B13" s="137"/>
      <c r="C13" s="135"/>
      <c r="D13" s="190"/>
      <c r="E13" s="135"/>
      <c r="F13" s="135">
        <v>1</v>
      </c>
      <c r="G13" s="135" t="s">
        <v>111</v>
      </c>
      <c r="H13" s="135"/>
      <c r="I13" s="147">
        <v>0.59722222222222221</v>
      </c>
      <c r="J13" s="136" t="s">
        <v>115</v>
      </c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16</v>
      </c>
      <c r="O13" s="204" t="s">
        <v>14</v>
      </c>
    </row>
    <row r="14" spans="1:15" x14ac:dyDescent="0.3">
      <c r="A14" s="109">
        <v>3</v>
      </c>
      <c r="B14" s="61" t="s">
        <v>14</v>
      </c>
      <c r="C14" s="39">
        <v>30</v>
      </c>
      <c r="D14" s="82" t="s">
        <v>109</v>
      </c>
      <c r="E14" s="39">
        <v>4</v>
      </c>
      <c r="F14" s="39">
        <v>2</v>
      </c>
      <c r="G14" s="39" t="s">
        <v>22</v>
      </c>
      <c r="H14" s="39" t="s">
        <v>11</v>
      </c>
      <c r="I14" s="39"/>
      <c r="J14" s="110" t="s">
        <v>80</v>
      </c>
      <c r="K14" s="204" t="s">
        <v>187</v>
      </c>
      <c r="L14" s="204">
        <f>SUMIFS($A$11:$A$401,$B$11:$B$401,"CH",$F$11:$F$401,"12")</f>
        <v>35</v>
      </c>
      <c r="M14" s="204" t="s">
        <v>7</v>
      </c>
      <c r="N14" s="204">
        <f>SUMIFS($A$11:$A$401,$B$11:$B$401,"RT",$F$11:$F$401,"12")</f>
        <v>2</v>
      </c>
      <c r="O14" s="204" t="s">
        <v>14</v>
      </c>
    </row>
    <row r="15" spans="1:15" x14ac:dyDescent="0.3">
      <c r="A15" s="109">
        <v>1</v>
      </c>
      <c r="B15" s="61" t="s">
        <v>7</v>
      </c>
      <c r="C15" s="39">
        <v>90</v>
      </c>
      <c r="D15" s="82" t="s">
        <v>98</v>
      </c>
      <c r="E15" s="39">
        <v>1</v>
      </c>
      <c r="F15" s="39">
        <v>2</v>
      </c>
      <c r="G15" s="39" t="s">
        <v>22</v>
      </c>
      <c r="H15" s="39" t="s">
        <v>71</v>
      </c>
      <c r="I15" s="39"/>
      <c r="J15" s="110" t="s">
        <v>78</v>
      </c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109">
        <v>1</v>
      </c>
      <c r="B16" s="61" t="s">
        <v>83</v>
      </c>
      <c r="C16" s="39">
        <v>200</v>
      </c>
      <c r="D16" s="82" t="s">
        <v>58</v>
      </c>
      <c r="E16" s="39">
        <v>2</v>
      </c>
      <c r="F16" s="39">
        <v>3</v>
      </c>
      <c r="G16" s="39" t="s">
        <v>22</v>
      </c>
      <c r="H16" s="39" t="s">
        <v>71</v>
      </c>
      <c r="I16" s="39"/>
      <c r="J16" s="110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109">
        <v>2</v>
      </c>
      <c r="B17" s="61" t="s">
        <v>7</v>
      </c>
      <c r="C17" s="39">
        <v>70</v>
      </c>
      <c r="D17" s="82" t="s">
        <v>98</v>
      </c>
      <c r="E17" s="39">
        <v>1</v>
      </c>
      <c r="F17" s="39">
        <v>3</v>
      </c>
      <c r="G17" s="39" t="s">
        <v>22</v>
      </c>
      <c r="H17" s="39" t="s">
        <v>71</v>
      </c>
      <c r="I17" s="39"/>
      <c r="J17" s="110" t="s">
        <v>80</v>
      </c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1</v>
      </c>
      <c r="B18" s="61" t="s">
        <v>32</v>
      </c>
      <c r="C18" s="39">
        <v>70</v>
      </c>
      <c r="D18" s="82" t="s">
        <v>68</v>
      </c>
      <c r="E18" s="39">
        <v>3</v>
      </c>
      <c r="F18" s="39">
        <v>4</v>
      </c>
      <c r="G18" s="39" t="s">
        <v>22</v>
      </c>
      <c r="H18" s="39" t="s">
        <v>71</v>
      </c>
      <c r="I18" s="39"/>
      <c r="J18" s="110" t="s">
        <v>80</v>
      </c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1</v>
      </c>
      <c r="B19" s="61" t="s">
        <v>14</v>
      </c>
      <c r="C19" s="39">
        <v>120</v>
      </c>
      <c r="D19" s="82" t="s">
        <v>98</v>
      </c>
      <c r="E19" s="39">
        <v>1</v>
      </c>
      <c r="F19" s="39">
        <v>4</v>
      </c>
      <c r="G19" s="39" t="s">
        <v>22</v>
      </c>
      <c r="H19" s="39" t="s">
        <v>71</v>
      </c>
      <c r="I19" s="39"/>
      <c r="J19" s="110" t="s">
        <v>80</v>
      </c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1</v>
      </c>
      <c r="B20" s="61" t="s">
        <v>14</v>
      </c>
      <c r="C20" s="39">
        <v>150</v>
      </c>
      <c r="D20" s="82" t="s">
        <v>98</v>
      </c>
      <c r="E20" s="39">
        <v>1</v>
      </c>
      <c r="F20" s="39">
        <v>4</v>
      </c>
      <c r="G20" s="39" t="s">
        <v>22</v>
      </c>
      <c r="H20" s="39" t="s">
        <v>71</v>
      </c>
      <c r="I20" s="39"/>
      <c r="J20" s="110" t="s">
        <v>80</v>
      </c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1</v>
      </c>
      <c r="B21" s="61" t="s">
        <v>7</v>
      </c>
      <c r="C21" s="39">
        <v>50</v>
      </c>
      <c r="D21" s="82" t="s">
        <v>98</v>
      </c>
      <c r="E21" s="39">
        <v>1</v>
      </c>
      <c r="F21" s="39">
        <v>4</v>
      </c>
      <c r="G21" s="39" t="s">
        <v>22</v>
      </c>
      <c r="H21" s="39" t="s">
        <v>71</v>
      </c>
      <c r="I21" s="39"/>
      <c r="J21" s="110" t="s">
        <v>80</v>
      </c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0</v>
      </c>
      <c r="B22" s="61"/>
      <c r="C22" s="39"/>
      <c r="D22" s="82"/>
      <c r="E22" s="39"/>
      <c r="F22" s="39">
        <v>5</v>
      </c>
      <c r="G22" s="39" t="s">
        <v>111</v>
      </c>
      <c r="H22" s="39"/>
      <c r="I22" s="39"/>
      <c r="J22" s="110" t="s">
        <v>115</v>
      </c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2</v>
      </c>
      <c r="B23" s="61" t="s">
        <v>32</v>
      </c>
      <c r="C23" s="39">
        <v>10</v>
      </c>
      <c r="D23" s="82" t="s">
        <v>109</v>
      </c>
      <c r="E23" s="39">
        <v>4</v>
      </c>
      <c r="F23" s="39">
        <v>6</v>
      </c>
      <c r="G23" s="39" t="s">
        <v>22</v>
      </c>
      <c r="H23" s="39" t="s">
        <v>71</v>
      </c>
      <c r="I23" s="39"/>
      <c r="J23" s="110" t="s">
        <v>78</v>
      </c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09">
        <v>1</v>
      </c>
      <c r="B24" s="61" t="s">
        <v>32</v>
      </c>
      <c r="C24" s="39">
        <v>10</v>
      </c>
      <c r="D24" s="82" t="s">
        <v>68</v>
      </c>
      <c r="E24" s="39">
        <v>2</v>
      </c>
      <c r="F24" s="39">
        <v>6</v>
      </c>
      <c r="G24" s="39" t="s">
        <v>22</v>
      </c>
      <c r="H24" s="39" t="s">
        <v>71</v>
      </c>
      <c r="I24" s="39"/>
      <c r="J24" s="110" t="s">
        <v>78</v>
      </c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109">
        <v>1</v>
      </c>
      <c r="B25" s="61" t="s">
        <v>32</v>
      </c>
      <c r="C25" s="39">
        <v>30</v>
      </c>
      <c r="D25" s="82" t="s">
        <v>68</v>
      </c>
      <c r="E25" s="39">
        <v>2</v>
      </c>
      <c r="F25" s="39">
        <v>6</v>
      </c>
      <c r="G25" s="39" t="s">
        <v>22</v>
      </c>
      <c r="H25" s="39" t="s">
        <v>71</v>
      </c>
      <c r="I25" s="39"/>
      <c r="J25" s="110" t="s">
        <v>78</v>
      </c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109">
        <v>1</v>
      </c>
      <c r="B26" s="61" t="s">
        <v>32</v>
      </c>
      <c r="C26" s="39">
        <v>50</v>
      </c>
      <c r="D26" s="82" t="s">
        <v>68</v>
      </c>
      <c r="E26" s="39">
        <v>2</v>
      </c>
      <c r="F26" s="39">
        <v>6</v>
      </c>
      <c r="G26" s="39" t="s">
        <v>22</v>
      </c>
      <c r="H26" s="39" t="s">
        <v>71</v>
      </c>
      <c r="I26" s="39"/>
      <c r="J26" s="110" t="s">
        <v>78</v>
      </c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109">
        <v>1</v>
      </c>
      <c r="B27" s="61" t="s">
        <v>32</v>
      </c>
      <c r="C27" s="39">
        <v>50</v>
      </c>
      <c r="D27" s="82" t="s">
        <v>58</v>
      </c>
      <c r="E27" s="39">
        <v>3</v>
      </c>
      <c r="F27" s="39">
        <v>6</v>
      </c>
      <c r="G27" s="39" t="s">
        <v>22</v>
      </c>
      <c r="H27" s="39" t="s">
        <v>71</v>
      </c>
      <c r="I27" s="39"/>
      <c r="J27" s="110" t="s">
        <v>78</v>
      </c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109">
        <v>1</v>
      </c>
      <c r="B28" s="61" t="s">
        <v>7</v>
      </c>
      <c r="C28" s="39">
        <v>600</v>
      </c>
      <c r="D28" s="82" t="s">
        <v>68</v>
      </c>
      <c r="E28" s="39">
        <v>2</v>
      </c>
      <c r="F28" s="39">
        <v>6</v>
      </c>
      <c r="G28" s="39" t="s">
        <v>22</v>
      </c>
      <c r="H28" s="39" t="s">
        <v>71</v>
      </c>
      <c r="I28" s="39"/>
      <c r="J28" s="110" t="s">
        <v>158</v>
      </c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109">
        <v>1</v>
      </c>
      <c r="B29" s="61" t="s">
        <v>32</v>
      </c>
      <c r="C29" s="39">
        <v>60</v>
      </c>
      <c r="D29" s="82" t="s">
        <v>109</v>
      </c>
      <c r="E29" s="39">
        <v>2</v>
      </c>
      <c r="F29" s="39">
        <v>7</v>
      </c>
      <c r="G29" s="39" t="s">
        <v>111</v>
      </c>
      <c r="H29" s="39" t="s">
        <v>71</v>
      </c>
      <c r="I29" s="39"/>
      <c r="J29" s="110"/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109">
        <v>0</v>
      </c>
      <c r="B30" s="61"/>
      <c r="C30" s="39"/>
      <c r="D30" s="82"/>
      <c r="E30" s="39"/>
      <c r="F30" s="39">
        <v>8</v>
      </c>
      <c r="G30" s="39"/>
      <c r="H30" s="39"/>
      <c r="I30" s="39"/>
      <c r="J30" s="110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109">
        <v>3</v>
      </c>
      <c r="B31" s="61" t="s">
        <v>14</v>
      </c>
      <c r="C31" s="39">
        <v>60</v>
      </c>
      <c r="D31" s="82" t="s">
        <v>72</v>
      </c>
      <c r="E31" s="39">
        <v>1</v>
      </c>
      <c r="F31" s="39">
        <v>7</v>
      </c>
      <c r="G31" s="39" t="s">
        <v>111</v>
      </c>
      <c r="H31" s="39" t="s">
        <v>11</v>
      </c>
      <c r="I31" s="39"/>
      <c r="J31" s="110"/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109">
        <v>1</v>
      </c>
      <c r="B32" s="61" t="s">
        <v>14</v>
      </c>
      <c r="C32" s="39">
        <v>20</v>
      </c>
      <c r="D32" s="82" t="s">
        <v>98</v>
      </c>
      <c r="E32" s="39">
        <v>5</v>
      </c>
      <c r="F32" s="39">
        <v>7</v>
      </c>
      <c r="G32" s="39" t="s">
        <v>111</v>
      </c>
      <c r="H32" s="39" t="s">
        <v>11</v>
      </c>
      <c r="I32" s="39"/>
      <c r="J32" s="110"/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109">
        <v>5</v>
      </c>
      <c r="B33" s="61" t="s">
        <v>7</v>
      </c>
      <c r="C33" s="39">
        <v>50</v>
      </c>
      <c r="D33" s="82" t="s">
        <v>98</v>
      </c>
      <c r="E33" s="39">
        <v>1</v>
      </c>
      <c r="F33" s="39">
        <v>7</v>
      </c>
      <c r="G33" s="39" t="s">
        <v>111</v>
      </c>
      <c r="H33" s="39" t="s">
        <v>24</v>
      </c>
      <c r="I33" s="39"/>
      <c r="J33" s="110"/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x14ac:dyDescent="0.3">
      <c r="A34" s="109">
        <v>1</v>
      </c>
      <c r="B34" s="61" t="s">
        <v>14</v>
      </c>
      <c r="C34" s="39">
        <v>40</v>
      </c>
      <c r="D34" s="82" t="s">
        <v>72</v>
      </c>
      <c r="E34" s="39">
        <v>5</v>
      </c>
      <c r="F34" s="39">
        <v>7</v>
      </c>
      <c r="G34" s="39" t="s">
        <v>111</v>
      </c>
      <c r="H34" s="39" t="s">
        <v>24</v>
      </c>
      <c r="I34" s="39"/>
      <c r="J34" s="110"/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A35" s="109">
        <v>1</v>
      </c>
      <c r="B35" s="61" t="s">
        <v>14</v>
      </c>
      <c r="C35" s="39">
        <v>30</v>
      </c>
      <c r="D35" s="82" t="s">
        <v>72</v>
      </c>
      <c r="E35" s="39">
        <v>5</v>
      </c>
      <c r="F35" s="39">
        <v>7</v>
      </c>
      <c r="G35" s="39" t="s">
        <v>111</v>
      </c>
      <c r="H35" s="39" t="s">
        <v>80</v>
      </c>
      <c r="I35" s="39"/>
      <c r="J35" s="110"/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A36" s="109">
        <v>1</v>
      </c>
      <c r="B36" s="61" t="s">
        <v>14</v>
      </c>
      <c r="C36" s="39">
        <v>200</v>
      </c>
      <c r="D36" s="82" t="s">
        <v>58</v>
      </c>
      <c r="E36" s="39">
        <v>2</v>
      </c>
      <c r="F36" s="39">
        <v>7</v>
      </c>
      <c r="G36" s="39" t="s">
        <v>111</v>
      </c>
      <c r="H36" s="39" t="s">
        <v>71</v>
      </c>
      <c r="I36" s="39"/>
      <c r="J36" s="110"/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A37" s="109">
        <v>6</v>
      </c>
      <c r="B37" s="61" t="s">
        <v>7</v>
      </c>
      <c r="C37" s="39">
        <v>50</v>
      </c>
      <c r="D37" s="82" t="s">
        <v>58</v>
      </c>
      <c r="E37" s="39">
        <v>2</v>
      </c>
      <c r="F37" s="39">
        <v>9</v>
      </c>
      <c r="G37" s="39" t="s">
        <v>41</v>
      </c>
      <c r="H37" s="39" t="s">
        <v>71</v>
      </c>
      <c r="I37" s="39"/>
      <c r="J37" s="110"/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x14ac:dyDescent="0.3">
      <c r="A38" s="109">
        <v>5</v>
      </c>
      <c r="B38" s="61" t="s">
        <v>83</v>
      </c>
      <c r="C38" s="39">
        <v>400</v>
      </c>
      <c r="D38" s="82" t="s">
        <v>109</v>
      </c>
      <c r="E38" s="39">
        <v>5</v>
      </c>
      <c r="F38" s="39">
        <v>9</v>
      </c>
      <c r="G38" s="39" t="s">
        <v>41</v>
      </c>
      <c r="H38" s="39" t="s">
        <v>172</v>
      </c>
      <c r="I38" s="39"/>
      <c r="J38" s="110"/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x14ac:dyDescent="0.3">
      <c r="A39" s="109">
        <v>1</v>
      </c>
      <c r="B39" s="61" t="s">
        <v>14</v>
      </c>
      <c r="C39" s="39">
        <v>150</v>
      </c>
      <c r="D39" s="82" t="s">
        <v>98</v>
      </c>
      <c r="E39" s="39">
        <v>1</v>
      </c>
      <c r="F39" s="39">
        <v>10</v>
      </c>
      <c r="G39" s="39" t="s">
        <v>76</v>
      </c>
      <c r="H39" s="39"/>
      <c r="I39" s="39"/>
      <c r="J39" s="110"/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A40" s="109">
        <v>4</v>
      </c>
      <c r="B40" s="61" t="s">
        <v>14</v>
      </c>
      <c r="C40" s="39">
        <v>110</v>
      </c>
      <c r="D40" s="82" t="s">
        <v>98</v>
      </c>
      <c r="E40" s="39">
        <v>1</v>
      </c>
      <c r="F40" s="39">
        <v>10</v>
      </c>
      <c r="G40" s="39" t="s">
        <v>76</v>
      </c>
      <c r="H40" s="39"/>
      <c r="I40" s="39"/>
      <c r="J40" s="110"/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A41" s="109">
        <v>1</v>
      </c>
      <c r="B41" s="61" t="s">
        <v>14</v>
      </c>
      <c r="C41" s="39">
        <v>150</v>
      </c>
      <c r="D41" s="82" t="s">
        <v>72</v>
      </c>
      <c r="E41" s="39">
        <v>5</v>
      </c>
      <c r="F41" s="39">
        <v>11</v>
      </c>
      <c r="G41" s="39" t="s">
        <v>76</v>
      </c>
      <c r="H41" s="39"/>
      <c r="I41" s="39"/>
      <c r="J41" s="110"/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x14ac:dyDescent="0.3">
      <c r="A42" s="109">
        <v>1</v>
      </c>
      <c r="B42" s="61" t="s">
        <v>14</v>
      </c>
      <c r="C42" s="39">
        <v>200</v>
      </c>
      <c r="D42" s="82" t="s">
        <v>72</v>
      </c>
      <c r="E42" s="39">
        <v>5</v>
      </c>
      <c r="F42" s="39">
        <v>11</v>
      </c>
      <c r="G42" s="39" t="s">
        <v>76</v>
      </c>
      <c r="H42" s="39"/>
      <c r="I42" s="39"/>
      <c r="J42" s="110"/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A43" s="109">
        <v>5</v>
      </c>
      <c r="B43" s="61" t="s">
        <v>14</v>
      </c>
      <c r="C43" s="39">
        <v>100</v>
      </c>
      <c r="D43" s="39" t="s">
        <v>98</v>
      </c>
      <c r="E43" s="39">
        <v>1</v>
      </c>
      <c r="F43" s="39">
        <v>11</v>
      </c>
      <c r="G43" s="39" t="s">
        <v>76</v>
      </c>
      <c r="H43" s="39"/>
      <c r="I43" s="39"/>
      <c r="J43" s="110"/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A44" s="109">
        <v>4</v>
      </c>
      <c r="B44" s="61" t="s">
        <v>14</v>
      </c>
      <c r="C44" s="39">
        <v>120</v>
      </c>
      <c r="D44" s="39" t="s">
        <v>98</v>
      </c>
      <c r="E44" s="39">
        <v>1</v>
      </c>
      <c r="F44" s="39">
        <v>11</v>
      </c>
      <c r="G44" s="39" t="s">
        <v>76</v>
      </c>
      <c r="H44" s="39"/>
      <c r="I44" s="39"/>
      <c r="J44" s="110"/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A45" s="109">
        <v>5</v>
      </c>
      <c r="B45" s="61" t="s">
        <v>14</v>
      </c>
      <c r="C45" s="39">
        <v>100</v>
      </c>
      <c r="D45" s="39" t="s">
        <v>98</v>
      </c>
      <c r="E45" s="39">
        <v>1</v>
      </c>
      <c r="F45" s="39">
        <v>11</v>
      </c>
      <c r="G45" s="39" t="s">
        <v>76</v>
      </c>
      <c r="H45" s="39"/>
      <c r="I45" s="39"/>
      <c r="J45" s="110"/>
      <c r="K45" s="204" t="s">
        <v>222</v>
      </c>
      <c r="L45" s="204">
        <f>SUM(L3:L44)</f>
        <v>51</v>
      </c>
      <c r="M45" s="204" t="s">
        <v>7</v>
      </c>
      <c r="N45" s="204">
        <f>SUM(N3:N44)</f>
        <v>35</v>
      </c>
      <c r="O45" s="204" t="s">
        <v>14</v>
      </c>
    </row>
    <row r="46" spans="1:15" x14ac:dyDescent="0.3">
      <c r="A46" s="109">
        <v>35</v>
      </c>
      <c r="B46" s="61" t="s">
        <v>7</v>
      </c>
      <c r="C46" s="39">
        <v>50</v>
      </c>
      <c r="D46" s="39" t="s">
        <v>98</v>
      </c>
      <c r="E46" s="39">
        <v>1</v>
      </c>
      <c r="F46" s="39">
        <v>12</v>
      </c>
      <c r="G46" s="39" t="s">
        <v>22</v>
      </c>
      <c r="H46" s="39"/>
      <c r="I46" s="39"/>
      <c r="J46" s="110"/>
      <c r="K46" s="204"/>
      <c r="L46" s="204"/>
      <c r="M46" s="204"/>
      <c r="N46" s="204"/>
    </row>
    <row r="47" spans="1:15" ht="15" thickBot="1" x14ac:dyDescent="0.35">
      <c r="A47" s="124">
        <v>2</v>
      </c>
      <c r="B47" s="71" t="s">
        <v>14</v>
      </c>
      <c r="C47" s="78">
        <v>200</v>
      </c>
      <c r="D47" s="78" t="s">
        <v>98</v>
      </c>
      <c r="E47" s="78">
        <v>1</v>
      </c>
      <c r="F47" s="78">
        <v>12</v>
      </c>
      <c r="G47" s="78" t="s">
        <v>22</v>
      </c>
      <c r="H47" s="78" t="s">
        <v>11</v>
      </c>
      <c r="I47" s="192">
        <v>0.67708333333333337</v>
      </c>
      <c r="J47" s="125"/>
      <c r="K47" s="204"/>
      <c r="N47" s="204"/>
    </row>
    <row r="48" spans="1:15" x14ac:dyDescent="0.3">
      <c r="A48" s="118"/>
      <c r="B48" s="79"/>
      <c r="C48" s="118"/>
      <c r="D48" s="118"/>
      <c r="E48" s="118"/>
      <c r="F48" s="118"/>
      <c r="G48" s="118"/>
      <c r="H48" s="118"/>
      <c r="I48" s="119"/>
      <c r="J48" s="118"/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8" max="8" width="10.88671875" customWidth="1"/>
    <col min="10" max="10" width="19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145</v>
      </c>
      <c r="J1" s="46"/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72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>
        <v>559</v>
      </c>
      <c r="C3" s="7" t="s">
        <v>2</v>
      </c>
      <c r="D3" s="8"/>
      <c r="E3" s="7" t="s">
        <v>3</v>
      </c>
      <c r="F3" s="9"/>
      <c r="G3" s="10" t="s">
        <v>4</v>
      </c>
      <c r="H3" s="8"/>
      <c r="J3" s="9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1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109</v>
      </c>
      <c r="J4" s="9"/>
      <c r="K4" s="204" t="s">
        <v>177</v>
      </c>
      <c r="L4" s="204">
        <f>SUMIFS($A$11:$A$401,$B$11:$B$401,"CH",$F$11:$F$401,"2")</f>
        <v>0</v>
      </c>
      <c r="M4" s="204" t="s">
        <v>7</v>
      </c>
      <c r="N4" s="204">
        <f>SUMIFS($A$11:$A$401,$B$11:$B$401,"RT",$F$11:$F$401,"2")</f>
        <v>0</v>
      </c>
      <c r="O4" s="204" t="s">
        <v>14</v>
      </c>
    </row>
    <row r="5" spans="1:15" ht="15" thickTop="1" x14ac:dyDescent="0.3">
      <c r="A5" s="54" t="s">
        <v>67</v>
      </c>
      <c r="B5" s="55">
        <v>0.65972222222222221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 t="s">
        <v>58</v>
      </c>
      <c r="J5" s="9"/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53" t="s">
        <v>12</v>
      </c>
      <c r="B6" s="161">
        <v>43699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 t="s">
        <v>99</v>
      </c>
      <c r="J6" s="9"/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0</v>
      </c>
      <c r="O6" s="204" t="s">
        <v>14</v>
      </c>
    </row>
    <row r="7" spans="1:15" x14ac:dyDescent="0.3">
      <c r="A7" s="47" t="s">
        <v>62</v>
      </c>
      <c r="B7" s="18">
        <v>14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50" t="s">
        <v>98</v>
      </c>
      <c r="J7" s="9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6" t="s">
        <v>25</v>
      </c>
      <c r="B8" s="41">
        <v>2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 t="s">
        <v>68</v>
      </c>
      <c r="J8" s="9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0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 t="s">
        <v>107</v>
      </c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50"/>
      <c r="J11" s="31" t="s">
        <v>157</v>
      </c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32" t="s">
        <v>48</v>
      </c>
      <c r="B12" s="33" t="s">
        <v>49</v>
      </c>
      <c r="C12" s="33" t="s">
        <v>50</v>
      </c>
      <c r="D12" s="33" t="s">
        <v>51</v>
      </c>
      <c r="E12" s="33" t="s">
        <v>52</v>
      </c>
      <c r="F12" s="33" t="s">
        <v>53</v>
      </c>
      <c r="G12" s="33" t="s">
        <v>54</v>
      </c>
      <c r="H12" s="33" t="s">
        <v>55</v>
      </c>
      <c r="I12" s="33" t="s">
        <v>56</v>
      </c>
      <c r="J12" s="33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ht="15" thickTop="1" x14ac:dyDescent="0.3">
      <c r="A13" s="34">
        <v>1</v>
      </c>
      <c r="B13" s="60" t="s">
        <v>32</v>
      </c>
      <c r="C13" s="35">
        <v>50</v>
      </c>
      <c r="D13" s="128" t="s">
        <v>98</v>
      </c>
      <c r="E13" s="35">
        <v>2</v>
      </c>
      <c r="F13" s="35">
        <v>1</v>
      </c>
      <c r="G13" s="35" t="s">
        <v>22</v>
      </c>
      <c r="H13" s="35" t="s">
        <v>71</v>
      </c>
      <c r="I13" s="74">
        <v>0.65972222222222221</v>
      </c>
      <c r="J13" s="37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34">
        <v>1</v>
      </c>
      <c r="B14" s="60" t="s">
        <v>32</v>
      </c>
      <c r="C14" s="35">
        <v>50</v>
      </c>
      <c r="D14" s="128" t="s">
        <v>58</v>
      </c>
      <c r="E14" s="35">
        <v>3</v>
      </c>
      <c r="F14" s="35">
        <v>1</v>
      </c>
      <c r="G14" s="35" t="s">
        <v>22</v>
      </c>
      <c r="H14" s="35" t="s">
        <v>71</v>
      </c>
      <c r="I14" s="74"/>
      <c r="J14" s="37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34">
        <v>1</v>
      </c>
      <c r="B15" s="60" t="s">
        <v>32</v>
      </c>
      <c r="C15" s="35">
        <v>20</v>
      </c>
      <c r="D15" s="128" t="s">
        <v>68</v>
      </c>
      <c r="E15" s="35">
        <v>5</v>
      </c>
      <c r="F15" s="35">
        <v>1</v>
      </c>
      <c r="G15" s="35" t="s">
        <v>22</v>
      </c>
      <c r="H15" s="35"/>
      <c r="I15" s="74"/>
      <c r="J15" s="37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34">
        <v>1</v>
      </c>
      <c r="B16" s="60" t="s">
        <v>32</v>
      </c>
      <c r="C16" s="35">
        <v>30</v>
      </c>
      <c r="D16" s="128" t="s">
        <v>68</v>
      </c>
      <c r="E16" s="35">
        <v>5</v>
      </c>
      <c r="F16" s="35">
        <v>1</v>
      </c>
      <c r="G16" s="35" t="s">
        <v>22</v>
      </c>
      <c r="H16" s="35"/>
      <c r="I16" s="74"/>
      <c r="J16" s="37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34">
        <v>1</v>
      </c>
      <c r="B17" s="60" t="s">
        <v>32</v>
      </c>
      <c r="C17" s="35">
        <v>20</v>
      </c>
      <c r="D17" s="128" t="s">
        <v>68</v>
      </c>
      <c r="E17" s="35">
        <v>5</v>
      </c>
      <c r="F17" s="35">
        <v>1</v>
      </c>
      <c r="G17" s="35" t="s">
        <v>22</v>
      </c>
      <c r="H17" s="35"/>
      <c r="I17" s="74"/>
      <c r="J17" s="37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34">
        <v>1</v>
      </c>
      <c r="B18" s="60" t="s">
        <v>32</v>
      </c>
      <c r="C18" s="35">
        <v>60</v>
      </c>
      <c r="D18" s="128" t="s">
        <v>99</v>
      </c>
      <c r="E18" s="35">
        <v>3</v>
      </c>
      <c r="F18" s="35">
        <v>1</v>
      </c>
      <c r="G18" s="35" t="s">
        <v>22</v>
      </c>
      <c r="H18" s="35" t="s">
        <v>71</v>
      </c>
      <c r="I18" s="74"/>
      <c r="J18" s="37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34">
        <v>1</v>
      </c>
      <c r="B19" s="60" t="s">
        <v>32</v>
      </c>
      <c r="C19" s="35">
        <v>30</v>
      </c>
      <c r="D19" s="128" t="s">
        <v>99</v>
      </c>
      <c r="E19" s="35">
        <v>3</v>
      </c>
      <c r="F19" s="35">
        <v>1</v>
      </c>
      <c r="G19" s="35" t="s">
        <v>22</v>
      </c>
      <c r="H19" s="35" t="s">
        <v>71</v>
      </c>
      <c r="I19" s="74"/>
      <c r="J19" s="37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34">
        <v>1</v>
      </c>
      <c r="B20" s="60" t="s">
        <v>32</v>
      </c>
      <c r="C20" s="35">
        <v>30</v>
      </c>
      <c r="D20" s="128" t="s">
        <v>68</v>
      </c>
      <c r="E20" s="35">
        <v>5</v>
      </c>
      <c r="F20" s="35">
        <v>1</v>
      </c>
      <c r="G20" s="35" t="s">
        <v>22</v>
      </c>
      <c r="H20" s="35" t="s">
        <v>71</v>
      </c>
      <c r="I20" s="74"/>
      <c r="J20" s="37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34">
        <v>1</v>
      </c>
      <c r="B21" s="60" t="s">
        <v>32</v>
      </c>
      <c r="C21" s="35">
        <v>10</v>
      </c>
      <c r="D21" s="128" t="s">
        <v>68</v>
      </c>
      <c r="E21" s="35">
        <v>5</v>
      </c>
      <c r="F21" s="35">
        <v>1</v>
      </c>
      <c r="G21" s="35" t="s">
        <v>22</v>
      </c>
      <c r="H21" s="35" t="s">
        <v>71</v>
      </c>
      <c r="I21" s="74"/>
      <c r="J21" s="37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34">
        <v>1</v>
      </c>
      <c r="B22" s="60" t="s">
        <v>32</v>
      </c>
      <c r="C22" s="35">
        <v>60</v>
      </c>
      <c r="D22" s="128" t="s">
        <v>68</v>
      </c>
      <c r="E22" s="35">
        <v>5</v>
      </c>
      <c r="F22" s="35">
        <v>1</v>
      </c>
      <c r="G22" s="35" t="s">
        <v>22</v>
      </c>
      <c r="H22" s="35" t="s">
        <v>71</v>
      </c>
      <c r="I22" s="74"/>
      <c r="J22" s="37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34">
        <v>1</v>
      </c>
      <c r="B23" s="60" t="s">
        <v>32</v>
      </c>
      <c r="C23" s="35">
        <v>90</v>
      </c>
      <c r="D23" s="128" t="s">
        <v>109</v>
      </c>
      <c r="E23" s="35">
        <v>1</v>
      </c>
      <c r="F23" s="35">
        <v>1</v>
      </c>
      <c r="G23" s="35" t="s">
        <v>22</v>
      </c>
      <c r="H23" s="35" t="s">
        <v>71</v>
      </c>
      <c r="I23" s="74"/>
      <c r="J23" s="37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34">
        <v>1</v>
      </c>
      <c r="B24" s="60" t="s">
        <v>32</v>
      </c>
      <c r="C24" s="35">
        <v>60</v>
      </c>
      <c r="D24" s="128" t="s">
        <v>68</v>
      </c>
      <c r="E24" s="35">
        <v>5</v>
      </c>
      <c r="F24" s="35">
        <v>1</v>
      </c>
      <c r="G24" s="35" t="s">
        <v>22</v>
      </c>
      <c r="H24" s="35" t="s">
        <v>71</v>
      </c>
      <c r="I24" s="74"/>
      <c r="J24" s="37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34">
        <v>1</v>
      </c>
      <c r="B25" s="60" t="s">
        <v>32</v>
      </c>
      <c r="C25" s="35">
        <v>20</v>
      </c>
      <c r="D25" s="128" t="s">
        <v>68</v>
      </c>
      <c r="E25" s="35">
        <v>5</v>
      </c>
      <c r="F25" s="35">
        <v>1</v>
      </c>
      <c r="G25" s="35" t="s">
        <v>22</v>
      </c>
      <c r="H25" s="35" t="s">
        <v>71</v>
      </c>
      <c r="I25" s="74"/>
      <c r="J25" s="37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34">
        <v>2</v>
      </c>
      <c r="B26" s="60" t="s">
        <v>32</v>
      </c>
      <c r="C26" s="35">
        <v>15</v>
      </c>
      <c r="D26" s="128" t="s">
        <v>58</v>
      </c>
      <c r="E26" s="35">
        <v>2</v>
      </c>
      <c r="F26" s="35">
        <v>1</v>
      </c>
      <c r="G26" s="35" t="s">
        <v>22</v>
      </c>
      <c r="H26" s="35" t="s">
        <v>71</v>
      </c>
      <c r="I26" s="74"/>
      <c r="J26" s="37"/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34">
        <v>1</v>
      </c>
      <c r="B27" s="60" t="s">
        <v>14</v>
      </c>
      <c r="C27" s="35">
        <v>20</v>
      </c>
      <c r="D27" s="128" t="s">
        <v>68</v>
      </c>
      <c r="E27" s="35">
        <v>5</v>
      </c>
      <c r="F27" s="35">
        <v>1</v>
      </c>
      <c r="G27" s="35" t="s">
        <v>22</v>
      </c>
      <c r="H27" s="35" t="s">
        <v>71</v>
      </c>
      <c r="I27" s="74"/>
      <c r="J27" s="37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34">
        <v>1</v>
      </c>
      <c r="B28" s="60" t="s">
        <v>32</v>
      </c>
      <c r="C28" s="35">
        <v>30</v>
      </c>
      <c r="D28" s="128" t="s">
        <v>68</v>
      </c>
      <c r="E28" s="35">
        <v>5</v>
      </c>
      <c r="F28" s="35">
        <v>1</v>
      </c>
      <c r="G28" s="35" t="s">
        <v>22</v>
      </c>
      <c r="H28" s="35" t="s">
        <v>71</v>
      </c>
      <c r="I28" s="74"/>
      <c r="J28" s="37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34">
        <v>1</v>
      </c>
      <c r="B29" s="60" t="s">
        <v>32</v>
      </c>
      <c r="C29" s="35">
        <v>50</v>
      </c>
      <c r="D29" s="128" t="s">
        <v>99</v>
      </c>
      <c r="E29" s="35">
        <v>3</v>
      </c>
      <c r="F29" s="35">
        <v>1</v>
      </c>
      <c r="G29" s="35" t="s">
        <v>22</v>
      </c>
      <c r="H29" s="35" t="s">
        <v>71</v>
      </c>
      <c r="I29" s="74"/>
      <c r="J29" s="37"/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34">
        <v>1</v>
      </c>
      <c r="B30" s="60" t="s">
        <v>32</v>
      </c>
      <c r="C30" s="35">
        <v>30</v>
      </c>
      <c r="D30" s="128" t="s">
        <v>99</v>
      </c>
      <c r="E30" s="35">
        <v>2</v>
      </c>
      <c r="F30" s="35">
        <v>1</v>
      </c>
      <c r="G30" s="35" t="s">
        <v>22</v>
      </c>
      <c r="H30" s="35" t="s">
        <v>71</v>
      </c>
      <c r="I30" s="74"/>
      <c r="J30" s="37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34">
        <v>1</v>
      </c>
      <c r="B31" s="60" t="s">
        <v>32</v>
      </c>
      <c r="C31" s="35">
        <v>10</v>
      </c>
      <c r="D31" s="128" t="s">
        <v>68</v>
      </c>
      <c r="E31" s="35">
        <v>5</v>
      </c>
      <c r="F31" s="35">
        <v>1</v>
      </c>
      <c r="G31" s="35" t="s">
        <v>22</v>
      </c>
      <c r="H31" s="35" t="s">
        <v>71</v>
      </c>
      <c r="I31" s="74"/>
      <c r="J31" s="37"/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34">
        <v>1</v>
      </c>
      <c r="B32" s="60" t="s">
        <v>45</v>
      </c>
      <c r="C32" s="35">
        <v>60</v>
      </c>
      <c r="D32" s="128" t="s">
        <v>68</v>
      </c>
      <c r="E32" s="35">
        <v>5</v>
      </c>
      <c r="F32" s="35">
        <v>2</v>
      </c>
      <c r="G32" s="35" t="s">
        <v>41</v>
      </c>
      <c r="H32" s="35" t="s">
        <v>71</v>
      </c>
      <c r="I32" s="74"/>
      <c r="J32" s="37"/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34">
        <v>1</v>
      </c>
      <c r="B33" s="60" t="s">
        <v>20</v>
      </c>
      <c r="C33" s="35">
        <v>400</v>
      </c>
      <c r="D33" s="128" t="s">
        <v>98</v>
      </c>
      <c r="E33" s="35"/>
      <c r="F33" s="35">
        <v>2</v>
      </c>
      <c r="G33" s="35" t="s">
        <v>41</v>
      </c>
      <c r="H33" s="35" t="s">
        <v>71</v>
      </c>
      <c r="I33" s="74"/>
      <c r="J33" s="37"/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x14ac:dyDescent="0.3">
      <c r="A34" s="34">
        <v>1</v>
      </c>
      <c r="B34" s="60" t="s">
        <v>32</v>
      </c>
      <c r="C34" s="35">
        <v>20</v>
      </c>
      <c r="D34" s="128" t="s">
        <v>99</v>
      </c>
      <c r="E34" s="35">
        <v>3</v>
      </c>
      <c r="F34" s="35">
        <v>3</v>
      </c>
      <c r="G34" s="35" t="s">
        <v>111</v>
      </c>
      <c r="H34" s="35" t="s">
        <v>71</v>
      </c>
      <c r="I34" s="74"/>
      <c r="J34" s="37" t="s">
        <v>161</v>
      </c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A35" s="34">
        <v>1</v>
      </c>
      <c r="B35" s="60" t="s">
        <v>32</v>
      </c>
      <c r="C35" s="35">
        <v>20</v>
      </c>
      <c r="D35" s="128" t="s">
        <v>99</v>
      </c>
      <c r="E35" s="35">
        <v>3</v>
      </c>
      <c r="F35" s="35">
        <v>3</v>
      </c>
      <c r="G35" s="35" t="s">
        <v>111</v>
      </c>
      <c r="H35" s="35" t="s">
        <v>71</v>
      </c>
      <c r="I35" s="74"/>
      <c r="J35" s="37" t="s">
        <v>162</v>
      </c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A36" s="34">
        <v>1</v>
      </c>
      <c r="B36" s="60" t="s">
        <v>119</v>
      </c>
      <c r="C36" s="35" t="s">
        <v>160</v>
      </c>
      <c r="D36" s="128" t="s">
        <v>68</v>
      </c>
      <c r="E36" s="35">
        <v>2</v>
      </c>
      <c r="F36" s="35">
        <v>3</v>
      </c>
      <c r="G36" s="35" t="s">
        <v>111</v>
      </c>
      <c r="H36" s="35" t="s">
        <v>71</v>
      </c>
      <c r="I36" s="74"/>
      <c r="J36" s="37"/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A37" s="34">
        <v>1</v>
      </c>
      <c r="B37" s="60" t="s">
        <v>32</v>
      </c>
      <c r="C37" s="35">
        <v>50</v>
      </c>
      <c r="D37" s="128" t="s">
        <v>68</v>
      </c>
      <c r="E37" s="35">
        <v>2</v>
      </c>
      <c r="F37" s="35">
        <v>3</v>
      </c>
      <c r="G37" s="35" t="s">
        <v>111</v>
      </c>
      <c r="H37" s="35" t="s">
        <v>71</v>
      </c>
      <c r="I37" s="74"/>
      <c r="J37" s="37"/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x14ac:dyDescent="0.3">
      <c r="A38" s="34">
        <v>1</v>
      </c>
      <c r="B38" s="60" t="s">
        <v>32</v>
      </c>
      <c r="C38" s="35">
        <v>60</v>
      </c>
      <c r="D38" s="128" t="s">
        <v>98</v>
      </c>
      <c r="E38" s="35">
        <v>3</v>
      </c>
      <c r="F38" s="35">
        <v>3</v>
      </c>
      <c r="G38" s="35" t="s">
        <v>111</v>
      </c>
      <c r="H38" s="35" t="s">
        <v>71</v>
      </c>
      <c r="I38" s="74"/>
      <c r="J38" s="37"/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x14ac:dyDescent="0.3">
      <c r="A39" s="34">
        <v>1</v>
      </c>
      <c r="B39" s="60" t="s">
        <v>32</v>
      </c>
      <c r="C39" s="35">
        <v>30</v>
      </c>
      <c r="D39" s="128" t="s">
        <v>68</v>
      </c>
      <c r="E39" s="35">
        <v>2</v>
      </c>
      <c r="F39" s="35">
        <v>4</v>
      </c>
      <c r="G39" s="35"/>
      <c r="H39" s="35" t="s">
        <v>71</v>
      </c>
      <c r="I39" s="74"/>
      <c r="J39" s="37"/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A40" s="34">
        <v>1</v>
      </c>
      <c r="B40" s="60" t="s">
        <v>32</v>
      </c>
      <c r="C40" s="35">
        <v>40</v>
      </c>
      <c r="D40" s="128" t="s">
        <v>68</v>
      </c>
      <c r="E40" s="35">
        <v>2</v>
      </c>
      <c r="F40" s="35">
        <v>4</v>
      </c>
      <c r="G40" s="35"/>
      <c r="H40" s="35" t="s">
        <v>71</v>
      </c>
      <c r="I40" s="74"/>
      <c r="J40" s="37"/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A41" s="34">
        <v>1</v>
      </c>
      <c r="B41" s="60" t="s">
        <v>32</v>
      </c>
      <c r="C41" s="35">
        <v>10</v>
      </c>
      <c r="D41" s="128" t="s">
        <v>68</v>
      </c>
      <c r="E41" s="35">
        <v>2</v>
      </c>
      <c r="F41" s="35">
        <v>4</v>
      </c>
      <c r="G41" s="35"/>
      <c r="H41" s="35" t="s">
        <v>71</v>
      </c>
      <c r="I41" s="74"/>
      <c r="J41" s="37"/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x14ac:dyDescent="0.3">
      <c r="A42" s="34">
        <v>1</v>
      </c>
      <c r="B42" s="60" t="s">
        <v>32</v>
      </c>
      <c r="C42" s="35">
        <v>30</v>
      </c>
      <c r="D42" s="128" t="s">
        <v>68</v>
      </c>
      <c r="E42" s="35">
        <v>2</v>
      </c>
      <c r="F42" s="35">
        <v>4</v>
      </c>
      <c r="G42" s="35"/>
      <c r="H42" s="35" t="s">
        <v>71</v>
      </c>
      <c r="I42" s="74"/>
      <c r="J42" s="37"/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A43" s="34">
        <v>1</v>
      </c>
      <c r="B43" s="60" t="s">
        <v>32</v>
      </c>
      <c r="C43" s="35">
        <v>10</v>
      </c>
      <c r="D43" s="128" t="s">
        <v>109</v>
      </c>
      <c r="E43" s="35">
        <v>1</v>
      </c>
      <c r="F43" s="35">
        <v>4</v>
      </c>
      <c r="G43" s="35"/>
      <c r="H43" s="35" t="s">
        <v>71</v>
      </c>
      <c r="I43" s="74"/>
      <c r="J43" s="37"/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A44" s="34">
        <v>1</v>
      </c>
      <c r="B44" s="60" t="s">
        <v>32</v>
      </c>
      <c r="C44" s="35">
        <v>60</v>
      </c>
      <c r="D44" s="128" t="s">
        <v>68</v>
      </c>
      <c r="E44" s="35">
        <v>2</v>
      </c>
      <c r="F44" s="35">
        <v>4</v>
      </c>
      <c r="G44" s="35"/>
      <c r="H44" s="35" t="s">
        <v>71</v>
      </c>
      <c r="I44" s="74"/>
      <c r="J44" s="37"/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A45" s="34">
        <v>1</v>
      </c>
      <c r="B45" s="60" t="s">
        <v>32</v>
      </c>
      <c r="C45" s="35">
        <v>30</v>
      </c>
      <c r="D45" s="128" t="s">
        <v>68</v>
      </c>
      <c r="E45" s="35">
        <v>2</v>
      </c>
      <c r="F45" s="35">
        <v>4</v>
      </c>
      <c r="G45" s="35"/>
      <c r="H45" s="35" t="s">
        <v>71</v>
      </c>
      <c r="I45" s="74"/>
      <c r="J45" s="37"/>
      <c r="K45" s="204" t="s">
        <v>222</v>
      </c>
      <c r="L45" s="204">
        <f>SUM(L3:L44)</f>
        <v>0</v>
      </c>
      <c r="M45" s="204" t="s">
        <v>7</v>
      </c>
      <c r="N45" s="204">
        <f>SUM(N3:N44)</f>
        <v>1</v>
      </c>
      <c r="O45" s="204" t="s">
        <v>14</v>
      </c>
    </row>
    <row r="46" spans="1:15" ht="15" thickBot="1" x14ac:dyDescent="0.35">
      <c r="A46" s="159">
        <v>1</v>
      </c>
      <c r="B46" s="71" t="s">
        <v>32</v>
      </c>
      <c r="C46" s="78">
        <v>80</v>
      </c>
      <c r="D46" s="199" t="s">
        <v>99</v>
      </c>
      <c r="E46" s="78">
        <v>4</v>
      </c>
      <c r="F46" s="206">
        <v>4</v>
      </c>
      <c r="G46" s="78"/>
      <c r="H46" s="78" t="s">
        <v>71</v>
      </c>
      <c r="I46" s="78"/>
      <c r="J46" s="160"/>
      <c r="K46" s="204"/>
      <c r="L46" s="204"/>
      <c r="M46" s="204"/>
      <c r="N46" s="204"/>
    </row>
    <row r="47" spans="1:15" x14ac:dyDescent="0.3">
      <c r="A47" s="134">
        <v>1</v>
      </c>
      <c r="B47" s="137" t="s">
        <v>32</v>
      </c>
      <c r="C47" s="135">
        <v>30</v>
      </c>
      <c r="D47" s="135" t="s">
        <v>68</v>
      </c>
      <c r="E47" s="207">
        <v>2</v>
      </c>
      <c r="F47" s="135">
        <v>5</v>
      </c>
      <c r="G47" s="209" t="s">
        <v>41</v>
      </c>
      <c r="H47" s="135"/>
      <c r="I47" s="135"/>
      <c r="J47" s="136" t="s">
        <v>164</v>
      </c>
      <c r="K47" s="204"/>
      <c r="N47" s="204"/>
    </row>
    <row r="48" spans="1:15" x14ac:dyDescent="0.3">
      <c r="A48" s="122">
        <v>3</v>
      </c>
      <c r="B48" s="61" t="s">
        <v>32</v>
      </c>
      <c r="C48" s="39">
        <v>30</v>
      </c>
      <c r="D48" s="39" t="s">
        <v>68</v>
      </c>
      <c r="E48" s="208">
        <v>2</v>
      </c>
      <c r="F48" s="39">
        <v>5</v>
      </c>
      <c r="G48" s="129" t="s">
        <v>41</v>
      </c>
      <c r="H48" s="39"/>
      <c r="I48" s="39"/>
      <c r="J48" s="110"/>
      <c r="K48" s="204"/>
      <c r="N48" s="204"/>
    </row>
    <row r="49" spans="1:14" x14ac:dyDescent="0.3">
      <c r="A49" s="122">
        <v>1</v>
      </c>
      <c r="B49" s="61" t="s">
        <v>32</v>
      </c>
      <c r="C49" s="39">
        <v>75</v>
      </c>
      <c r="D49" s="39" t="s">
        <v>58</v>
      </c>
      <c r="E49" s="208">
        <v>5</v>
      </c>
      <c r="F49" s="39">
        <v>5</v>
      </c>
      <c r="G49" s="129" t="s">
        <v>41</v>
      </c>
      <c r="H49" s="39" t="s">
        <v>163</v>
      </c>
      <c r="I49" s="39"/>
      <c r="J49" s="110"/>
      <c r="K49" s="204"/>
      <c r="N49" s="204"/>
    </row>
    <row r="50" spans="1:14" x14ac:dyDescent="0.3">
      <c r="A50" s="122">
        <v>1</v>
      </c>
      <c r="B50" s="61" t="s">
        <v>32</v>
      </c>
      <c r="C50" s="39">
        <v>20</v>
      </c>
      <c r="D50" s="39" t="s">
        <v>68</v>
      </c>
      <c r="E50" s="208">
        <v>5</v>
      </c>
      <c r="F50" s="39">
        <v>5</v>
      </c>
      <c r="G50" s="129" t="s">
        <v>41</v>
      </c>
      <c r="H50" s="39"/>
      <c r="I50" s="39"/>
      <c r="J50" s="110"/>
      <c r="K50" s="204"/>
      <c r="N50" s="204"/>
    </row>
    <row r="51" spans="1:14" x14ac:dyDescent="0.3">
      <c r="A51" s="122">
        <v>2</v>
      </c>
      <c r="B51" s="61" t="s">
        <v>32</v>
      </c>
      <c r="C51" s="39">
        <v>20</v>
      </c>
      <c r="D51" s="39" t="s">
        <v>68</v>
      </c>
      <c r="E51" s="208">
        <v>5</v>
      </c>
      <c r="F51" s="39">
        <v>5</v>
      </c>
      <c r="G51" s="129" t="s">
        <v>41</v>
      </c>
      <c r="H51" s="39"/>
      <c r="I51" s="39"/>
      <c r="J51" s="110"/>
      <c r="K51" s="204"/>
      <c r="N51" s="204"/>
    </row>
    <row r="52" spans="1:14" x14ac:dyDescent="0.3">
      <c r="A52" s="122">
        <v>4</v>
      </c>
      <c r="B52" s="61" t="s">
        <v>32</v>
      </c>
      <c r="C52" s="39">
        <v>80</v>
      </c>
      <c r="D52" s="39" t="s">
        <v>68</v>
      </c>
      <c r="E52" s="208">
        <v>5</v>
      </c>
      <c r="F52" s="39">
        <v>5</v>
      </c>
      <c r="G52" s="129" t="s">
        <v>41</v>
      </c>
      <c r="H52" s="39"/>
      <c r="I52" s="39"/>
      <c r="J52" s="110"/>
      <c r="K52" s="204"/>
      <c r="N52" s="204"/>
    </row>
    <row r="53" spans="1:14" x14ac:dyDescent="0.3">
      <c r="A53" s="122">
        <v>1</v>
      </c>
      <c r="B53" s="61" t="s">
        <v>32</v>
      </c>
      <c r="C53" s="39">
        <v>40</v>
      </c>
      <c r="D53" s="39" t="s">
        <v>98</v>
      </c>
      <c r="E53" s="208">
        <v>3</v>
      </c>
      <c r="F53" s="39">
        <v>5</v>
      </c>
      <c r="G53" s="129" t="s">
        <v>41</v>
      </c>
      <c r="H53" s="39"/>
      <c r="I53" s="39"/>
      <c r="J53" s="110"/>
      <c r="K53" s="204"/>
      <c r="N53" s="204"/>
    </row>
    <row r="54" spans="1:14" x14ac:dyDescent="0.3">
      <c r="A54" s="122">
        <v>1</v>
      </c>
      <c r="B54" s="61" t="s">
        <v>32</v>
      </c>
      <c r="C54" s="39">
        <v>20</v>
      </c>
      <c r="D54" s="39" t="s">
        <v>68</v>
      </c>
      <c r="E54" s="208">
        <v>2</v>
      </c>
      <c r="F54" s="39">
        <v>5</v>
      </c>
      <c r="G54" s="129" t="s">
        <v>41</v>
      </c>
      <c r="H54" s="39"/>
      <c r="I54" s="39"/>
      <c r="J54" s="110"/>
      <c r="K54" s="204"/>
      <c r="N54" s="204"/>
    </row>
    <row r="55" spans="1:14" x14ac:dyDescent="0.3">
      <c r="A55" s="122">
        <v>1</v>
      </c>
      <c r="B55" s="61" t="s">
        <v>32</v>
      </c>
      <c r="C55" s="39">
        <v>10</v>
      </c>
      <c r="D55" s="39" t="s">
        <v>99</v>
      </c>
      <c r="E55" s="208"/>
      <c r="F55" s="39">
        <v>7</v>
      </c>
      <c r="G55" s="129" t="s">
        <v>111</v>
      </c>
      <c r="H55" s="39"/>
      <c r="I55" s="39"/>
      <c r="J55" s="110"/>
      <c r="K55" s="204"/>
      <c r="N55" s="204"/>
    </row>
    <row r="56" spans="1:14" x14ac:dyDescent="0.3">
      <c r="A56" s="122">
        <v>0</v>
      </c>
      <c r="B56" s="61"/>
      <c r="C56" s="39"/>
      <c r="D56" s="39" t="s">
        <v>58</v>
      </c>
      <c r="E56" s="39"/>
      <c r="F56" s="39">
        <v>6</v>
      </c>
      <c r="G56" s="39" t="s">
        <v>70</v>
      </c>
      <c r="H56" s="39"/>
      <c r="I56" s="39"/>
      <c r="J56" s="110" t="s">
        <v>115</v>
      </c>
      <c r="K56" s="204"/>
      <c r="N56" s="204"/>
    </row>
    <row r="57" spans="1:14" x14ac:dyDescent="0.3">
      <c r="A57" s="122">
        <v>1</v>
      </c>
      <c r="B57" s="61" t="s">
        <v>32</v>
      </c>
      <c r="C57" s="39">
        <v>10</v>
      </c>
      <c r="D57" s="39" t="s">
        <v>109</v>
      </c>
      <c r="E57" s="39">
        <v>1</v>
      </c>
      <c r="F57" s="39">
        <v>7</v>
      </c>
      <c r="G57" s="39" t="s">
        <v>111</v>
      </c>
      <c r="H57" s="39"/>
      <c r="I57" s="39"/>
      <c r="J57" s="110"/>
      <c r="K57" s="204"/>
      <c r="N57" s="204"/>
    </row>
    <row r="58" spans="1:14" x14ac:dyDescent="0.3">
      <c r="A58" s="122">
        <v>1</v>
      </c>
      <c r="B58" s="61" t="s">
        <v>32</v>
      </c>
      <c r="C58" s="39">
        <v>20</v>
      </c>
      <c r="D58" s="39" t="s">
        <v>99</v>
      </c>
      <c r="E58" s="39">
        <v>3</v>
      </c>
      <c r="F58" s="39">
        <v>7</v>
      </c>
      <c r="G58" s="39" t="s">
        <v>111</v>
      </c>
      <c r="H58" s="39"/>
      <c r="I58" s="39"/>
      <c r="J58" s="110"/>
      <c r="K58" s="204"/>
      <c r="N58" s="204"/>
    </row>
    <row r="59" spans="1:14" x14ac:dyDescent="0.3">
      <c r="A59" s="122">
        <v>1</v>
      </c>
      <c r="B59" s="61" t="s">
        <v>32</v>
      </c>
      <c r="C59" s="39">
        <v>30</v>
      </c>
      <c r="D59" s="39" t="s">
        <v>109</v>
      </c>
      <c r="E59" s="39">
        <v>1</v>
      </c>
      <c r="F59" s="39">
        <v>7</v>
      </c>
      <c r="G59" s="39" t="s">
        <v>111</v>
      </c>
      <c r="H59" s="39"/>
      <c r="I59" s="39"/>
      <c r="J59" s="110"/>
      <c r="K59" s="204"/>
      <c r="N59" s="204"/>
    </row>
    <row r="60" spans="1:14" x14ac:dyDescent="0.3">
      <c r="A60" s="122">
        <v>1</v>
      </c>
      <c r="B60" s="61" t="s">
        <v>32</v>
      </c>
      <c r="C60" s="39"/>
      <c r="D60" s="39" t="s">
        <v>68</v>
      </c>
      <c r="E60" s="39"/>
      <c r="F60" s="39">
        <v>8</v>
      </c>
      <c r="G60" s="39" t="s">
        <v>70</v>
      </c>
      <c r="H60" s="39"/>
      <c r="I60" s="39"/>
      <c r="J60" s="110"/>
      <c r="K60" s="204"/>
      <c r="N60" s="204"/>
    </row>
    <row r="61" spans="1:14" x14ac:dyDescent="0.3">
      <c r="A61" s="122">
        <v>1</v>
      </c>
      <c r="B61" s="61" t="s">
        <v>32</v>
      </c>
      <c r="C61" s="39">
        <v>40</v>
      </c>
      <c r="D61" s="39" t="s">
        <v>98</v>
      </c>
      <c r="E61" s="39">
        <v>2</v>
      </c>
      <c r="F61" s="39">
        <v>7</v>
      </c>
      <c r="G61" s="39" t="s">
        <v>111</v>
      </c>
      <c r="H61" s="39"/>
      <c r="I61" s="39"/>
      <c r="J61" s="110"/>
      <c r="K61" s="204"/>
      <c r="N61" s="204"/>
    </row>
    <row r="62" spans="1:14" x14ac:dyDescent="0.3">
      <c r="A62" s="122">
        <v>1</v>
      </c>
      <c r="B62" s="61" t="s">
        <v>32</v>
      </c>
      <c r="C62" s="39">
        <v>30</v>
      </c>
      <c r="D62" s="39" t="s">
        <v>109</v>
      </c>
      <c r="E62" s="39">
        <v>1</v>
      </c>
      <c r="F62" s="39">
        <v>7</v>
      </c>
      <c r="G62" s="39" t="s">
        <v>111</v>
      </c>
      <c r="H62" s="39"/>
      <c r="I62" s="39"/>
      <c r="J62" s="110"/>
      <c r="K62" s="204"/>
      <c r="N62" s="204"/>
    </row>
    <row r="63" spans="1:14" x14ac:dyDescent="0.3">
      <c r="A63" s="122">
        <v>0</v>
      </c>
      <c r="B63" s="61"/>
      <c r="C63" s="39"/>
      <c r="D63" s="39"/>
      <c r="E63" s="39"/>
      <c r="F63" s="39">
        <v>9</v>
      </c>
      <c r="G63" s="39" t="s">
        <v>41</v>
      </c>
      <c r="H63" s="39"/>
      <c r="I63" s="39"/>
      <c r="J63" s="110" t="s">
        <v>115</v>
      </c>
      <c r="K63" s="204"/>
      <c r="N63" s="204"/>
    </row>
    <row r="64" spans="1:14" x14ac:dyDescent="0.3">
      <c r="A64" s="122">
        <v>1</v>
      </c>
      <c r="B64" s="61" t="s">
        <v>32</v>
      </c>
      <c r="C64" s="39">
        <v>20</v>
      </c>
      <c r="D64" s="39" t="s">
        <v>109</v>
      </c>
      <c r="E64" s="39">
        <v>2</v>
      </c>
      <c r="F64" s="39">
        <v>10</v>
      </c>
      <c r="G64" s="39" t="s">
        <v>111</v>
      </c>
      <c r="H64" s="39"/>
      <c r="I64" s="68"/>
      <c r="J64" s="110"/>
      <c r="K64" s="204"/>
      <c r="N64" s="204"/>
    </row>
    <row r="65" spans="1:14" ht="15" thickBot="1" x14ac:dyDescent="0.35">
      <c r="A65" s="200">
        <v>2</v>
      </c>
      <c r="B65" s="71" t="s">
        <v>32</v>
      </c>
      <c r="C65" s="71">
        <v>40</v>
      </c>
      <c r="D65" s="114" t="s">
        <v>68</v>
      </c>
      <c r="E65" s="114">
        <v>3</v>
      </c>
      <c r="F65" s="114">
        <v>10</v>
      </c>
      <c r="G65" s="114" t="s">
        <v>111</v>
      </c>
      <c r="H65" s="114"/>
      <c r="I65" s="194">
        <v>0.69791666666666663</v>
      </c>
      <c r="J65" s="115"/>
      <c r="K65" s="204"/>
      <c r="N65" s="204"/>
    </row>
    <row r="66" spans="1:14" x14ac:dyDescent="0.3">
      <c r="K66" s="204"/>
      <c r="N66" s="204"/>
    </row>
    <row r="67" spans="1:14" x14ac:dyDescent="0.3">
      <c r="K67" s="204"/>
      <c r="N67" s="204"/>
    </row>
    <row r="68" spans="1:14" x14ac:dyDescent="0.3">
      <c r="K68" s="204"/>
      <c r="N68" s="204"/>
    </row>
    <row r="69" spans="1:14" x14ac:dyDescent="0.3">
      <c r="K69" s="204"/>
      <c r="N69" s="204"/>
    </row>
    <row r="70" spans="1:14" x14ac:dyDescent="0.3">
      <c r="K70" s="204"/>
      <c r="N70" s="204"/>
    </row>
    <row r="71" spans="1:14" x14ac:dyDescent="0.3">
      <c r="K71" s="204"/>
      <c r="N71" s="204"/>
    </row>
    <row r="72" spans="1:14" x14ac:dyDescent="0.3">
      <c r="K72" s="204"/>
      <c r="N72" s="204"/>
    </row>
    <row r="73" spans="1:14" x14ac:dyDescent="0.3">
      <c r="K73" s="204"/>
      <c r="N73" s="204"/>
    </row>
    <row r="74" spans="1:14" x14ac:dyDescent="0.3">
      <c r="K74" s="204"/>
      <c r="N74" s="204"/>
    </row>
    <row r="75" spans="1:14" x14ac:dyDescent="0.3">
      <c r="K75" s="204"/>
      <c r="N75" s="204"/>
    </row>
    <row r="76" spans="1:14" x14ac:dyDescent="0.3">
      <c r="K76" s="204"/>
      <c r="N76" s="204"/>
    </row>
    <row r="77" spans="1:14" x14ac:dyDescent="0.3">
      <c r="K77" s="204"/>
      <c r="N77" s="204"/>
    </row>
    <row r="78" spans="1:14" x14ac:dyDescent="0.3">
      <c r="K78" s="204"/>
      <c r="N78" s="204"/>
    </row>
    <row r="79" spans="1:14" x14ac:dyDescent="0.3">
      <c r="K79" s="204"/>
      <c r="N79" s="204"/>
    </row>
    <row r="80" spans="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32"/>
  <sheetViews>
    <sheetView workbookViewId="0">
      <selection activeCell="M27" sqref="M27"/>
    </sheetView>
  </sheetViews>
  <sheetFormatPr defaultRowHeight="14.4" x14ac:dyDescent="0.3"/>
  <cols>
    <col min="2" max="2" width="9.5546875" bestFit="1" customWidth="1"/>
    <col min="7" max="7" width="16" customWidth="1"/>
    <col min="9" max="9" width="9.88671875" customWidth="1"/>
    <col min="10" max="10" width="13.5546875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85</v>
      </c>
      <c r="J1" s="150" t="s">
        <v>86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68</v>
      </c>
      <c r="C2" s="2"/>
      <c r="D2" s="3"/>
      <c r="E2" s="2"/>
      <c r="F2" s="2"/>
      <c r="G2" s="6"/>
      <c r="H2" s="46"/>
      <c r="I2" s="59" t="s">
        <v>73</v>
      </c>
      <c r="J2" s="83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 t="s">
        <v>219</v>
      </c>
      <c r="C3" s="7" t="s">
        <v>2</v>
      </c>
      <c r="D3" s="8"/>
      <c r="E3" s="7" t="s">
        <v>3</v>
      </c>
      <c r="F3" s="9"/>
      <c r="G3" s="10" t="s">
        <v>4</v>
      </c>
      <c r="H3" s="22"/>
      <c r="I3" s="167"/>
      <c r="J3" s="168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1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65" t="s">
        <v>11</v>
      </c>
      <c r="I4" s="169" t="s">
        <v>98</v>
      </c>
      <c r="J4" s="95">
        <v>1</v>
      </c>
      <c r="K4" s="204" t="s">
        <v>177</v>
      </c>
      <c r="L4" s="204">
        <f>SUMIFS($A$11:$A$401,$B$11:$B$401,"CH",$F$11:$F$401,"2")</f>
        <v>12</v>
      </c>
      <c r="M4" s="204" t="s">
        <v>7</v>
      </c>
      <c r="N4" s="204">
        <f>SUMIFS($A$11:$A$401,$B$11:$B$401,"RT",$F$11:$F$401,"2")</f>
        <v>41</v>
      </c>
      <c r="O4" s="204" t="s">
        <v>14</v>
      </c>
    </row>
    <row r="5" spans="1:15" ht="15" thickTop="1" x14ac:dyDescent="0.3">
      <c r="A5" s="54" t="s">
        <v>67</v>
      </c>
      <c r="B5" s="55">
        <v>0.7006944444444444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91</v>
      </c>
      <c r="H5" s="165" t="s">
        <v>18</v>
      </c>
      <c r="I5" s="169" t="s">
        <v>99</v>
      </c>
      <c r="J5" s="95">
        <v>2</v>
      </c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53" t="s">
        <v>12</v>
      </c>
      <c r="B6" s="161">
        <v>43704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65" t="s">
        <v>24</v>
      </c>
      <c r="I6" s="169" t="s">
        <v>72</v>
      </c>
      <c r="J6" s="95">
        <v>3</v>
      </c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3</v>
      </c>
      <c r="O6" s="204" t="s">
        <v>14</v>
      </c>
    </row>
    <row r="7" spans="1:15" x14ac:dyDescent="0.3">
      <c r="A7" s="47" t="s">
        <v>62</v>
      </c>
      <c r="B7" s="18">
        <v>17</v>
      </c>
      <c r="C7" s="11" t="s">
        <v>26</v>
      </c>
      <c r="D7" s="12" t="s">
        <v>27</v>
      </c>
      <c r="E7" s="11" t="s">
        <v>87</v>
      </c>
      <c r="F7" s="12" t="s">
        <v>76</v>
      </c>
      <c r="G7" s="19" t="s">
        <v>65</v>
      </c>
      <c r="H7" s="165" t="s">
        <v>63</v>
      </c>
      <c r="I7" s="170"/>
      <c r="J7" s="95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4</v>
      </c>
      <c r="O7" s="204" t="s">
        <v>14</v>
      </c>
    </row>
    <row r="8" spans="1:15" ht="15" thickBot="1" x14ac:dyDescent="0.35">
      <c r="A8" s="16" t="s">
        <v>25</v>
      </c>
      <c r="B8" s="41">
        <v>2</v>
      </c>
      <c r="C8" s="13" t="s">
        <v>82</v>
      </c>
      <c r="D8" s="12" t="s">
        <v>83</v>
      </c>
      <c r="E8" s="13" t="s">
        <v>89</v>
      </c>
      <c r="F8" s="12" t="s">
        <v>70</v>
      </c>
      <c r="G8" s="21" t="s">
        <v>66</v>
      </c>
      <c r="H8" s="165" t="s">
        <v>64</v>
      </c>
      <c r="I8" s="170"/>
      <c r="J8" s="95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185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166"/>
      <c r="I9" s="171"/>
      <c r="J9" s="173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3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/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4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158"/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145" t="s">
        <v>48</v>
      </c>
      <c r="B12" s="83" t="s">
        <v>49</v>
      </c>
      <c r="C12" s="83" t="s">
        <v>50</v>
      </c>
      <c r="D12" s="83" t="s">
        <v>51</v>
      </c>
      <c r="E12" s="83" t="s">
        <v>52</v>
      </c>
      <c r="F12" s="83" t="s">
        <v>53</v>
      </c>
      <c r="G12" s="83" t="s">
        <v>54</v>
      </c>
      <c r="H12" s="83" t="s">
        <v>55</v>
      </c>
      <c r="I12" s="83" t="s">
        <v>56</v>
      </c>
      <c r="J12" s="83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x14ac:dyDescent="0.3">
      <c r="A13" s="134">
        <v>1</v>
      </c>
      <c r="B13" s="137" t="s">
        <v>14</v>
      </c>
      <c r="C13" s="135">
        <v>20</v>
      </c>
      <c r="D13" s="190" t="s">
        <v>105</v>
      </c>
      <c r="E13" s="135">
        <v>0</v>
      </c>
      <c r="F13" s="135">
        <v>1</v>
      </c>
      <c r="G13" s="135" t="s">
        <v>111</v>
      </c>
      <c r="H13" s="135" t="s">
        <v>71</v>
      </c>
      <c r="I13" s="147">
        <v>0.7006944444444444</v>
      </c>
      <c r="J13" s="136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1</v>
      </c>
      <c r="O13" s="204" t="s">
        <v>14</v>
      </c>
    </row>
    <row r="14" spans="1:15" x14ac:dyDescent="0.3">
      <c r="A14" s="109">
        <v>3</v>
      </c>
      <c r="B14" s="61" t="s">
        <v>14</v>
      </c>
      <c r="C14" s="39">
        <v>60</v>
      </c>
      <c r="D14" s="39" t="s">
        <v>98</v>
      </c>
      <c r="E14" s="39">
        <v>1</v>
      </c>
      <c r="F14" s="39">
        <v>2</v>
      </c>
      <c r="G14" s="39" t="s">
        <v>87</v>
      </c>
      <c r="H14" s="39" t="s">
        <v>71</v>
      </c>
      <c r="I14" s="39"/>
      <c r="J14" s="110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109">
        <v>2</v>
      </c>
      <c r="B15" s="61" t="s">
        <v>14</v>
      </c>
      <c r="C15" s="39">
        <v>130</v>
      </c>
      <c r="D15" s="39" t="s">
        <v>98</v>
      </c>
      <c r="E15" s="39">
        <v>1</v>
      </c>
      <c r="F15" s="39">
        <v>2</v>
      </c>
      <c r="G15" s="39" t="s">
        <v>87</v>
      </c>
      <c r="H15" s="39" t="s">
        <v>71</v>
      </c>
      <c r="I15" s="39"/>
      <c r="J15" s="110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109">
        <v>3</v>
      </c>
      <c r="B16" s="61" t="s">
        <v>14</v>
      </c>
      <c r="C16" s="39">
        <v>60</v>
      </c>
      <c r="D16" s="39" t="s">
        <v>98</v>
      </c>
      <c r="E16" s="39">
        <v>1</v>
      </c>
      <c r="F16" s="39">
        <v>2</v>
      </c>
      <c r="G16" s="39" t="s">
        <v>87</v>
      </c>
      <c r="H16" s="39" t="s">
        <v>102</v>
      </c>
      <c r="I16" s="39"/>
      <c r="J16" s="110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109">
        <v>4</v>
      </c>
      <c r="B17" s="61" t="s">
        <v>14</v>
      </c>
      <c r="C17" s="39">
        <v>100</v>
      </c>
      <c r="D17" s="39" t="s">
        <v>72</v>
      </c>
      <c r="E17" s="39">
        <v>3</v>
      </c>
      <c r="F17" s="39">
        <v>2</v>
      </c>
      <c r="G17" s="39" t="s">
        <v>87</v>
      </c>
      <c r="H17" s="39" t="s">
        <v>71</v>
      </c>
      <c r="I17" s="39"/>
      <c r="J17" s="110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109">
        <v>2</v>
      </c>
      <c r="B18" s="61" t="s">
        <v>14</v>
      </c>
      <c r="C18" s="39">
        <v>150</v>
      </c>
      <c r="D18" s="39" t="s">
        <v>72</v>
      </c>
      <c r="E18" s="39">
        <v>3</v>
      </c>
      <c r="F18" s="39">
        <v>2</v>
      </c>
      <c r="G18" s="39" t="s">
        <v>87</v>
      </c>
      <c r="H18" s="39" t="s">
        <v>71</v>
      </c>
      <c r="I18" s="39"/>
      <c r="J18" s="110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109">
        <v>3</v>
      </c>
      <c r="B19" s="61" t="s">
        <v>7</v>
      </c>
      <c r="C19" s="39">
        <v>70</v>
      </c>
      <c r="D19" s="39" t="s">
        <v>98</v>
      </c>
      <c r="E19" s="39">
        <v>1</v>
      </c>
      <c r="F19" s="39">
        <v>2</v>
      </c>
      <c r="G19" s="39" t="s">
        <v>87</v>
      </c>
      <c r="H19" s="39" t="s">
        <v>71</v>
      </c>
      <c r="I19" s="39"/>
      <c r="J19" s="110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109">
        <v>2</v>
      </c>
      <c r="B20" s="61" t="s">
        <v>14</v>
      </c>
      <c r="C20" s="39">
        <v>60</v>
      </c>
      <c r="D20" s="39" t="s">
        <v>98</v>
      </c>
      <c r="E20" s="39">
        <v>1</v>
      </c>
      <c r="F20" s="39">
        <v>2</v>
      </c>
      <c r="G20" s="39" t="s">
        <v>87</v>
      </c>
      <c r="H20" s="39" t="s">
        <v>71</v>
      </c>
      <c r="I20" s="39"/>
      <c r="J20" s="110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109">
        <v>2</v>
      </c>
      <c r="B21" s="61" t="s">
        <v>14</v>
      </c>
      <c r="C21" s="39">
        <v>100</v>
      </c>
      <c r="D21" s="39" t="s">
        <v>98</v>
      </c>
      <c r="E21" s="39">
        <v>1</v>
      </c>
      <c r="F21" s="39">
        <v>2</v>
      </c>
      <c r="G21" s="39" t="s">
        <v>87</v>
      </c>
      <c r="H21" s="39" t="s">
        <v>71</v>
      </c>
      <c r="I21" s="39"/>
      <c r="J21" s="110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109">
        <v>1</v>
      </c>
      <c r="B22" s="61" t="s">
        <v>14</v>
      </c>
      <c r="C22" s="39">
        <v>80</v>
      </c>
      <c r="D22" s="39" t="s">
        <v>72</v>
      </c>
      <c r="E22" s="39">
        <v>3</v>
      </c>
      <c r="F22" s="39">
        <v>2</v>
      </c>
      <c r="G22" s="39" t="s">
        <v>87</v>
      </c>
      <c r="H22" s="39" t="s">
        <v>71</v>
      </c>
      <c r="I22" s="39"/>
      <c r="J22" s="110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109">
        <v>1</v>
      </c>
      <c r="B23" s="61" t="s">
        <v>14</v>
      </c>
      <c r="C23" s="39">
        <v>60</v>
      </c>
      <c r="D23" s="39" t="s">
        <v>98</v>
      </c>
      <c r="E23" s="39">
        <v>2</v>
      </c>
      <c r="F23" s="39">
        <v>2</v>
      </c>
      <c r="G23" s="39" t="s">
        <v>87</v>
      </c>
      <c r="H23" s="39" t="s">
        <v>71</v>
      </c>
      <c r="I23" s="39"/>
      <c r="J23" s="110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109">
        <v>1</v>
      </c>
      <c r="B24" s="61" t="s">
        <v>14</v>
      </c>
      <c r="C24" s="39">
        <v>60</v>
      </c>
      <c r="D24" s="39" t="s">
        <v>99</v>
      </c>
      <c r="E24" s="39">
        <v>1</v>
      </c>
      <c r="F24" s="39">
        <v>2</v>
      </c>
      <c r="G24" s="39" t="s">
        <v>87</v>
      </c>
      <c r="H24" s="39" t="s">
        <v>71</v>
      </c>
      <c r="I24" s="39"/>
      <c r="J24" s="110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109">
        <v>1</v>
      </c>
      <c r="B25" s="61" t="s">
        <v>7</v>
      </c>
      <c r="C25" s="39">
        <v>70</v>
      </c>
      <c r="D25" s="39" t="s">
        <v>99</v>
      </c>
      <c r="E25" s="39">
        <v>1</v>
      </c>
      <c r="F25" s="39">
        <v>2</v>
      </c>
      <c r="G25" s="39" t="s">
        <v>87</v>
      </c>
      <c r="H25" s="39" t="s">
        <v>71</v>
      </c>
      <c r="I25" s="39"/>
      <c r="J25" s="110"/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109">
        <v>4</v>
      </c>
      <c r="B26" s="61" t="s">
        <v>14</v>
      </c>
      <c r="C26" s="39">
        <v>60</v>
      </c>
      <c r="D26" s="39" t="s">
        <v>99</v>
      </c>
      <c r="E26" s="39">
        <v>1</v>
      </c>
      <c r="F26" s="39">
        <v>2</v>
      </c>
      <c r="G26" s="39" t="s">
        <v>87</v>
      </c>
      <c r="H26" s="39" t="s">
        <v>102</v>
      </c>
      <c r="I26" s="39"/>
      <c r="J26" s="110"/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109">
        <v>3</v>
      </c>
      <c r="B27" s="61" t="s">
        <v>7</v>
      </c>
      <c r="C27" s="39">
        <v>70</v>
      </c>
      <c r="D27" s="39" t="s">
        <v>98</v>
      </c>
      <c r="E27" s="39">
        <v>2</v>
      </c>
      <c r="F27" s="39">
        <v>2</v>
      </c>
      <c r="G27" s="39" t="s">
        <v>87</v>
      </c>
      <c r="H27" s="39" t="s">
        <v>18</v>
      </c>
      <c r="I27" s="39"/>
      <c r="J27" s="110"/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109">
        <v>4</v>
      </c>
      <c r="B28" s="61" t="s">
        <v>14</v>
      </c>
      <c r="C28" s="39">
        <v>70</v>
      </c>
      <c r="D28" s="39" t="s">
        <v>98</v>
      </c>
      <c r="E28" s="39">
        <v>2</v>
      </c>
      <c r="F28" s="39">
        <v>2</v>
      </c>
      <c r="G28" s="39" t="s">
        <v>87</v>
      </c>
      <c r="H28" s="39" t="s">
        <v>102</v>
      </c>
      <c r="I28" s="39"/>
      <c r="J28" s="110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109">
        <v>0</v>
      </c>
      <c r="B29" s="61"/>
      <c r="C29" s="39"/>
      <c r="D29" s="39"/>
      <c r="E29" s="39"/>
      <c r="F29" s="39">
        <v>3</v>
      </c>
      <c r="G29" s="39"/>
      <c r="H29" s="39"/>
      <c r="I29" s="68"/>
      <c r="J29" s="110" t="s">
        <v>115</v>
      </c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132">
        <v>2</v>
      </c>
      <c r="B30" s="61" t="s">
        <v>14</v>
      </c>
      <c r="C30" s="69">
        <v>60</v>
      </c>
      <c r="D30" s="69" t="s">
        <v>98</v>
      </c>
      <c r="E30" s="69">
        <v>2</v>
      </c>
      <c r="F30" s="61">
        <v>2</v>
      </c>
      <c r="G30" s="39" t="s">
        <v>87</v>
      </c>
      <c r="H30" s="69" t="s">
        <v>71</v>
      </c>
      <c r="I30" s="69"/>
      <c r="J30" s="116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132">
        <v>1</v>
      </c>
      <c r="B31" s="61" t="s">
        <v>14</v>
      </c>
      <c r="C31" s="69">
        <v>120</v>
      </c>
      <c r="D31" s="69" t="s">
        <v>98</v>
      </c>
      <c r="E31" s="69">
        <v>2</v>
      </c>
      <c r="F31" s="61">
        <v>2</v>
      </c>
      <c r="G31" s="39" t="s">
        <v>87</v>
      </c>
      <c r="H31" s="69" t="s">
        <v>71</v>
      </c>
      <c r="I31" s="69"/>
      <c r="J31" s="116"/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178">
        <v>1</v>
      </c>
      <c r="B32" s="73" t="s">
        <v>14</v>
      </c>
      <c r="C32" s="73">
        <v>60</v>
      </c>
      <c r="D32" s="73" t="s">
        <v>98</v>
      </c>
      <c r="E32" s="73">
        <v>2</v>
      </c>
      <c r="F32" s="73">
        <v>2</v>
      </c>
      <c r="G32" s="39" t="s">
        <v>87</v>
      </c>
      <c r="H32" s="69" t="s">
        <v>71</v>
      </c>
      <c r="I32" s="73"/>
      <c r="J32" s="179"/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132">
        <v>5</v>
      </c>
      <c r="B33" s="69" t="s">
        <v>7</v>
      </c>
      <c r="C33" s="69">
        <v>70</v>
      </c>
      <c r="D33" s="69" t="s">
        <v>98</v>
      </c>
      <c r="E33" s="69">
        <v>2</v>
      </c>
      <c r="F33" s="69">
        <v>2</v>
      </c>
      <c r="G33" s="39" t="s">
        <v>87</v>
      </c>
      <c r="H33" s="69" t="s">
        <v>71</v>
      </c>
      <c r="I33" s="69"/>
      <c r="J33" s="116" t="s">
        <v>146</v>
      </c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x14ac:dyDescent="0.3">
      <c r="A34" s="132">
        <v>4</v>
      </c>
      <c r="B34" s="69" t="s">
        <v>14</v>
      </c>
      <c r="C34" s="69">
        <v>70</v>
      </c>
      <c r="D34" s="69" t="s">
        <v>98</v>
      </c>
      <c r="E34" s="69">
        <v>2</v>
      </c>
      <c r="F34" s="69">
        <v>2</v>
      </c>
      <c r="G34" s="39" t="s">
        <v>87</v>
      </c>
      <c r="H34" s="69" t="s">
        <v>71</v>
      </c>
      <c r="I34" s="69"/>
      <c r="J34" s="116"/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A35" s="132">
        <v>1</v>
      </c>
      <c r="B35" s="69" t="s">
        <v>14</v>
      </c>
      <c r="C35" s="69">
        <v>120</v>
      </c>
      <c r="D35" s="69" t="s">
        <v>98</v>
      </c>
      <c r="E35" s="69">
        <v>2</v>
      </c>
      <c r="F35" s="69">
        <v>2</v>
      </c>
      <c r="G35" s="39" t="s">
        <v>87</v>
      </c>
      <c r="H35" s="69" t="s">
        <v>71</v>
      </c>
      <c r="I35" s="69"/>
      <c r="J35" s="116"/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A36" s="132">
        <v>3</v>
      </c>
      <c r="B36" s="69" t="s">
        <v>14</v>
      </c>
      <c r="C36" s="69">
        <v>60</v>
      </c>
      <c r="D36" s="69" t="s">
        <v>98</v>
      </c>
      <c r="E36" s="69">
        <v>2</v>
      </c>
      <c r="F36" s="69">
        <v>2</v>
      </c>
      <c r="G36" s="39" t="s">
        <v>87</v>
      </c>
      <c r="H36" s="69" t="s">
        <v>71</v>
      </c>
      <c r="I36" s="69"/>
      <c r="J36" s="116"/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A37" s="132">
        <v>1</v>
      </c>
      <c r="B37" s="69" t="s">
        <v>14</v>
      </c>
      <c r="C37" s="69">
        <v>180</v>
      </c>
      <c r="D37" s="69" t="s">
        <v>72</v>
      </c>
      <c r="E37" s="69">
        <v>1</v>
      </c>
      <c r="F37" s="69">
        <v>4</v>
      </c>
      <c r="G37" s="39" t="s">
        <v>87</v>
      </c>
      <c r="H37" s="69" t="s">
        <v>71</v>
      </c>
      <c r="I37" s="69"/>
      <c r="J37" s="116"/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x14ac:dyDescent="0.3">
      <c r="A38" s="132">
        <v>1</v>
      </c>
      <c r="B38" s="69" t="s">
        <v>14</v>
      </c>
      <c r="C38" s="69">
        <v>60</v>
      </c>
      <c r="D38" s="69" t="s">
        <v>72</v>
      </c>
      <c r="E38" s="69">
        <v>1</v>
      </c>
      <c r="F38" s="69">
        <v>4</v>
      </c>
      <c r="G38" s="39" t="s">
        <v>87</v>
      </c>
      <c r="H38" s="69" t="s">
        <v>71</v>
      </c>
      <c r="I38" s="69"/>
      <c r="J38" s="116"/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x14ac:dyDescent="0.3">
      <c r="A39" s="132">
        <v>1</v>
      </c>
      <c r="B39" s="69" t="s">
        <v>14</v>
      </c>
      <c r="C39" s="69">
        <v>100</v>
      </c>
      <c r="D39" s="69" t="s">
        <v>98</v>
      </c>
      <c r="E39" s="69">
        <v>2</v>
      </c>
      <c r="F39" s="69">
        <v>4</v>
      </c>
      <c r="G39" s="39" t="s">
        <v>87</v>
      </c>
      <c r="H39" s="69" t="s">
        <v>71</v>
      </c>
      <c r="I39" s="69"/>
      <c r="J39" s="116"/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A40" s="132">
        <v>1</v>
      </c>
      <c r="B40" s="69" t="s">
        <v>27</v>
      </c>
      <c r="C40" s="69">
        <v>400</v>
      </c>
      <c r="D40" s="69" t="s">
        <v>99</v>
      </c>
      <c r="E40" s="69">
        <v>2</v>
      </c>
      <c r="F40" s="69">
        <v>5</v>
      </c>
      <c r="G40" s="39" t="s">
        <v>87</v>
      </c>
      <c r="H40" s="69" t="s">
        <v>71</v>
      </c>
      <c r="I40" s="69"/>
      <c r="J40" s="116"/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A41" s="132">
        <v>2</v>
      </c>
      <c r="B41" s="69" t="s">
        <v>14</v>
      </c>
      <c r="C41" s="69">
        <v>300</v>
      </c>
      <c r="D41" s="69" t="s">
        <v>99</v>
      </c>
      <c r="E41" s="69">
        <v>2</v>
      </c>
      <c r="F41" s="69">
        <v>5</v>
      </c>
      <c r="G41" s="39" t="s">
        <v>87</v>
      </c>
      <c r="H41" s="69" t="s">
        <v>71</v>
      </c>
      <c r="I41" s="69"/>
      <c r="J41" s="116"/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x14ac:dyDescent="0.3">
      <c r="A42" s="132">
        <v>1</v>
      </c>
      <c r="B42" s="69" t="s">
        <v>27</v>
      </c>
      <c r="C42" s="69">
        <v>400</v>
      </c>
      <c r="D42" s="69" t="s">
        <v>99</v>
      </c>
      <c r="E42" s="69">
        <v>2</v>
      </c>
      <c r="F42" s="69">
        <v>5</v>
      </c>
      <c r="G42" s="39" t="s">
        <v>87</v>
      </c>
      <c r="H42" s="69" t="s">
        <v>71</v>
      </c>
      <c r="I42" s="69"/>
      <c r="J42" s="116"/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A43" s="132">
        <v>1</v>
      </c>
      <c r="B43" s="69" t="s">
        <v>27</v>
      </c>
      <c r="C43" s="69">
        <v>200</v>
      </c>
      <c r="D43" s="69" t="s">
        <v>99</v>
      </c>
      <c r="E43" s="69">
        <v>2</v>
      </c>
      <c r="F43" s="69">
        <v>5</v>
      </c>
      <c r="G43" s="39" t="s">
        <v>87</v>
      </c>
      <c r="H43" s="69" t="s">
        <v>102</v>
      </c>
      <c r="I43" s="69"/>
      <c r="J43" s="116"/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A44" s="132">
        <v>1</v>
      </c>
      <c r="B44" s="69" t="s">
        <v>14</v>
      </c>
      <c r="C44" s="69">
        <v>470</v>
      </c>
      <c r="D44" s="69" t="s">
        <v>98</v>
      </c>
      <c r="E44" s="69">
        <v>3</v>
      </c>
      <c r="F44" s="69">
        <v>5</v>
      </c>
      <c r="G44" s="39" t="s">
        <v>87</v>
      </c>
      <c r="H44" s="69" t="s">
        <v>71</v>
      </c>
      <c r="I44" s="69"/>
      <c r="J44" s="116"/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A45" s="132">
        <v>1</v>
      </c>
      <c r="B45" s="69" t="s">
        <v>14</v>
      </c>
      <c r="C45" s="69">
        <v>300</v>
      </c>
      <c r="D45" s="69" t="s">
        <v>99</v>
      </c>
      <c r="E45" s="69">
        <v>2</v>
      </c>
      <c r="F45" s="69">
        <v>5</v>
      </c>
      <c r="G45" s="39" t="s">
        <v>87</v>
      </c>
      <c r="H45" s="69" t="s">
        <v>71</v>
      </c>
      <c r="I45" s="69"/>
      <c r="J45" s="116"/>
      <c r="K45" s="204" t="s">
        <v>222</v>
      </c>
      <c r="L45" s="204">
        <f>SUM(L3:L44)</f>
        <v>12</v>
      </c>
      <c r="M45" s="204" t="s">
        <v>7</v>
      </c>
      <c r="N45" s="204">
        <f>SUM(N3:N44)</f>
        <v>242</v>
      </c>
      <c r="O45" s="204" t="s">
        <v>14</v>
      </c>
    </row>
    <row r="46" spans="1:15" ht="15" thickBot="1" x14ac:dyDescent="0.35">
      <c r="A46" s="177">
        <v>8</v>
      </c>
      <c r="B46" s="72" t="s">
        <v>14</v>
      </c>
      <c r="C46" s="72">
        <v>300</v>
      </c>
      <c r="D46" s="72" t="s">
        <v>99</v>
      </c>
      <c r="E46" s="72">
        <v>2</v>
      </c>
      <c r="F46" s="72">
        <v>6</v>
      </c>
      <c r="G46" s="72" t="s">
        <v>41</v>
      </c>
      <c r="H46" s="72" t="s">
        <v>71</v>
      </c>
      <c r="I46" s="191">
        <v>0.7270833333333333</v>
      </c>
      <c r="J46" s="117"/>
      <c r="K46" s="204"/>
      <c r="L46" s="204"/>
      <c r="M46" s="204"/>
      <c r="N46" s="204"/>
    </row>
    <row r="47" spans="1:15" x14ac:dyDescent="0.3">
      <c r="A47" s="174">
        <v>6</v>
      </c>
      <c r="B47" s="175" t="s">
        <v>14</v>
      </c>
      <c r="C47" s="175">
        <v>200</v>
      </c>
      <c r="D47" s="175" t="s">
        <v>99</v>
      </c>
      <c r="E47" s="175">
        <v>2</v>
      </c>
      <c r="F47" s="175">
        <v>6</v>
      </c>
      <c r="G47" s="73" t="s">
        <v>41</v>
      </c>
      <c r="H47" s="175" t="s">
        <v>71</v>
      </c>
      <c r="I47" s="175"/>
      <c r="J47" s="176"/>
      <c r="K47" s="204"/>
      <c r="N47" s="204"/>
    </row>
    <row r="48" spans="1:15" x14ac:dyDescent="0.3">
      <c r="A48" s="132">
        <v>3</v>
      </c>
      <c r="B48" s="69" t="s">
        <v>14</v>
      </c>
      <c r="C48" s="69">
        <v>150</v>
      </c>
      <c r="D48" s="69" t="s">
        <v>99</v>
      </c>
      <c r="E48" s="69">
        <v>2</v>
      </c>
      <c r="F48" s="69">
        <v>6</v>
      </c>
      <c r="G48" s="69" t="s">
        <v>41</v>
      </c>
      <c r="H48" s="69" t="s">
        <v>71</v>
      </c>
      <c r="I48" s="69"/>
      <c r="J48" s="116"/>
      <c r="K48" s="204"/>
      <c r="N48" s="204"/>
    </row>
    <row r="49" spans="1:14" x14ac:dyDescent="0.3">
      <c r="A49" s="132">
        <v>4</v>
      </c>
      <c r="B49" s="69" t="s">
        <v>14</v>
      </c>
      <c r="C49" s="69">
        <v>400</v>
      </c>
      <c r="D49" s="69" t="s">
        <v>99</v>
      </c>
      <c r="E49" s="69">
        <v>2</v>
      </c>
      <c r="F49" s="69">
        <v>6</v>
      </c>
      <c r="G49" s="69" t="s">
        <v>41</v>
      </c>
      <c r="H49" s="69" t="s">
        <v>71</v>
      </c>
      <c r="I49" s="69"/>
      <c r="J49" s="116"/>
      <c r="K49" s="204"/>
      <c r="N49" s="204"/>
    </row>
    <row r="50" spans="1:14" x14ac:dyDescent="0.3">
      <c r="A50" s="132">
        <v>1</v>
      </c>
      <c r="B50" s="69" t="s">
        <v>14</v>
      </c>
      <c r="C50" s="69">
        <v>70</v>
      </c>
      <c r="D50" s="69" t="s">
        <v>99</v>
      </c>
      <c r="E50" s="69">
        <v>2</v>
      </c>
      <c r="F50" s="69">
        <v>6</v>
      </c>
      <c r="G50" s="69" t="s">
        <v>41</v>
      </c>
      <c r="H50" s="69" t="s">
        <v>71</v>
      </c>
      <c r="I50" s="69"/>
      <c r="J50" s="116" t="s">
        <v>148</v>
      </c>
      <c r="K50" s="204"/>
      <c r="N50" s="204"/>
    </row>
    <row r="51" spans="1:14" x14ac:dyDescent="0.3">
      <c r="A51" s="132">
        <v>8</v>
      </c>
      <c r="B51" s="69" t="s">
        <v>14</v>
      </c>
      <c r="C51" s="69">
        <v>180</v>
      </c>
      <c r="D51" s="69" t="s">
        <v>98</v>
      </c>
      <c r="E51" s="69">
        <v>3</v>
      </c>
      <c r="F51" s="69">
        <v>6</v>
      </c>
      <c r="G51" s="69" t="s">
        <v>41</v>
      </c>
      <c r="H51" s="69" t="s">
        <v>71</v>
      </c>
      <c r="I51" s="69"/>
      <c r="J51" s="116"/>
      <c r="K51" s="204"/>
      <c r="N51" s="204"/>
    </row>
    <row r="52" spans="1:14" x14ac:dyDescent="0.3">
      <c r="A52" s="132">
        <v>2</v>
      </c>
      <c r="B52" s="69" t="s">
        <v>14</v>
      </c>
      <c r="C52" s="69">
        <v>150</v>
      </c>
      <c r="D52" s="69" t="s">
        <v>98</v>
      </c>
      <c r="E52" s="69">
        <v>3</v>
      </c>
      <c r="F52" s="69">
        <v>6</v>
      </c>
      <c r="G52" s="69" t="s">
        <v>41</v>
      </c>
      <c r="H52" s="69" t="s">
        <v>71</v>
      </c>
      <c r="I52" s="69"/>
      <c r="J52" s="116"/>
      <c r="K52" s="204"/>
      <c r="N52" s="204"/>
    </row>
    <row r="53" spans="1:14" x14ac:dyDescent="0.3">
      <c r="A53" s="132">
        <v>1</v>
      </c>
      <c r="B53" s="69" t="s">
        <v>14</v>
      </c>
      <c r="C53" s="69">
        <v>100</v>
      </c>
      <c r="D53" s="69" t="s">
        <v>98</v>
      </c>
      <c r="E53" s="69">
        <v>3</v>
      </c>
      <c r="F53" s="69">
        <v>6</v>
      </c>
      <c r="G53" s="69" t="s">
        <v>41</v>
      </c>
      <c r="H53" s="69" t="s">
        <v>71</v>
      </c>
      <c r="I53" s="69"/>
      <c r="J53" s="116"/>
      <c r="K53" s="204"/>
      <c r="N53" s="204"/>
    </row>
    <row r="54" spans="1:14" x14ac:dyDescent="0.3">
      <c r="A54" s="132">
        <v>3</v>
      </c>
      <c r="B54" s="69" t="s">
        <v>14</v>
      </c>
      <c r="C54" s="69">
        <v>150</v>
      </c>
      <c r="D54" s="69" t="s">
        <v>98</v>
      </c>
      <c r="E54" s="69">
        <v>3</v>
      </c>
      <c r="F54" s="69">
        <v>6</v>
      </c>
      <c r="G54" s="69" t="s">
        <v>41</v>
      </c>
      <c r="H54" s="69" t="s">
        <v>71</v>
      </c>
      <c r="I54" s="69"/>
      <c r="J54" s="116"/>
      <c r="K54" s="204"/>
      <c r="N54" s="204"/>
    </row>
    <row r="55" spans="1:14" x14ac:dyDescent="0.3">
      <c r="A55" s="132">
        <v>8</v>
      </c>
      <c r="B55" s="69" t="s">
        <v>14</v>
      </c>
      <c r="C55" s="69">
        <v>150</v>
      </c>
      <c r="D55" s="69" t="s">
        <v>72</v>
      </c>
      <c r="E55" s="69">
        <v>1</v>
      </c>
      <c r="F55" s="69">
        <v>6</v>
      </c>
      <c r="G55" s="69" t="s">
        <v>41</v>
      </c>
      <c r="H55" s="69" t="s">
        <v>71</v>
      </c>
      <c r="I55" s="69"/>
      <c r="J55" s="116"/>
      <c r="K55" s="204"/>
      <c r="N55" s="204"/>
    </row>
    <row r="56" spans="1:14" x14ac:dyDescent="0.3">
      <c r="A56" s="132">
        <v>5</v>
      </c>
      <c r="B56" s="69" t="s">
        <v>14</v>
      </c>
      <c r="C56" s="69">
        <v>200</v>
      </c>
      <c r="D56" s="69" t="s">
        <v>72</v>
      </c>
      <c r="E56" s="69">
        <v>1</v>
      </c>
      <c r="F56" s="69">
        <v>6</v>
      </c>
      <c r="G56" s="69" t="s">
        <v>41</v>
      </c>
      <c r="H56" s="69" t="s">
        <v>71</v>
      </c>
      <c r="I56" s="69"/>
      <c r="J56" s="116"/>
      <c r="K56" s="204"/>
      <c r="N56" s="204"/>
    </row>
    <row r="57" spans="1:14" x14ac:dyDescent="0.3">
      <c r="A57" s="132">
        <v>3</v>
      </c>
      <c r="B57" s="69" t="s">
        <v>14</v>
      </c>
      <c r="C57" s="69">
        <v>250</v>
      </c>
      <c r="D57" s="69" t="s">
        <v>72</v>
      </c>
      <c r="E57" s="69">
        <v>1</v>
      </c>
      <c r="F57" s="69">
        <v>6</v>
      </c>
      <c r="G57" s="69" t="s">
        <v>41</v>
      </c>
      <c r="H57" s="69" t="s">
        <v>71</v>
      </c>
      <c r="I57" s="69"/>
      <c r="J57" s="116"/>
      <c r="K57" s="204"/>
      <c r="N57" s="204"/>
    </row>
    <row r="58" spans="1:14" x14ac:dyDescent="0.3">
      <c r="A58" s="132">
        <v>100</v>
      </c>
      <c r="B58" s="69" t="s">
        <v>14</v>
      </c>
      <c r="C58" s="69">
        <v>150</v>
      </c>
      <c r="D58" s="69" t="s">
        <v>99</v>
      </c>
      <c r="E58" s="69">
        <v>2</v>
      </c>
      <c r="F58" s="69">
        <v>6</v>
      </c>
      <c r="G58" s="69" t="s">
        <v>41</v>
      </c>
      <c r="H58" s="69" t="s">
        <v>71</v>
      </c>
      <c r="I58" s="69"/>
      <c r="J58" s="116"/>
      <c r="K58" s="204"/>
      <c r="N58" s="204"/>
    </row>
    <row r="59" spans="1:14" x14ac:dyDescent="0.3">
      <c r="A59" s="132">
        <v>6</v>
      </c>
      <c r="B59" s="69" t="s">
        <v>14</v>
      </c>
      <c r="C59" s="69">
        <v>100</v>
      </c>
      <c r="D59" s="69" t="s">
        <v>99</v>
      </c>
      <c r="E59" s="69">
        <v>2</v>
      </c>
      <c r="F59" s="69">
        <v>6</v>
      </c>
      <c r="G59" s="69" t="s">
        <v>41</v>
      </c>
      <c r="H59" s="69" t="s">
        <v>71</v>
      </c>
      <c r="I59" s="69"/>
      <c r="J59" s="116"/>
      <c r="K59" s="204"/>
      <c r="N59" s="204"/>
    </row>
    <row r="60" spans="1:14" x14ac:dyDescent="0.3">
      <c r="A60" s="132">
        <v>1</v>
      </c>
      <c r="B60" s="69" t="s">
        <v>14</v>
      </c>
      <c r="C60" s="69">
        <v>70</v>
      </c>
      <c r="D60" s="69" t="s">
        <v>99</v>
      </c>
      <c r="E60" s="69">
        <v>2</v>
      </c>
      <c r="F60" s="69">
        <v>6</v>
      </c>
      <c r="G60" s="69" t="s">
        <v>41</v>
      </c>
      <c r="H60" s="69" t="s">
        <v>71</v>
      </c>
      <c r="I60" s="69"/>
      <c r="J60" s="116"/>
      <c r="K60" s="204"/>
      <c r="N60" s="204"/>
    </row>
    <row r="61" spans="1:14" x14ac:dyDescent="0.3">
      <c r="A61" s="132">
        <v>1</v>
      </c>
      <c r="B61" s="69" t="s">
        <v>14</v>
      </c>
      <c r="C61" s="69">
        <v>100</v>
      </c>
      <c r="D61" s="69" t="s">
        <v>99</v>
      </c>
      <c r="E61" s="69">
        <v>2</v>
      </c>
      <c r="F61" s="69">
        <v>6</v>
      </c>
      <c r="G61" s="69" t="s">
        <v>41</v>
      </c>
      <c r="H61" s="69" t="s">
        <v>71</v>
      </c>
      <c r="I61" s="69"/>
      <c r="J61" s="116"/>
      <c r="K61" s="204"/>
      <c r="N61" s="204"/>
    </row>
    <row r="62" spans="1:14" x14ac:dyDescent="0.3">
      <c r="A62" s="132">
        <v>5</v>
      </c>
      <c r="B62" s="69" t="s">
        <v>14</v>
      </c>
      <c r="C62" s="69">
        <v>180</v>
      </c>
      <c r="D62" s="69" t="s">
        <v>72</v>
      </c>
      <c r="E62" s="69">
        <v>1</v>
      </c>
      <c r="F62" s="69">
        <v>6</v>
      </c>
      <c r="G62" s="69" t="s">
        <v>41</v>
      </c>
      <c r="H62" s="69" t="s">
        <v>71</v>
      </c>
      <c r="I62" s="69"/>
      <c r="J62" s="116"/>
      <c r="K62" s="204"/>
      <c r="N62" s="204"/>
    </row>
    <row r="63" spans="1:14" x14ac:dyDescent="0.3">
      <c r="A63" s="132">
        <v>10</v>
      </c>
      <c r="B63" s="69" t="s">
        <v>14</v>
      </c>
      <c r="C63" s="69">
        <v>200</v>
      </c>
      <c r="D63" s="69" t="s">
        <v>72</v>
      </c>
      <c r="E63" s="69">
        <v>1</v>
      </c>
      <c r="F63" s="69">
        <v>6</v>
      </c>
      <c r="G63" s="69" t="s">
        <v>41</v>
      </c>
      <c r="H63" s="69" t="s">
        <v>71</v>
      </c>
      <c r="I63" s="69"/>
      <c r="J63" s="116"/>
      <c r="K63" s="204"/>
      <c r="N63" s="204"/>
    </row>
    <row r="64" spans="1:14" x14ac:dyDescent="0.3">
      <c r="A64" s="132">
        <v>10</v>
      </c>
      <c r="B64" s="69" t="s">
        <v>14</v>
      </c>
      <c r="C64" s="69">
        <v>250</v>
      </c>
      <c r="D64" s="69" t="s">
        <v>72</v>
      </c>
      <c r="E64" s="69">
        <v>1</v>
      </c>
      <c r="F64" s="69">
        <v>6</v>
      </c>
      <c r="G64" s="69" t="s">
        <v>41</v>
      </c>
      <c r="H64" s="69" t="s">
        <v>71</v>
      </c>
      <c r="I64" s="69"/>
      <c r="J64" s="116"/>
      <c r="K64" s="204"/>
      <c r="N64" s="204"/>
    </row>
    <row r="65" spans="1:14" x14ac:dyDescent="0.3">
      <c r="A65" s="132">
        <v>1</v>
      </c>
      <c r="B65" s="69" t="s">
        <v>14</v>
      </c>
      <c r="C65" s="69">
        <v>150</v>
      </c>
      <c r="D65" s="69" t="s">
        <v>98</v>
      </c>
      <c r="E65" s="69">
        <v>3</v>
      </c>
      <c r="F65" s="69">
        <v>7</v>
      </c>
      <c r="G65" s="69" t="s">
        <v>22</v>
      </c>
      <c r="H65" s="69" t="s">
        <v>71</v>
      </c>
      <c r="I65" s="69"/>
      <c r="J65" s="116"/>
      <c r="K65" s="204"/>
      <c r="N65" s="204"/>
    </row>
    <row r="66" spans="1:14" x14ac:dyDescent="0.3">
      <c r="A66" s="132">
        <v>2</v>
      </c>
      <c r="B66" s="69" t="s">
        <v>14</v>
      </c>
      <c r="C66" s="69">
        <v>100</v>
      </c>
      <c r="D66" s="69" t="s">
        <v>99</v>
      </c>
      <c r="E66" s="69">
        <v>2</v>
      </c>
      <c r="F66" s="69">
        <v>7</v>
      </c>
      <c r="G66" s="69" t="s">
        <v>22</v>
      </c>
      <c r="H66" s="69" t="s">
        <v>71</v>
      </c>
      <c r="I66" s="69"/>
      <c r="J66" s="116"/>
      <c r="K66" s="204"/>
      <c r="N66" s="204"/>
    </row>
    <row r="67" spans="1:14" x14ac:dyDescent="0.3">
      <c r="A67" s="132">
        <v>1</v>
      </c>
      <c r="B67" s="69" t="s">
        <v>14</v>
      </c>
      <c r="C67" s="69">
        <v>120</v>
      </c>
      <c r="D67" s="69" t="s">
        <v>72</v>
      </c>
      <c r="E67" s="69">
        <v>1</v>
      </c>
      <c r="F67" s="69">
        <v>8</v>
      </c>
      <c r="G67" s="69" t="s">
        <v>87</v>
      </c>
      <c r="H67" s="69"/>
      <c r="I67" s="193">
        <v>0.73333333333333339</v>
      </c>
      <c r="J67" s="116"/>
      <c r="K67" s="204"/>
      <c r="N67" s="204"/>
    </row>
    <row r="68" spans="1:14" x14ac:dyDescent="0.3">
      <c r="A68" s="132">
        <v>1</v>
      </c>
      <c r="B68" s="69" t="s">
        <v>14</v>
      </c>
      <c r="C68" s="69">
        <v>120</v>
      </c>
      <c r="D68" s="69" t="s">
        <v>98</v>
      </c>
      <c r="E68" s="69">
        <v>3</v>
      </c>
      <c r="F68" s="69">
        <v>8</v>
      </c>
      <c r="G68" s="69" t="s">
        <v>87</v>
      </c>
      <c r="H68" s="69" t="s">
        <v>71</v>
      </c>
      <c r="I68" s="69"/>
      <c r="J68" s="116"/>
      <c r="K68" s="204"/>
      <c r="N68" s="204"/>
    </row>
    <row r="69" spans="1:14" x14ac:dyDescent="0.3">
      <c r="A69" s="132">
        <v>1</v>
      </c>
      <c r="B69" s="69" t="s">
        <v>14</v>
      </c>
      <c r="C69" s="69">
        <v>120</v>
      </c>
      <c r="D69" s="69" t="s">
        <v>98</v>
      </c>
      <c r="E69" s="69">
        <v>3</v>
      </c>
      <c r="F69" s="69">
        <v>8</v>
      </c>
      <c r="G69" s="69" t="s">
        <v>87</v>
      </c>
      <c r="H69" s="69" t="s">
        <v>71</v>
      </c>
      <c r="I69" s="69"/>
      <c r="J69" s="116"/>
      <c r="K69" s="204"/>
      <c r="N69" s="204"/>
    </row>
    <row r="70" spans="1:14" x14ac:dyDescent="0.3">
      <c r="A70" s="132">
        <v>1</v>
      </c>
      <c r="B70" s="69" t="s">
        <v>14</v>
      </c>
      <c r="C70" s="69">
        <v>100</v>
      </c>
      <c r="D70" s="69" t="s">
        <v>98</v>
      </c>
      <c r="E70" s="69">
        <v>3</v>
      </c>
      <c r="F70" s="69">
        <v>8</v>
      </c>
      <c r="G70" s="69" t="s">
        <v>87</v>
      </c>
      <c r="H70" s="69" t="s">
        <v>71</v>
      </c>
      <c r="I70" s="69"/>
      <c r="J70" s="116"/>
      <c r="K70" s="204"/>
      <c r="N70" s="204"/>
    </row>
    <row r="71" spans="1:14" x14ac:dyDescent="0.3">
      <c r="A71" s="132">
        <v>0</v>
      </c>
      <c r="B71" s="69"/>
      <c r="C71" s="69"/>
      <c r="D71" s="69"/>
      <c r="E71" s="69"/>
      <c r="F71" s="69">
        <v>9</v>
      </c>
      <c r="G71" s="69" t="s">
        <v>22</v>
      </c>
      <c r="H71" s="69"/>
      <c r="I71" s="69" t="s">
        <v>115</v>
      </c>
      <c r="J71" s="116"/>
      <c r="K71" s="204"/>
      <c r="N71" s="204"/>
    </row>
    <row r="72" spans="1:14" x14ac:dyDescent="0.3">
      <c r="A72" s="132">
        <v>0</v>
      </c>
      <c r="B72" s="69"/>
      <c r="C72" s="69"/>
      <c r="D72" s="69"/>
      <c r="E72" s="69"/>
      <c r="F72" s="69">
        <v>10</v>
      </c>
      <c r="G72" s="69" t="s">
        <v>41</v>
      </c>
      <c r="H72" s="69"/>
      <c r="I72" s="69" t="s">
        <v>115</v>
      </c>
      <c r="J72" s="116"/>
      <c r="K72" s="204"/>
      <c r="N72" s="204"/>
    </row>
    <row r="73" spans="1:14" x14ac:dyDescent="0.3">
      <c r="A73" s="132">
        <v>1</v>
      </c>
      <c r="B73" s="69" t="s">
        <v>14</v>
      </c>
      <c r="C73" s="69">
        <v>30</v>
      </c>
      <c r="D73" s="69" t="s">
        <v>98</v>
      </c>
      <c r="E73" s="69">
        <v>3</v>
      </c>
      <c r="F73" s="69">
        <v>11</v>
      </c>
      <c r="G73" s="69" t="s">
        <v>22</v>
      </c>
      <c r="H73" s="69" t="s">
        <v>71</v>
      </c>
      <c r="I73" s="69"/>
      <c r="J73" s="116"/>
      <c r="K73" s="204"/>
      <c r="N73" s="204"/>
    </row>
    <row r="74" spans="1:14" x14ac:dyDescent="0.3">
      <c r="A74" s="138">
        <v>0</v>
      </c>
      <c r="B74" s="80" t="s">
        <v>147</v>
      </c>
      <c r="C74" s="77"/>
      <c r="D74" s="77"/>
      <c r="E74" s="77"/>
      <c r="F74" s="77">
        <v>12</v>
      </c>
      <c r="G74" s="77"/>
      <c r="H74" s="69"/>
      <c r="I74" s="69" t="s">
        <v>115</v>
      </c>
      <c r="J74" s="112"/>
      <c r="K74" s="204"/>
      <c r="N74" s="204"/>
    </row>
    <row r="75" spans="1:14" ht="15" thickBot="1" x14ac:dyDescent="0.35">
      <c r="A75" s="139">
        <v>1</v>
      </c>
      <c r="B75" s="133" t="s">
        <v>83</v>
      </c>
      <c r="C75" s="114">
        <v>60</v>
      </c>
      <c r="D75" s="114" t="s">
        <v>98</v>
      </c>
      <c r="E75" s="114">
        <v>3</v>
      </c>
      <c r="F75" s="114">
        <v>13</v>
      </c>
      <c r="G75" s="114" t="s">
        <v>87</v>
      </c>
      <c r="H75" s="69" t="s">
        <v>71</v>
      </c>
      <c r="I75" s="194">
        <v>0.74236111111111114</v>
      </c>
      <c r="J75" s="115"/>
      <c r="K75" s="204"/>
      <c r="N75" s="204"/>
    </row>
    <row r="76" spans="1:14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04"/>
      <c r="N76" s="204"/>
    </row>
    <row r="77" spans="1:14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04"/>
      <c r="N77" s="204"/>
    </row>
    <row r="78" spans="1:14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04"/>
      <c r="N78" s="204"/>
    </row>
    <row r="79" spans="1:14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04"/>
      <c r="N79" s="204"/>
    </row>
    <row r="80" spans="1:14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04"/>
      <c r="N80" s="204"/>
    </row>
    <row r="81" spans="1:14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04"/>
      <c r="N81" s="204"/>
    </row>
    <row r="82" spans="1:14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04"/>
      <c r="N82" s="204"/>
    </row>
    <row r="83" spans="1:14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04"/>
      <c r="N83" s="204"/>
    </row>
    <row r="84" spans="1:14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04"/>
      <c r="N84" s="204"/>
    </row>
    <row r="85" spans="1:14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04"/>
      <c r="N85" s="204"/>
    </row>
    <row r="86" spans="1:14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04"/>
      <c r="N86" s="204"/>
    </row>
    <row r="87" spans="1:14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04"/>
      <c r="N87" s="204"/>
    </row>
    <row r="88" spans="1:14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04"/>
      <c r="N88" s="204"/>
    </row>
    <row r="89" spans="1:14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05"/>
      <c r="N89" s="205"/>
    </row>
    <row r="90" spans="1:14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</row>
    <row r="91" spans="1:14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</row>
    <row r="92" spans="1:14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</row>
    <row r="93" spans="1:14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</row>
    <row r="94" spans="1:14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</row>
    <row r="95" spans="1:14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</row>
    <row r="96" spans="1:14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</row>
    <row r="97" spans="1:10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</row>
    <row r="98" spans="1:10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</row>
    <row r="99" spans="1:10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</row>
    <row r="100" spans="1:10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</row>
    <row r="101" spans="1:10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0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0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</row>
    <row r="106" spans="1:10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</row>
    <row r="108" spans="1:10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</row>
    <row r="109" spans="1:10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</row>
    <row r="110" spans="1:10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</row>
    <row r="111" spans="1:10" x14ac:dyDescent="0.3">
      <c r="A111" s="22"/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x14ac:dyDescent="0.3">
      <c r="A112" s="22"/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0" x14ac:dyDescent="0.3">
      <c r="A113" s="22"/>
      <c r="B113" s="22"/>
      <c r="C113" s="22"/>
      <c r="D113" s="22"/>
      <c r="E113" s="22"/>
      <c r="F113" s="22"/>
      <c r="G113" s="22"/>
      <c r="H113" s="22"/>
      <c r="I113" s="22"/>
      <c r="J113" s="22"/>
    </row>
    <row r="114" spans="1:10" x14ac:dyDescent="0.3">
      <c r="A114" s="22"/>
      <c r="B114" s="22"/>
      <c r="C114" s="22"/>
      <c r="D114" s="22"/>
      <c r="E114" s="22"/>
      <c r="F114" s="22"/>
      <c r="G114" s="22"/>
      <c r="H114" s="22"/>
      <c r="I114" s="22"/>
      <c r="J114" s="22"/>
    </row>
    <row r="115" spans="1:10" x14ac:dyDescent="0.3">
      <c r="A115" s="22"/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1:10" x14ac:dyDescent="0.3">
      <c r="A116" s="22"/>
      <c r="B116" s="22"/>
      <c r="C116" s="22"/>
      <c r="D116" s="22"/>
      <c r="E116" s="22"/>
      <c r="F116" s="22"/>
      <c r="G116" s="22"/>
      <c r="H116" s="22"/>
      <c r="I116" s="22"/>
      <c r="J116" s="22"/>
    </row>
    <row r="117" spans="1:10" x14ac:dyDescent="0.3">
      <c r="A117" s="22"/>
      <c r="B117" s="22"/>
      <c r="C117" s="22"/>
      <c r="D117" s="22"/>
      <c r="E117" s="22"/>
      <c r="F117" s="22"/>
      <c r="G117" s="22"/>
      <c r="H117" s="22"/>
      <c r="I117" s="22"/>
      <c r="J117" s="22"/>
    </row>
    <row r="118" spans="1:10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</row>
    <row r="119" spans="1:10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</row>
    <row r="120" spans="1:10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</row>
    <row r="121" spans="1:10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0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</row>
    <row r="123" spans="1:10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</row>
    <row r="124" spans="1:10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</row>
    <row r="125" spans="1:10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</row>
    <row r="126" spans="1:10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</row>
    <row r="127" spans="1:10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</row>
    <row r="128" spans="1:10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</row>
    <row r="129" spans="1:10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</row>
    <row r="132" spans="1:10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44140625" bestFit="1" customWidth="1"/>
    <col min="5" max="5" width="12.33203125" bestFit="1" customWidth="1"/>
    <col min="7" max="7" width="14.6640625" bestFit="1" customWidth="1"/>
    <col min="8" max="8" width="11.6640625" customWidth="1"/>
    <col min="9" max="9" width="13.5546875" bestFit="1" customWidth="1"/>
    <col min="10" max="10" width="15.6640625" bestFit="1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127</v>
      </c>
      <c r="J1" s="46" t="s">
        <v>117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99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>
        <v>777</v>
      </c>
      <c r="C3" s="7" t="s">
        <v>2</v>
      </c>
      <c r="D3" s="8"/>
      <c r="E3" s="7" t="s">
        <v>3</v>
      </c>
      <c r="F3" s="9"/>
      <c r="G3" s="10" t="s">
        <v>4</v>
      </c>
      <c r="H3" s="8"/>
      <c r="I3" s="50" t="s">
        <v>72</v>
      </c>
      <c r="J3" s="9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0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68</v>
      </c>
      <c r="J4" s="9"/>
      <c r="K4" s="204" t="s">
        <v>177</v>
      </c>
      <c r="L4" s="204">
        <f>SUMIFS($A$11:$A$401,$B$11:$B$401,"CH",$F$11:$F$401,"2")</f>
        <v>0</v>
      </c>
      <c r="M4" s="204" t="s">
        <v>7</v>
      </c>
      <c r="N4" s="204">
        <f>SUMIFS($A$11:$A$401,$B$11:$B$401,"RT",$F$11:$F$401,"2")</f>
        <v>0</v>
      </c>
      <c r="O4" s="204" t="s">
        <v>14</v>
      </c>
    </row>
    <row r="5" spans="1:15" ht="15" thickTop="1" x14ac:dyDescent="0.3">
      <c r="A5" s="54" t="s">
        <v>67</v>
      </c>
      <c r="B5" s="55">
        <v>0.50694444444444442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50" t="s">
        <v>58</v>
      </c>
      <c r="J5" s="9"/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53" t="s">
        <v>12</v>
      </c>
      <c r="B6" s="161">
        <v>43697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 t="s">
        <v>109</v>
      </c>
      <c r="J6" s="9"/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0</v>
      </c>
      <c r="O6" s="204" t="s">
        <v>14</v>
      </c>
    </row>
    <row r="7" spans="1:15" x14ac:dyDescent="0.3">
      <c r="A7" s="47" t="s">
        <v>62</v>
      </c>
      <c r="B7" s="18">
        <v>13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15" t="s">
        <v>63</v>
      </c>
      <c r="I7" s="50" t="s">
        <v>98</v>
      </c>
      <c r="J7" s="9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6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/>
      <c r="J8" s="9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0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 t="s">
        <v>126</v>
      </c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158"/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32" t="s">
        <v>48</v>
      </c>
      <c r="B12" s="33" t="s">
        <v>49</v>
      </c>
      <c r="C12" s="33" t="s">
        <v>50</v>
      </c>
      <c r="D12" s="33" t="s">
        <v>51</v>
      </c>
      <c r="E12" s="33" t="s">
        <v>52</v>
      </c>
      <c r="F12" s="33" t="s">
        <v>53</v>
      </c>
      <c r="G12" s="33" t="s">
        <v>54</v>
      </c>
      <c r="H12" s="33" t="s">
        <v>55</v>
      </c>
      <c r="I12" s="33" t="s">
        <v>56</v>
      </c>
      <c r="J12" s="33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ht="15" thickTop="1" x14ac:dyDescent="0.3">
      <c r="A13" s="34">
        <v>1</v>
      </c>
      <c r="B13" s="60" t="s">
        <v>32</v>
      </c>
      <c r="C13" s="35">
        <v>30</v>
      </c>
      <c r="D13" s="36" t="s">
        <v>68</v>
      </c>
      <c r="E13" s="35">
        <v>2</v>
      </c>
      <c r="F13" s="35">
        <v>1</v>
      </c>
      <c r="G13" s="35"/>
      <c r="H13" s="35"/>
      <c r="I13" s="74">
        <v>0.50694444444444442</v>
      </c>
      <c r="J13" s="37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38">
        <v>0</v>
      </c>
      <c r="B14" s="61"/>
      <c r="C14" s="39"/>
      <c r="D14" s="82"/>
      <c r="E14" s="39"/>
      <c r="F14" s="39">
        <v>2</v>
      </c>
      <c r="G14" s="39"/>
      <c r="H14" s="39"/>
      <c r="I14" s="39"/>
      <c r="J14" s="41" t="s">
        <v>115</v>
      </c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38">
        <v>0</v>
      </c>
      <c r="B15" s="61"/>
      <c r="C15" s="39"/>
      <c r="D15" s="39"/>
      <c r="E15" s="39"/>
      <c r="F15" s="39">
        <v>3</v>
      </c>
      <c r="G15" s="39" t="s">
        <v>22</v>
      </c>
      <c r="H15" s="39"/>
      <c r="I15" s="39"/>
      <c r="J15" s="41" t="s">
        <v>115</v>
      </c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38">
        <v>0</v>
      </c>
      <c r="B16" s="61"/>
      <c r="C16" s="39"/>
      <c r="D16" s="39"/>
      <c r="E16" s="39"/>
      <c r="F16" s="39">
        <v>4</v>
      </c>
      <c r="G16" s="39" t="s">
        <v>111</v>
      </c>
      <c r="H16" s="39"/>
      <c r="I16" s="39"/>
      <c r="J16" s="41" t="s">
        <v>115</v>
      </c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38">
        <v>0</v>
      </c>
      <c r="B17" s="61"/>
      <c r="C17" s="39"/>
      <c r="D17" s="39"/>
      <c r="E17" s="39"/>
      <c r="F17" s="39">
        <v>5</v>
      </c>
      <c r="G17" s="39" t="s">
        <v>22</v>
      </c>
      <c r="H17" s="39"/>
      <c r="I17" s="39"/>
      <c r="J17" s="41" t="s">
        <v>115</v>
      </c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ht="15" thickBot="1" x14ac:dyDescent="0.35">
      <c r="A18" s="159">
        <v>1</v>
      </c>
      <c r="B18" s="71" t="s">
        <v>32</v>
      </c>
      <c r="C18" s="78">
        <v>40</v>
      </c>
      <c r="D18" s="78" t="s">
        <v>68</v>
      </c>
      <c r="E18" s="78">
        <v>2</v>
      </c>
      <c r="F18" s="78">
        <v>6</v>
      </c>
      <c r="G18" s="78" t="s">
        <v>111</v>
      </c>
      <c r="H18" s="78" t="s">
        <v>24</v>
      </c>
      <c r="I18" s="192">
        <v>0.55208333333333337</v>
      </c>
      <c r="J18" s="160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1:15" x14ac:dyDescent="0.3"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1:15" x14ac:dyDescent="0.3"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1:15" x14ac:dyDescent="0.3"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1:15" x14ac:dyDescent="0.3"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1:15" x14ac:dyDescent="0.3"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1:15" x14ac:dyDescent="0.3"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1:15" x14ac:dyDescent="0.3"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1:15" x14ac:dyDescent="0.3"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1:15" x14ac:dyDescent="0.3"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1:15" x14ac:dyDescent="0.3"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1:15" x14ac:dyDescent="0.3"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1:15" x14ac:dyDescent="0.3"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1:15" x14ac:dyDescent="0.3">
      <c r="K45" s="204" t="s">
        <v>222</v>
      </c>
      <c r="L45" s="204">
        <f>SUM(L3:L44)</f>
        <v>0</v>
      </c>
      <c r="M45" s="204" t="s">
        <v>7</v>
      </c>
      <c r="N45" s="204">
        <f>SUM(N3:N44)</f>
        <v>0</v>
      </c>
      <c r="O45" s="204" t="s">
        <v>14</v>
      </c>
    </row>
    <row r="46" spans="11:15" x14ac:dyDescent="0.3">
      <c r="K46" s="204"/>
      <c r="L46" s="204"/>
      <c r="M46" s="204"/>
      <c r="N46" s="204"/>
    </row>
    <row r="47" spans="11:15" x14ac:dyDescent="0.3">
      <c r="K47" s="204"/>
      <c r="N47" s="204"/>
    </row>
    <row r="48" spans="11:15" x14ac:dyDescent="0.3"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44140625" bestFit="1" customWidth="1"/>
    <col min="5" max="5" width="12" customWidth="1"/>
    <col min="7" max="7" width="16.109375" customWidth="1"/>
    <col min="8" max="8" width="9" customWidth="1"/>
    <col min="9" max="9" width="10.109375" customWidth="1"/>
    <col min="10" max="10" width="15.109375" bestFit="1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116</v>
      </c>
      <c r="J1" s="46" t="s">
        <v>117</v>
      </c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131</v>
      </c>
      <c r="C2" s="2"/>
      <c r="D2" s="3"/>
      <c r="E2" s="2"/>
      <c r="F2" s="2"/>
      <c r="G2" s="6"/>
      <c r="H2" s="46"/>
      <c r="I2" s="63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>
        <v>835</v>
      </c>
      <c r="C3" s="7" t="s">
        <v>2</v>
      </c>
      <c r="D3" s="8"/>
      <c r="E3" s="7" t="s">
        <v>3</v>
      </c>
      <c r="F3" s="9"/>
      <c r="G3" s="10" t="s">
        <v>4</v>
      </c>
      <c r="H3" s="8"/>
      <c r="I3" s="66"/>
      <c r="J3" s="67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2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64" t="s">
        <v>98</v>
      </c>
      <c r="J4" s="9">
        <v>1</v>
      </c>
      <c r="K4" s="204" t="s">
        <v>177</v>
      </c>
      <c r="L4" s="204">
        <f>SUMIFS($A$11:$A$401,$B$11:$B$401,"CH",$F$11:$F$401,"2")</f>
        <v>1</v>
      </c>
      <c r="M4" s="204" t="s">
        <v>7</v>
      </c>
      <c r="N4" s="204">
        <f>SUMIFS($A$11:$A$401,$B$11:$B$401,"RT",$F$11:$F$401,"2")</f>
        <v>0</v>
      </c>
      <c r="O4" s="204" t="s">
        <v>14</v>
      </c>
    </row>
    <row r="5" spans="1:15" ht="15" thickTop="1" x14ac:dyDescent="0.3">
      <c r="A5" s="54" t="s">
        <v>67</v>
      </c>
      <c r="B5" s="55">
        <v>0.55208333333333337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17</v>
      </c>
      <c r="H5" s="15" t="s">
        <v>18</v>
      </c>
      <c r="I5" s="64" t="s">
        <v>58</v>
      </c>
      <c r="J5" s="9">
        <v>2</v>
      </c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53" t="s">
        <v>12</v>
      </c>
      <c r="B6" s="161">
        <v>43697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64" t="s">
        <v>99</v>
      </c>
      <c r="J6" s="9">
        <v>3</v>
      </c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0</v>
      </c>
      <c r="O6" s="204" t="s">
        <v>14</v>
      </c>
    </row>
    <row r="7" spans="1:15" x14ac:dyDescent="0.3">
      <c r="A7" s="47" t="s">
        <v>62</v>
      </c>
      <c r="B7" s="18">
        <v>14</v>
      </c>
      <c r="C7" s="11" t="s">
        <v>26</v>
      </c>
      <c r="D7" s="12" t="s">
        <v>27</v>
      </c>
      <c r="E7" s="11" t="s">
        <v>90</v>
      </c>
      <c r="F7" s="12" t="s">
        <v>70</v>
      </c>
      <c r="G7" s="19" t="s">
        <v>65</v>
      </c>
      <c r="H7" s="51" t="s">
        <v>63</v>
      </c>
      <c r="I7" s="64" t="s">
        <v>109</v>
      </c>
      <c r="J7" s="9">
        <v>4</v>
      </c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6" t="s">
        <v>25</v>
      </c>
      <c r="B8" s="41">
        <v>3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64" t="s">
        <v>72</v>
      </c>
      <c r="J8" s="9">
        <v>5</v>
      </c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0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65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0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/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158" t="s">
        <v>126</v>
      </c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32" t="s">
        <v>48</v>
      </c>
      <c r="B12" s="33" t="s">
        <v>49</v>
      </c>
      <c r="C12" s="33" t="s">
        <v>50</v>
      </c>
      <c r="D12" s="33" t="s">
        <v>51</v>
      </c>
      <c r="E12" s="33" t="s">
        <v>52</v>
      </c>
      <c r="F12" s="33" t="s">
        <v>53</v>
      </c>
      <c r="G12" s="33" t="s">
        <v>54</v>
      </c>
      <c r="H12" s="33" t="s">
        <v>55</v>
      </c>
      <c r="I12" s="33" t="s">
        <v>56</v>
      </c>
      <c r="J12" s="33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ht="15" thickTop="1" x14ac:dyDescent="0.3">
      <c r="A13" s="34">
        <v>2</v>
      </c>
      <c r="B13" s="60" t="s">
        <v>14</v>
      </c>
      <c r="C13" s="35">
        <v>800</v>
      </c>
      <c r="D13" s="36" t="s">
        <v>109</v>
      </c>
      <c r="E13" s="35">
        <v>3</v>
      </c>
      <c r="F13" s="35">
        <v>1</v>
      </c>
      <c r="G13" s="35" t="s">
        <v>41</v>
      </c>
      <c r="H13" s="35" t="s">
        <v>11</v>
      </c>
      <c r="I13" s="74">
        <v>0.55208333333333337</v>
      </c>
      <c r="J13" s="37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38">
        <v>1</v>
      </c>
      <c r="B14" s="61" t="s">
        <v>7</v>
      </c>
      <c r="C14" s="39" t="s">
        <v>133</v>
      </c>
      <c r="D14" s="40" t="s">
        <v>72</v>
      </c>
      <c r="E14" s="39">
        <v>5</v>
      </c>
      <c r="F14" s="39">
        <v>2</v>
      </c>
      <c r="G14" s="39" t="s">
        <v>22</v>
      </c>
      <c r="H14" s="39" t="s">
        <v>71</v>
      </c>
      <c r="I14" s="39"/>
      <c r="J14" s="41"/>
      <c r="K14" s="204" t="s">
        <v>187</v>
      </c>
      <c r="L14" s="204">
        <f>SUMIFS($A$11:$A$401,$B$11:$B$401,"CH",$F$11:$F$401,"12")</f>
        <v>1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38">
        <v>0</v>
      </c>
      <c r="B15" s="61"/>
      <c r="C15" s="39"/>
      <c r="D15" s="39"/>
      <c r="E15" s="39"/>
      <c r="F15" s="39">
        <v>3</v>
      </c>
      <c r="G15" s="39" t="s">
        <v>132</v>
      </c>
      <c r="H15" s="39"/>
      <c r="I15" s="39"/>
      <c r="J15" s="41" t="s">
        <v>115</v>
      </c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38">
        <v>0</v>
      </c>
      <c r="B16" s="61"/>
      <c r="C16" s="39"/>
      <c r="D16" s="39"/>
      <c r="E16" s="39"/>
      <c r="F16" s="39">
        <v>4</v>
      </c>
      <c r="G16" s="39" t="s">
        <v>41</v>
      </c>
      <c r="H16" s="39"/>
      <c r="I16" s="39"/>
      <c r="J16" s="41" t="s">
        <v>115</v>
      </c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38">
        <v>0</v>
      </c>
      <c r="B17" s="61"/>
      <c r="C17" s="39"/>
      <c r="D17" s="39"/>
      <c r="E17" s="39"/>
      <c r="F17" s="39">
        <v>5</v>
      </c>
      <c r="G17" s="39" t="s">
        <v>41</v>
      </c>
      <c r="H17" s="39"/>
      <c r="I17" s="39"/>
      <c r="J17" s="41" t="s">
        <v>115</v>
      </c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38">
        <v>1</v>
      </c>
      <c r="B18" s="61" t="s">
        <v>32</v>
      </c>
      <c r="C18" s="39">
        <v>30</v>
      </c>
      <c r="D18" s="39" t="s">
        <v>109</v>
      </c>
      <c r="E18" s="39">
        <v>4</v>
      </c>
      <c r="F18" s="39">
        <v>6</v>
      </c>
      <c r="G18" s="39" t="s">
        <v>132</v>
      </c>
      <c r="H18" s="39" t="s">
        <v>24</v>
      </c>
      <c r="I18" s="39"/>
      <c r="J18" s="41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38">
        <v>0</v>
      </c>
      <c r="B19" s="61"/>
      <c r="C19" s="39"/>
      <c r="D19" s="39"/>
      <c r="E19" s="39"/>
      <c r="F19" s="39">
        <v>7</v>
      </c>
      <c r="G19" s="39" t="s">
        <v>41</v>
      </c>
      <c r="H19" s="39"/>
      <c r="I19" s="39"/>
      <c r="J19" s="41" t="s">
        <v>115</v>
      </c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38"/>
      <c r="B20" s="61"/>
      <c r="C20" s="39"/>
      <c r="D20" s="39"/>
      <c r="E20" s="39"/>
      <c r="F20" s="39">
        <v>8</v>
      </c>
      <c r="G20" s="39" t="s">
        <v>22</v>
      </c>
      <c r="H20" s="39"/>
      <c r="I20" s="39"/>
      <c r="J20" s="41" t="s">
        <v>115</v>
      </c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38">
        <v>5</v>
      </c>
      <c r="B21" s="61" t="s">
        <v>83</v>
      </c>
      <c r="C21" s="39">
        <v>300</v>
      </c>
      <c r="D21" s="39" t="s">
        <v>98</v>
      </c>
      <c r="E21" s="39">
        <v>1</v>
      </c>
      <c r="F21" s="39">
        <v>9</v>
      </c>
      <c r="G21" s="39" t="s">
        <v>41</v>
      </c>
      <c r="H21" s="39" t="s">
        <v>71</v>
      </c>
      <c r="I21" s="39"/>
      <c r="J21" s="41"/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38">
        <v>19</v>
      </c>
      <c r="B22" s="61" t="s">
        <v>83</v>
      </c>
      <c r="C22" s="39">
        <v>300</v>
      </c>
      <c r="D22" s="39" t="s">
        <v>98</v>
      </c>
      <c r="E22" s="39">
        <v>1</v>
      </c>
      <c r="F22" s="39">
        <v>10</v>
      </c>
      <c r="G22" s="39" t="s">
        <v>41</v>
      </c>
      <c r="H22" s="39"/>
      <c r="I22" s="39"/>
      <c r="J22" s="41"/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38"/>
      <c r="B23" s="61"/>
      <c r="C23" s="39"/>
      <c r="D23" s="39"/>
      <c r="E23" s="39"/>
      <c r="F23" s="39">
        <v>11</v>
      </c>
      <c r="G23" s="39" t="s">
        <v>132</v>
      </c>
      <c r="H23" s="39"/>
      <c r="I23" s="39"/>
      <c r="J23" s="41" t="s">
        <v>115</v>
      </c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ht="15" thickBot="1" x14ac:dyDescent="0.35">
      <c r="A24" s="159">
        <v>1</v>
      </c>
      <c r="B24" s="71" t="s">
        <v>7</v>
      </c>
      <c r="C24" s="78" t="s">
        <v>133</v>
      </c>
      <c r="D24" s="78" t="s">
        <v>99</v>
      </c>
      <c r="E24" s="78">
        <v>3</v>
      </c>
      <c r="F24" s="78">
        <v>12</v>
      </c>
      <c r="G24" s="78" t="s">
        <v>22</v>
      </c>
      <c r="H24" s="78" t="s">
        <v>71</v>
      </c>
      <c r="I24" s="192">
        <v>0.59375</v>
      </c>
      <c r="J24" s="160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1:15" x14ac:dyDescent="0.3"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1:15" x14ac:dyDescent="0.3"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1:15" x14ac:dyDescent="0.3"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1:15" x14ac:dyDescent="0.3"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1:15" x14ac:dyDescent="0.3"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1:15" x14ac:dyDescent="0.3"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1:15" x14ac:dyDescent="0.3"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1:15" x14ac:dyDescent="0.3"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1:15" x14ac:dyDescent="0.3"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1:15" x14ac:dyDescent="0.3"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1:15" x14ac:dyDescent="0.3"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1:15" x14ac:dyDescent="0.3"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1:15" x14ac:dyDescent="0.3">
      <c r="K45" s="204" t="s">
        <v>222</v>
      </c>
      <c r="L45" s="204">
        <f>SUM(L3:L44)</f>
        <v>2</v>
      </c>
      <c r="M45" s="204" t="s">
        <v>7</v>
      </c>
      <c r="N45" s="204">
        <f>SUM(N3:N44)</f>
        <v>2</v>
      </c>
      <c r="O45" s="204" t="s">
        <v>14</v>
      </c>
    </row>
    <row r="46" spans="11:15" x14ac:dyDescent="0.3">
      <c r="K46" s="204"/>
      <c r="L46" s="204"/>
      <c r="M46" s="204"/>
      <c r="N46" s="204"/>
    </row>
    <row r="47" spans="11:15" x14ac:dyDescent="0.3">
      <c r="K47" s="204"/>
      <c r="N47" s="204"/>
    </row>
    <row r="48" spans="11:15" x14ac:dyDescent="0.3"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9"/>
  <sheetViews>
    <sheetView workbookViewId="0">
      <selection activeCell="M27" sqref="M27"/>
    </sheetView>
  </sheetViews>
  <sheetFormatPr defaultRowHeight="14.4" x14ac:dyDescent="0.3"/>
  <cols>
    <col min="2" max="2" width="9.44140625" bestFit="1" customWidth="1"/>
    <col min="5" max="5" width="12.109375" customWidth="1"/>
    <col min="7" max="7" width="14.6640625" bestFit="1" customWidth="1"/>
    <col min="8" max="8" width="9.109375" customWidth="1"/>
    <col min="9" max="9" width="10" customWidth="1"/>
    <col min="10" max="10" width="9.88671875" customWidth="1"/>
    <col min="11" max="11" width="8.109375" customWidth="1"/>
    <col min="12" max="12" width="8.6640625" customWidth="1"/>
    <col min="13" max="15" width="8.44140625" customWidth="1"/>
  </cols>
  <sheetData>
    <row r="1" spans="1:15" ht="15.6" thickTop="1" thickBot="1" x14ac:dyDescent="0.35">
      <c r="A1" s="1"/>
      <c r="B1" s="2"/>
      <c r="C1" s="2"/>
      <c r="D1" s="3" t="s">
        <v>96</v>
      </c>
      <c r="E1" s="2"/>
      <c r="F1" s="2"/>
      <c r="G1" s="2"/>
      <c r="H1" s="4"/>
      <c r="I1" s="45" t="s">
        <v>0</v>
      </c>
      <c r="J1" s="46"/>
      <c r="K1" s="210" t="s">
        <v>223</v>
      </c>
      <c r="L1" s="49"/>
      <c r="M1" s="50"/>
      <c r="N1" s="50"/>
    </row>
    <row r="2" spans="1:15" ht="15.6" thickTop="1" thickBot="1" x14ac:dyDescent="0.35">
      <c r="A2" s="56" t="s">
        <v>61</v>
      </c>
      <c r="B2" s="2" t="s">
        <v>68</v>
      </c>
      <c r="C2" s="2"/>
      <c r="D2" s="3"/>
      <c r="E2" s="2"/>
      <c r="F2" s="2"/>
      <c r="G2" s="6"/>
      <c r="H2" s="46"/>
      <c r="I2" s="56" t="s">
        <v>73</v>
      </c>
      <c r="J2" s="5" t="s">
        <v>74</v>
      </c>
      <c r="K2" s="49" t="s">
        <v>53</v>
      </c>
      <c r="L2" s="49" t="s">
        <v>48</v>
      </c>
      <c r="M2" s="49" t="s">
        <v>49</v>
      </c>
      <c r="N2" s="49" t="s">
        <v>53</v>
      </c>
      <c r="O2" s="49" t="s">
        <v>49</v>
      </c>
    </row>
    <row r="3" spans="1:15" ht="15.6" thickTop="1" thickBot="1" x14ac:dyDescent="0.35">
      <c r="A3" s="57" t="s">
        <v>5</v>
      </c>
      <c r="B3" s="49" t="s">
        <v>218</v>
      </c>
      <c r="C3" s="7" t="s">
        <v>2</v>
      </c>
      <c r="D3" s="8"/>
      <c r="E3" s="7" t="s">
        <v>3</v>
      </c>
      <c r="F3" s="9"/>
      <c r="G3" s="10" t="s">
        <v>4</v>
      </c>
      <c r="H3" s="8"/>
      <c r="J3" s="9"/>
      <c r="K3" s="204" t="s">
        <v>176</v>
      </c>
      <c r="L3" s="204">
        <f>SUMIFS($A$11:$A$401,$B$11:$B$401,"CH",$F$11:$F$401,"1")</f>
        <v>0</v>
      </c>
      <c r="M3" s="204" t="s">
        <v>7</v>
      </c>
      <c r="N3" s="204">
        <f>SUMIFS($A$11:$A$401,$B$11:$B$401,"RT",$F$11:$F$401,"1")</f>
        <v>0</v>
      </c>
      <c r="O3" s="204" t="s">
        <v>14</v>
      </c>
    </row>
    <row r="4" spans="1:15" ht="15.6" thickTop="1" thickBot="1" x14ac:dyDescent="0.35">
      <c r="A4" s="56" t="s">
        <v>1</v>
      </c>
      <c r="B4" s="48"/>
      <c r="C4" s="11" t="s">
        <v>6</v>
      </c>
      <c r="D4" s="12" t="s">
        <v>7</v>
      </c>
      <c r="E4" s="13" t="s">
        <v>8</v>
      </c>
      <c r="F4" s="12" t="s">
        <v>9</v>
      </c>
      <c r="G4" s="14" t="s">
        <v>10</v>
      </c>
      <c r="H4" s="15" t="s">
        <v>11</v>
      </c>
      <c r="I4" s="50" t="s">
        <v>72</v>
      </c>
      <c r="J4" s="9"/>
      <c r="K4" s="204" t="s">
        <v>177</v>
      </c>
      <c r="L4" s="204">
        <f>SUMIFS($A$11:$A$401,$B$11:$B$401,"CH",$F$11:$F$401,"2")</f>
        <v>0</v>
      </c>
      <c r="M4" s="204" t="s">
        <v>7</v>
      </c>
      <c r="N4" s="204">
        <f>SUMIFS($A$11:$A$401,$B$11:$B$401,"RT",$F$11:$F$401,"2")</f>
        <v>0</v>
      </c>
      <c r="O4" s="204" t="s">
        <v>14</v>
      </c>
    </row>
    <row r="5" spans="1:15" ht="15" thickTop="1" x14ac:dyDescent="0.3">
      <c r="A5" s="54" t="s">
        <v>67</v>
      </c>
      <c r="B5" s="55">
        <v>0.53125</v>
      </c>
      <c r="C5" s="11" t="s">
        <v>13</v>
      </c>
      <c r="D5" s="12" t="s">
        <v>14</v>
      </c>
      <c r="E5" s="13" t="s">
        <v>15</v>
      </c>
      <c r="F5" s="12" t="s">
        <v>16</v>
      </c>
      <c r="G5" s="14" t="s">
        <v>91</v>
      </c>
      <c r="H5" s="15" t="s">
        <v>18</v>
      </c>
      <c r="I5" s="50" t="s">
        <v>98</v>
      </c>
      <c r="J5" s="9"/>
      <c r="K5" s="204" t="s">
        <v>178</v>
      </c>
      <c r="L5" s="204">
        <f>SUMIFS($A$11:$A$401,$B$11:$B$401,"CH",$F$11:$F$401,"3")</f>
        <v>0</v>
      </c>
      <c r="M5" s="204" t="s">
        <v>7</v>
      </c>
      <c r="N5" s="204">
        <f>SUMIFS($A$11:$A$401,$B$11:$B$401,"RT",$F$11:$F$401,"3")</f>
        <v>0</v>
      </c>
      <c r="O5" s="204" t="s">
        <v>14</v>
      </c>
    </row>
    <row r="6" spans="1:15" x14ac:dyDescent="0.3">
      <c r="A6" s="53" t="s">
        <v>12</v>
      </c>
      <c r="B6" s="161">
        <v>43704</v>
      </c>
      <c r="C6" s="11" t="s">
        <v>19</v>
      </c>
      <c r="D6" s="12" t="s">
        <v>20</v>
      </c>
      <c r="E6" s="13" t="s">
        <v>21</v>
      </c>
      <c r="F6" s="12" t="s">
        <v>22</v>
      </c>
      <c r="G6" s="14" t="s">
        <v>23</v>
      </c>
      <c r="H6" s="15" t="s">
        <v>24</v>
      </c>
      <c r="I6" s="50" t="s">
        <v>99</v>
      </c>
      <c r="J6" s="9"/>
      <c r="K6" s="204" t="s">
        <v>179</v>
      </c>
      <c r="L6" s="204">
        <f>SUMIFS($A$11:$A$401,$B$11:$B$401,"CH",$F$11:$F$401,"4")</f>
        <v>0</v>
      </c>
      <c r="M6" s="204" t="s">
        <v>7</v>
      </c>
      <c r="N6" s="204">
        <f>SUMIFS($A$11:$A$401,$B$11:$B$401,"RT",$F$11:$F$401,"4")</f>
        <v>0</v>
      </c>
      <c r="O6" s="204" t="s">
        <v>14</v>
      </c>
    </row>
    <row r="7" spans="1:15" x14ac:dyDescent="0.3">
      <c r="A7" s="47" t="s">
        <v>62</v>
      </c>
      <c r="B7" s="18">
        <v>11.5</v>
      </c>
      <c r="C7" s="11" t="s">
        <v>26</v>
      </c>
      <c r="D7" s="12" t="s">
        <v>27</v>
      </c>
      <c r="E7" s="11" t="s">
        <v>28</v>
      </c>
      <c r="F7" s="12" t="s">
        <v>29</v>
      </c>
      <c r="G7" s="19" t="s">
        <v>65</v>
      </c>
      <c r="H7" s="51" t="s">
        <v>63</v>
      </c>
      <c r="I7" s="50"/>
      <c r="J7" s="9"/>
      <c r="K7" s="204" t="s">
        <v>180</v>
      </c>
      <c r="L7" s="204">
        <f>SUMIFS($A$11:$A$401,$B$11:$B$401,"CH",$F$11:$F$401,"5")</f>
        <v>0</v>
      </c>
      <c r="M7" s="204" t="s">
        <v>7</v>
      </c>
      <c r="N7" s="204">
        <f>SUMIFS($A$11:$A$401,$B$11:$B$401,"RT",$F$11:$F$401,"5")</f>
        <v>0</v>
      </c>
      <c r="O7" s="204" t="s">
        <v>14</v>
      </c>
    </row>
    <row r="8" spans="1:15" ht="15" thickBot="1" x14ac:dyDescent="0.35">
      <c r="A8" s="16" t="s">
        <v>25</v>
      </c>
      <c r="B8" s="41">
        <v>2.5</v>
      </c>
      <c r="C8" s="13" t="s">
        <v>82</v>
      </c>
      <c r="D8" s="12" t="s">
        <v>83</v>
      </c>
      <c r="E8" s="13" t="s">
        <v>31</v>
      </c>
      <c r="F8" s="12" t="s">
        <v>32</v>
      </c>
      <c r="G8" s="21" t="s">
        <v>66</v>
      </c>
      <c r="H8" s="15" t="s">
        <v>64</v>
      </c>
      <c r="I8" s="50"/>
      <c r="J8" s="9"/>
      <c r="K8" s="204" t="s">
        <v>181</v>
      </c>
      <c r="L8" s="204">
        <f>SUMIFS($A$11:$A$401,$B$11:$B$401,"CH",$F$11:$F$401,"6")</f>
        <v>0</v>
      </c>
      <c r="M8" s="204" t="s">
        <v>7</v>
      </c>
      <c r="N8" s="204">
        <f>SUMIFS($A$11:$A$401,$B$11:$B$401,"RT",$F$11:$F$401,"6")</f>
        <v>3</v>
      </c>
      <c r="O8" s="204" t="s">
        <v>14</v>
      </c>
    </row>
    <row r="9" spans="1:15" ht="15.6" thickTop="1" thickBot="1" x14ac:dyDescent="0.35">
      <c r="A9" s="16" t="s">
        <v>30</v>
      </c>
      <c r="B9" s="58">
        <v>1</v>
      </c>
      <c r="C9" s="11" t="s">
        <v>34</v>
      </c>
      <c r="D9" s="12" t="s">
        <v>32</v>
      </c>
      <c r="E9" s="23" t="s">
        <v>35</v>
      </c>
      <c r="F9" s="12" t="s">
        <v>36</v>
      </c>
      <c r="G9" s="24" t="s">
        <v>37</v>
      </c>
      <c r="H9" s="25"/>
      <c r="I9" s="28"/>
      <c r="J9" s="31"/>
      <c r="K9" s="204" t="s">
        <v>182</v>
      </c>
      <c r="L9" s="204">
        <f>SUMIFS($A$11:$A$401,$B$11:$B$401,"CH",$F$11:$F$401,"7")</f>
        <v>0</v>
      </c>
      <c r="M9" s="204" t="s">
        <v>7</v>
      </c>
      <c r="N9" s="204">
        <f>SUMIFS($A$11:$A$401,$B$11:$B$401,"RT",$F$11:$F$401,"7")</f>
        <v>0</v>
      </c>
      <c r="O9" s="204" t="s">
        <v>14</v>
      </c>
    </row>
    <row r="10" spans="1:15" ht="15" thickTop="1" x14ac:dyDescent="0.3">
      <c r="A10" s="59" t="s">
        <v>33</v>
      </c>
      <c r="B10" s="22"/>
      <c r="C10" s="11" t="s">
        <v>38</v>
      </c>
      <c r="D10" s="12" t="s">
        <v>39</v>
      </c>
      <c r="E10" s="26" t="s">
        <v>40</v>
      </c>
      <c r="F10" s="27" t="s">
        <v>41</v>
      </c>
      <c r="G10" s="24" t="s">
        <v>42</v>
      </c>
      <c r="H10" s="9"/>
      <c r="I10" s="52" t="s">
        <v>43</v>
      </c>
      <c r="J10" s="8"/>
      <c r="K10" s="204" t="s">
        <v>183</v>
      </c>
      <c r="L10" s="204">
        <f>SUMIFS($A$11:$A$401,$B$11:$B$401,"CH",$F$11:$F$401,"8")</f>
        <v>0</v>
      </c>
      <c r="M10" s="204" t="s">
        <v>7</v>
      </c>
      <c r="N10" s="204">
        <f>SUMIFS($A$11:$A$401,$B$11:$B$401,"RT",$F$11:$F$401,"8")</f>
        <v>0</v>
      </c>
      <c r="O10" s="204" t="s">
        <v>14</v>
      </c>
    </row>
    <row r="11" spans="1:15" ht="15" thickBot="1" x14ac:dyDescent="0.35">
      <c r="A11" s="28"/>
      <c r="B11" s="29"/>
      <c r="C11" s="28" t="s">
        <v>44</v>
      </c>
      <c r="D11" s="30" t="s">
        <v>45</v>
      </c>
      <c r="E11" s="26" t="s">
        <v>46</v>
      </c>
      <c r="F11" s="30" t="s">
        <v>69</v>
      </c>
      <c r="G11" t="s">
        <v>59</v>
      </c>
      <c r="H11" s="30" t="s">
        <v>47</v>
      </c>
      <c r="I11" s="158"/>
      <c r="J11" s="31"/>
      <c r="K11" s="204" t="s">
        <v>184</v>
      </c>
      <c r="L11" s="204">
        <f>SUMIFS($A$11:$A$401,$B$11:$B$401,"CH",$F$11:$F$401,"9")</f>
        <v>0</v>
      </c>
      <c r="M11" s="204" t="s">
        <v>7</v>
      </c>
      <c r="N11" s="204">
        <f>SUMIFS($A$11:$A$401,$B$11:$B$401,"RT",$F$11:$F$401,"9")</f>
        <v>0</v>
      </c>
      <c r="O11" s="204" t="s">
        <v>14</v>
      </c>
    </row>
    <row r="12" spans="1:15" ht="15.6" thickTop="1" thickBot="1" x14ac:dyDescent="0.35">
      <c r="A12" s="32" t="s">
        <v>48</v>
      </c>
      <c r="B12" s="33" t="s">
        <v>49</v>
      </c>
      <c r="C12" s="33" t="s">
        <v>50</v>
      </c>
      <c r="D12" s="33" t="s">
        <v>51</v>
      </c>
      <c r="E12" s="33" t="s">
        <v>52</v>
      </c>
      <c r="F12" s="33" t="s">
        <v>53</v>
      </c>
      <c r="G12" s="33" t="s">
        <v>54</v>
      </c>
      <c r="H12" s="33" t="s">
        <v>55</v>
      </c>
      <c r="I12" s="33" t="s">
        <v>56</v>
      </c>
      <c r="J12" s="33" t="s">
        <v>57</v>
      </c>
      <c r="K12" s="204" t="s">
        <v>185</v>
      </c>
      <c r="L12" s="204">
        <f>SUMIFS($A$11:$A$401,$B$11:$B$401,"CH",$F$11:$F$401,"10")</f>
        <v>0</v>
      </c>
      <c r="M12" s="204" t="s">
        <v>7</v>
      </c>
      <c r="N12" s="204">
        <f>SUMIFS($A$11:$A$401,$B$11:$B$401,"RT",$F$11:$F$401,"10")</f>
        <v>0</v>
      </c>
      <c r="O12" s="204" t="s">
        <v>14</v>
      </c>
    </row>
    <row r="13" spans="1:15" ht="15" thickTop="1" x14ac:dyDescent="0.3">
      <c r="A13" s="38">
        <v>0</v>
      </c>
      <c r="B13" s="61"/>
      <c r="C13" s="39"/>
      <c r="D13" s="82"/>
      <c r="E13" s="39"/>
      <c r="F13" s="39">
        <v>1</v>
      </c>
      <c r="G13" s="39" t="s">
        <v>22</v>
      </c>
      <c r="H13" s="39"/>
      <c r="I13" s="126">
        <v>0.53125</v>
      </c>
      <c r="J13" s="41"/>
      <c r="K13" s="204" t="s">
        <v>186</v>
      </c>
      <c r="L13" s="204">
        <f>SUMIFS($A$11:$A$401,$B$11:$B$401,"CH",$F$11:$F$401,"11")</f>
        <v>0</v>
      </c>
      <c r="M13" s="204" t="s">
        <v>7</v>
      </c>
      <c r="N13" s="204">
        <f>SUMIFS($A$11:$A$401,$B$11:$B$401,"RT",$F$11:$F$401,"11")</f>
        <v>0</v>
      </c>
      <c r="O13" s="204" t="s">
        <v>14</v>
      </c>
    </row>
    <row r="14" spans="1:15" x14ac:dyDescent="0.3">
      <c r="A14" s="38">
        <v>0</v>
      </c>
      <c r="B14" s="61"/>
      <c r="C14" s="39"/>
      <c r="D14" s="39"/>
      <c r="E14" s="39"/>
      <c r="F14" s="39">
        <v>2</v>
      </c>
      <c r="G14" s="39"/>
      <c r="H14" s="39"/>
      <c r="I14" s="39"/>
      <c r="J14" s="41"/>
      <c r="K14" s="204" t="s">
        <v>187</v>
      </c>
      <c r="L14" s="204">
        <f>SUMIFS($A$11:$A$401,$B$11:$B$401,"CH",$F$11:$F$401,"12")</f>
        <v>0</v>
      </c>
      <c r="M14" s="204" t="s">
        <v>7</v>
      </c>
      <c r="N14" s="204">
        <f>SUMIFS($A$11:$A$401,$B$11:$B$401,"RT",$F$11:$F$401,"12")</f>
        <v>0</v>
      </c>
      <c r="O14" s="204" t="s">
        <v>14</v>
      </c>
    </row>
    <row r="15" spans="1:15" x14ac:dyDescent="0.3">
      <c r="A15" s="38">
        <v>0</v>
      </c>
      <c r="B15" s="61"/>
      <c r="C15" s="39"/>
      <c r="D15" s="39"/>
      <c r="E15" s="39"/>
      <c r="F15" s="39">
        <v>3</v>
      </c>
      <c r="G15" s="39" t="s">
        <v>22</v>
      </c>
      <c r="H15" s="39"/>
      <c r="I15" s="39"/>
      <c r="J15" s="41"/>
      <c r="K15" s="204" t="s">
        <v>188</v>
      </c>
      <c r="L15" s="204">
        <f>SUMIFS($A$11:$A$401,$B$11:$B$401,"CH",$F$11:$F$401,"13")</f>
        <v>0</v>
      </c>
      <c r="M15" s="204" t="s">
        <v>7</v>
      </c>
      <c r="N15" s="204">
        <f>SUMIFS($A$11:$A$401,$B$11:$B$401,"RT",$F$11:$F$401,"13")</f>
        <v>0</v>
      </c>
      <c r="O15" s="204" t="s">
        <v>14</v>
      </c>
    </row>
    <row r="16" spans="1:15" x14ac:dyDescent="0.3">
      <c r="A16" s="38">
        <v>0</v>
      </c>
      <c r="B16" s="61"/>
      <c r="C16" s="39"/>
      <c r="D16" s="39"/>
      <c r="E16" s="39"/>
      <c r="F16" s="39">
        <v>4</v>
      </c>
      <c r="G16" s="39" t="s">
        <v>111</v>
      </c>
      <c r="H16" s="39"/>
      <c r="I16" s="39"/>
      <c r="J16" s="41"/>
      <c r="K16" s="204" t="s">
        <v>189</v>
      </c>
      <c r="L16" s="204">
        <f>SUMIFS($A$11:$A$401,$B$11:$B$401,"CH",$F$11:$F$401,"14")</f>
        <v>0</v>
      </c>
      <c r="M16" s="204" t="s">
        <v>7</v>
      </c>
      <c r="N16" s="204">
        <f>SUMIFS($A$11:$A$401,$B$11:$B$401,"RT",$F$11:$F$401,"14")</f>
        <v>0</v>
      </c>
      <c r="O16" s="204" t="s">
        <v>14</v>
      </c>
    </row>
    <row r="17" spans="1:15" x14ac:dyDescent="0.3">
      <c r="A17" s="38">
        <v>0</v>
      </c>
      <c r="B17" s="61"/>
      <c r="C17" s="39"/>
      <c r="D17" s="39"/>
      <c r="E17" s="39"/>
      <c r="F17" s="39">
        <v>5</v>
      </c>
      <c r="G17" s="39"/>
      <c r="H17" s="39"/>
      <c r="I17" s="39"/>
      <c r="J17" s="41"/>
      <c r="K17" s="204" t="s">
        <v>190</v>
      </c>
      <c r="L17" s="204">
        <f>SUMIFS($A$11:$A$401,$B$11:$B$401,"CH",$F$11:$F$401,"15")</f>
        <v>0</v>
      </c>
      <c r="M17" s="204" t="s">
        <v>7</v>
      </c>
      <c r="N17" s="204">
        <f>SUMIFS($A$11:$A$401,$B$11:$B$401,"RT",$F$11:$F$401,"15")</f>
        <v>0</v>
      </c>
      <c r="O17" s="204" t="s">
        <v>14</v>
      </c>
    </row>
    <row r="18" spans="1:15" x14ac:dyDescent="0.3">
      <c r="A18" s="38">
        <v>1</v>
      </c>
      <c r="B18" s="61" t="s">
        <v>14</v>
      </c>
      <c r="C18" s="39">
        <v>130</v>
      </c>
      <c r="D18" s="39" t="s">
        <v>98</v>
      </c>
      <c r="E18" s="39">
        <v>1</v>
      </c>
      <c r="F18" s="39">
        <v>6</v>
      </c>
      <c r="G18" s="39"/>
      <c r="H18" s="39" t="s">
        <v>81</v>
      </c>
      <c r="I18" s="126">
        <v>0.53888888888888886</v>
      </c>
      <c r="J18" s="41"/>
      <c r="K18" s="204" t="s">
        <v>191</v>
      </c>
      <c r="L18" s="204">
        <f>SUMIFS($A$11:$A$401,$B$11:$B$401,"CH",$F$11:$F$401,"16")</f>
        <v>0</v>
      </c>
      <c r="M18" s="204" t="s">
        <v>7</v>
      </c>
      <c r="N18" s="204">
        <f>SUMIFS($A$11:$A$401,$B$11:$B$401,"RT",$F$11:$F$401,"16")</f>
        <v>0</v>
      </c>
      <c r="O18" s="204" t="s">
        <v>14</v>
      </c>
    </row>
    <row r="19" spans="1:15" x14ac:dyDescent="0.3">
      <c r="A19" s="38">
        <v>1</v>
      </c>
      <c r="B19" s="61" t="s">
        <v>14</v>
      </c>
      <c r="C19" s="39">
        <v>80</v>
      </c>
      <c r="D19" s="39" t="s">
        <v>72</v>
      </c>
      <c r="E19" s="39">
        <v>3</v>
      </c>
      <c r="F19" s="39">
        <v>6</v>
      </c>
      <c r="G19" s="39"/>
      <c r="H19" s="39" t="s">
        <v>71</v>
      </c>
      <c r="I19" s="39"/>
      <c r="J19" s="41"/>
      <c r="K19" s="204" t="s">
        <v>192</v>
      </c>
      <c r="L19" s="204">
        <f>SUMIFS($A$11:$A$401,$B$11:$B$401,"CH",$F$11:$F$401,"17")</f>
        <v>0</v>
      </c>
      <c r="M19" s="204" t="s">
        <v>7</v>
      </c>
      <c r="N19" s="204">
        <f>SUMIFS($A$11:$A$401,$B$11:$B$401,"RT",$F$11:$F$401,"17")</f>
        <v>0</v>
      </c>
      <c r="O19" s="204" t="s">
        <v>14</v>
      </c>
    </row>
    <row r="20" spans="1:15" x14ac:dyDescent="0.3">
      <c r="A20" s="38">
        <v>1</v>
      </c>
      <c r="B20" s="61" t="s">
        <v>14</v>
      </c>
      <c r="C20" s="39">
        <v>180</v>
      </c>
      <c r="D20" s="39" t="s">
        <v>98</v>
      </c>
      <c r="E20" s="39">
        <v>1</v>
      </c>
      <c r="F20" s="39">
        <v>6</v>
      </c>
      <c r="G20" s="39"/>
      <c r="H20" s="39" t="s">
        <v>173</v>
      </c>
      <c r="I20" s="39"/>
      <c r="J20" s="41"/>
      <c r="K20" s="204" t="s">
        <v>193</v>
      </c>
      <c r="L20" s="204">
        <f>SUMIFS($A$11:$A$401,$B$11:$B$401,"CH",$F$11:$F$401,"18")</f>
        <v>0</v>
      </c>
      <c r="M20" s="204" t="s">
        <v>7</v>
      </c>
      <c r="N20" s="204">
        <f>SUMIFS($A$11:$A$401,$B$11:$B$401,"RT",$F$11:$F$401,"18")</f>
        <v>0</v>
      </c>
      <c r="O20" s="204" t="s">
        <v>14</v>
      </c>
    </row>
    <row r="21" spans="1:15" x14ac:dyDescent="0.3">
      <c r="A21" s="38">
        <v>0</v>
      </c>
      <c r="B21" s="61"/>
      <c r="C21" s="39"/>
      <c r="D21" s="39"/>
      <c r="E21" s="39"/>
      <c r="F21" s="39">
        <v>7</v>
      </c>
      <c r="G21" s="39" t="s">
        <v>111</v>
      </c>
      <c r="H21" s="39"/>
      <c r="I21" s="39"/>
      <c r="J21" s="41" t="s">
        <v>174</v>
      </c>
      <c r="K21" s="204" t="s">
        <v>194</v>
      </c>
      <c r="L21" s="204">
        <f>SUMIFS($A$11:$A$401,$B$11:$B$401,"CH",$F$11:$F$401,"19")</f>
        <v>0</v>
      </c>
      <c r="M21" s="204" t="s">
        <v>7</v>
      </c>
      <c r="N21" s="204">
        <f>SUMIFS($A$11:$A$401,$B$11:$B$401,"RT",$F$11:$F$401,"19")</f>
        <v>0</v>
      </c>
      <c r="O21" s="204" t="s">
        <v>14</v>
      </c>
    </row>
    <row r="22" spans="1:15" x14ac:dyDescent="0.3">
      <c r="A22" s="38">
        <v>0</v>
      </c>
      <c r="B22" s="61"/>
      <c r="C22" s="39"/>
      <c r="D22" s="39"/>
      <c r="E22" s="39"/>
      <c r="F22" s="39">
        <v>8</v>
      </c>
      <c r="G22" s="39" t="s">
        <v>41</v>
      </c>
      <c r="H22" s="39"/>
      <c r="I22" s="39"/>
      <c r="J22" s="41" t="s">
        <v>147</v>
      </c>
      <c r="K22" s="204" t="s">
        <v>195</v>
      </c>
      <c r="L22" s="204">
        <f>SUMIFS($A$11:$A$401,$B$11:$B$401,"CH",$F$11:$F$401,"20")</f>
        <v>0</v>
      </c>
      <c r="M22" s="204" t="s">
        <v>7</v>
      </c>
      <c r="N22" s="204">
        <f>SUMIFS($A$11:$A$401,$B$11:$B$401,"RT",$F$11:$F$401,"20")</f>
        <v>0</v>
      </c>
      <c r="O22" s="204" t="s">
        <v>14</v>
      </c>
    </row>
    <row r="23" spans="1:15" x14ac:dyDescent="0.3">
      <c r="A23" s="38">
        <v>0</v>
      </c>
      <c r="B23" s="61"/>
      <c r="C23" s="39"/>
      <c r="D23" s="39"/>
      <c r="E23" s="39"/>
      <c r="F23" s="39">
        <v>9</v>
      </c>
      <c r="G23" s="39"/>
      <c r="H23" s="39"/>
      <c r="I23" s="39"/>
      <c r="J23" s="41"/>
      <c r="K23" s="204" t="s">
        <v>196</v>
      </c>
      <c r="L23" s="204">
        <f>SUMIFS($A$11:$A$401,$B$11:$B$401,"CH",$F$11:$F$401,"21")</f>
        <v>0</v>
      </c>
      <c r="M23" s="204" t="s">
        <v>7</v>
      </c>
      <c r="N23" s="204">
        <f>SUMIFS($A$11:$A$401,$B$11:$B$401,"RT",$F$11:$F$401,"21")</f>
        <v>0</v>
      </c>
      <c r="O23" s="204" t="s">
        <v>14</v>
      </c>
    </row>
    <row r="24" spans="1:15" x14ac:dyDescent="0.3">
      <c r="A24" s="38">
        <v>0</v>
      </c>
      <c r="B24" s="61"/>
      <c r="C24" s="39"/>
      <c r="D24" s="39"/>
      <c r="E24" s="39"/>
      <c r="F24" s="39">
        <v>10</v>
      </c>
      <c r="G24" s="39"/>
      <c r="H24" s="39"/>
      <c r="I24" s="39"/>
      <c r="J24" s="41"/>
      <c r="K24" s="204" t="s">
        <v>197</v>
      </c>
      <c r="L24" s="204">
        <f>SUMIFS($A$11:$A$401,$B$11:$B$401,"CH",$F$11:$F$401,"22")</f>
        <v>0</v>
      </c>
      <c r="M24" s="204" t="s">
        <v>7</v>
      </c>
      <c r="N24" s="204">
        <f>SUMIFS($A$11:$A$401,$B$11:$B$401,"RT",$F$11:$F$401,"22")</f>
        <v>0</v>
      </c>
      <c r="O24" s="204" t="s">
        <v>14</v>
      </c>
    </row>
    <row r="25" spans="1:15" x14ac:dyDescent="0.3">
      <c r="A25" s="38">
        <v>0</v>
      </c>
      <c r="B25" s="61"/>
      <c r="C25" s="39"/>
      <c r="D25" s="39"/>
      <c r="E25" s="39"/>
      <c r="F25" s="39">
        <v>11</v>
      </c>
      <c r="G25" s="39" t="s">
        <v>41</v>
      </c>
      <c r="H25" s="39"/>
      <c r="I25" s="39"/>
      <c r="J25" s="41">
        <v>12</v>
      </c>
      <c r="K25" s="204" t="s">
        <v>198</v>
      </c>
      <c r="L25" s="204">
        <f>SUMIFS($A$11:$A$401,$B$11:$B$401,"CH",$F$11:$F$401,"23")</f>
        <v>0</v>
      </c>
      <c r="M25" s="204" t="s">
        <v>7</v>
      </c>
      <c r="N25" s="204">
        <f>SUMIFS($A$11:$A$401,$B$11:$B$401,"RT",$F$11:$F$401,"23")</f>
        <v>0</v>
      </c>
      <c r="O25" s="204" t="s">
        <v>14</v>
      </c>
    </row>
    <row r="26" spans="1:15" x14ac:dyDescent="0.3">
      <c r="A26" s="38">
        <v>0</v>
      </c>
      <c r="B26" s="61"/>
      <c r="C26" s="39"/>
      <c r="D26" s="39"/>
      <c r="E26" s="39"/>
      <c r="F26" s="39">
        <v>12</v>
      </c>
      <c r="G26" s="39" t="s">
        <v>22</v>
      </c>
      <c r="H26" s="39"/>
      <c r="I26" s="39"/>
      <c r="J26" s="41" t="s">
        <v>175</v>
      </c>
      <c r="K26" s="204" t="s">
        <v>199</v>
      </c>
      <c r="L26" s="204">
        <f>SUMIFS($A$11:$A$401,$B$11:$B$401,"CH",$F$11:$F$401,"24")</f>
        <v>0</v>
      </c>
      <c r="M26" s="204" t="s">
        <v>7</v>
      </c>
      <c r="N26" s="204">
        <f>SUMIFS($A$11:$A$401,$B$11:$B$401,"RT",$F$11:$F$401,"24")</f>
        <v>0</v>
      </c>
      <c r="O26" s="204" t="s">
        <v>14</v>
      </c>
    </row>
    <row r="27" spans="1:15" x14ac:dyDescent="0.3">
      <c r="A27" s="38">
        <v>0</v>
      </c>
      <c r="B27" s="61"/>
      <c r="C27" s="39"/>
      <c r="D27" s="39"/>
      <c r="E27" s="39"/>
      <c r="F27" s="39">
        <v>13</v>
      </c>
      <c r="G27" s="39" t="s">
        <v>41</v>
      </c>
      <c r="H27" s="39"/>
      <c r="I27" s="39"/>
      <c r="J27" s="41" t="s">
        <v>170</v>
      </c>
      <c r="K27" s="204" t="s">
        <v>200</v>
      </c>
      <c r="L27" s="204">
        <f>SUMIFS($A$11:$A$401,$B$11:$B$401,"CH",$F$11:$F$401,"25")</f>
        <v>0</v>
      </c>
      <c r="M27" s="204" t="s">
        <v>7</v>
      </c>
      <c r="N27" s="204">
        <f>SUMIFS($A$11:$A$401,$B$11:$B$401,"RT",$F$11:$F$401,"25")</f>
        <v>0</v>
      </c>
      <c r="O27" s="204" t="s">
        <v>14</v>
      </c>
    </row>
    <row r="28" spans="1:15" x14ac:dyDescent="0.3">
      <c r="A28" s="38">
        <v>0</v>
      </c>
      <c r="B28" s="61"/>
      <c r="C28" s="39"/>
      <c r="D28" s="39"/>
      <c r="E28" s="39"/>
      <c r="F28" s="39">
        <v>14</v>
      </c>
      <c r="G28" s="39" t="s">
        <v>111</v>
      </c>
      <c r="H28" s="39"/>
      <c r="I28" s="39"/>
      <c r="J28" s="41"/>
      <c r="K28" s="204" t="s">
        <v>201</v>
      </c>
      <c r="L28" s="204">
        <f>SUMIFS($A$11:$A$401,$B$11:$B$401,"CH",$F$11:$F$401,"26")</f>
        <v>0</v>
      </c>
      <c r="M28" s="204" t="s">
        <v>7</v>
      </c>
      <c r="N28" s="204">
        <f>SUMIFS($A$11:$A$401,$B$11:$B$401,"RT",$F$11:$F$401,"26")</f>
        <v>0</v>
      </c>
      <c r="O28" s="204" t="s">
        <v>14</v>
      </c>
    </row>
    <row r="29" spans="1:15" x14ac:dyDescent="0.3">
      <c r="A29" s="38">
        <v>0</v>
      </c>
      <c r="B29" s="61"/>
      <c r="C29" s="39"/>
      <c r="D29" s="39"/>
      <c r="E29" s="39"/>
      <c r="F29" s="39">
        <v>15</v>
      </c>
      <c r="G29" s="39" t="s">
        <v>41</v>
      </c>
      <c r="H29" s="39"/>
      <c r="I29" s="39"/>
      <c r="J29" s="41"/>
      <c r="K29" s="204" t="s">
        <v>202</v>
      </c>
      <c r="L29" s="204">
        <f>SUMIFS($A$11:$A$401,$B$11:$B$401,"CH",$F$11:$F$401,"27")</f>
        <v>0</v>
      </c>
      <c r="M29" s="204" t="s">
        <v>7</v>
      </c>
      <c r="N29" s="204">
        <f>SUMIFS($A$11:$A$401,$B$11:$B$401,"RT",$F$11:$F$401,"27")</f>
        <v>0</v>
      </c>
      <c r="O29" s="204" t="s">
        <v>14</v>
      </c>
    </row>
    <row r="30" spans="1:15" x14ac:dyDescent="0.3">
      <c r="A30" s="38">
        <v>0</v>
      </c>
      <c r="B30" s="61"/>
      <c r="C30" s="39"/>
      <c r="D30" s="39"/>
      <c r="E30" s="39"/>
      <c r="F30" s="39">
        <v>16</v>
      </c>
      <c r="G30" s="39"/>
      <c r="H30" s="39"/>
      <c r="I30" s="39"/>
      <c r="J30" s="41"/>
      <c r="K30" s="204" t="s">
        <v>203</v>
      </c>
      <c r="L30" s="204">
        <f>SUMIFS($A$11:$A$401,$B$11:$B$401,"CH",$F$11:$F$401,"28")</f>
        <v>0</v>
      </c>
      <c r="M30" s="204" t="s">
        <v>7</v>
      </c>
      <c r="N30" s="204">
        <f>SUMIFS($A$11:$A$401,$B$11:$B$401,"RT",$F$11:$F$401,"28")</f>
        <v>0</v>
      </c>
      <c r="O30" s="204" t="s">
        <v>14</v>
      </c>
    </row>
    <row r="31" spans="1:15" x14ac:dyDescent="0.3">
      <c r="A31" s="38">
        <v>0</v>
      </c>
      <c r="B31" s="61"/>
      <c r="C31" s="39"/>
      <c r="D31" s="39"/>
      <c r="E31" s="39"/>
      <c r="F31" s="39">
        <v>17</v>
      </c>
      <c r="G31" s="39"/>
      <c r="H31" s="39"/>
      <c r="I31" s="39"/>
      <c r="J31" s="41"/>
      <c r="K31" s="204" t="s">
        <v>204</v>
      </c>
      <c r="L31" s="204">
        <f>SUMIFS($A$11:$A$401,$B$11:$B$401,"CH",$F$11:$F$401,"29")</f>
        <v>0</v>
      </c>
      <c r="M31" s="204" t="s">
        <v>7</v>
      </c>
      <c r="N31" s="204">
        <f>SUMIFS($A$11:$A$401,$B$11:$B$401,"RT",$F$11:$F$401,"29")</f>
        <v>0</v>
      </c>
      <c r="O31" s="204" t="s">
        <v>14</v>
      </c>
    </row>
    <row r="32" spans="1:15" x14ac:dyDescent="0.3">
      <c r="A32" s="38">
        <v>0</v>
      </c>
      <c r="B32" s="61"/>
      <c r="C32" s="39"/>
      <c r="D32" s="39"/>
      <c r="E32" s="39"/>
      <c r="F32" s="39">
        <v>18</v>
      </c>
      <c r="G32" s="39"/>
      <c r="H32" s="39"/>
      <c r="I32" s="39"/>
      <c r="J32" s="41"/>
      <c r="K32" s="204" t="s">
        <v>205</v>
      </c>
      <c r="L32" s="204">
        <f>SUMIFS($A$11:$A$401,$B$11:$B$401,"CH",$F$11:$F$401,"30")</f>
        <v>0</v>
      </c>
      <c r="M32" s="204" t="s">
        <v>7</v>
      </c>
      <c r="N32" s="204">
        <f>SUMIFS($A$11:$A$401,$B$11:$B$401,"RT",$F$11:$F$401,"30")</f>
        <v>0</v>
      </c>
      <c r="O32" s="204" t="s">
        <v>14</v>
      </c>
    </row>
    <row r="33" spans="1:15" x14ac:dyDescent="0.3">
      <c r="A33" s="38">
        <v>0</v>
      </c>
      <c r="B33" s="61"/>
      <c r="C33" s="39"/>
      <c r="D33" s="39"/>
      <c r="E33" s="39"/>
      <c r="F33" s="39">
        <v>19</v>
      </c>
      <c r="G33" s="39" t="s">
        <v>41</v>
      </c>
      <c r="H33" s="39"/>
      <c r="I33" s="39"/>
      <c r="J33" s="41"/>
      <c r="K33" s="204" t="s">
        <v>206</v>
      </c>
      <c r="L33" s="204">
        <f>SUMIFS($A$11:$A$401,$B$11:$B$401,"CH",$F$11:$F$401,"31")</f>
        <v>0</v>
      </c>
      <c r="M33" s="204" t="s">
        <v>7</v>
      </c>
      <c r="N33" s="204">
        <f>SUMIFS($A$11:$A$401,$B$11:$B$401,"RT",$F$11:$F$401,"31")</f>
        <v>0</v>
      </c>
      <c r="O33" s="204" t="s">
        <v>14</v>
      </c>
    </row>
    <row r="34" spans="1:15" x14ac:dyDescent="0.3">
      <c r="A34" s="38">
        <v>0</v>
      </c>
      <c r="B34" s="61"/>
      <c r="C34" s="39"/>
      <c r="D34" s="39"/>
      <c r="E34" s="39"/>
      <c r="F34" s="39">
        <v>20</v>
      </c>
      <c r="G34" s="39" t="s">
        <v>22</v>
      </c>
      <c r="H34" s="39"/>
      <c r="I34" s="39"/>
      <c r="J34" s="41"/>
      <c r="K34" s="204" t="s">
        <v>207</v>
      </c>
      <c r="L34" s="204">
        <f>SUMIFS($A$11:$A$401,$B$11:$B$401,"CH",$F$11:$F$401,"32")</f>
        <v>0</v>
      </c>
      <c r="M34" s="204" t="s">
        <v>7</v>
      </c>
      <c r="N34" s="204">
        <f>SUMIFS($A$11:$A$401,$B$11:$B$401,"RT",$F$11:$F$401,"32")</f>
        <v>0</v>
      </c>
      <c r="O34" s="204" t="s">
        <v>14</v>
      </c>
    </row>
    <row r="35" spans="1:15" x14ac:dyDescent="0.3">
      <c r="A35" s="38">
        <v>0</v>
      </c>
      <c r="B35" s="61"/>
      <c r="C35" s="39"/>
      <c r="D35" s="39"/>
      <c r="E35" s="39"/>
      <c r="F35" s="39">
        <v>21</v>
      </c>
      <c r="G35" s="39"/>
      <c r="H35" s="39"/>
      <c r="I35" s="39"/>
      <c r="J35" s="41"/>
      <c r="K35" s="204" t="s">
        <v>208</v>
      </c>
      <c r="L35" s="204">
        <f>SUMIFS($A$11:$A$401,$B$11:$B$401,"CH",$F$11:$F$401,"33")</f>
        <v>0</v>
      </c>
      <c r="M35" s="204" t="s">
        <v>7</v>
      </c>
      <c r="N35" s="204">
        <f>SUMIFS($A$11:$A$401,$B$11:$B$401,"RT",$F$11:$F$401,"33")</f>
        <v>0</v>
      </c>
      <c r="O35" s="204" t="s">
        <v>14</v>
      </c>
    </row>
    <row r="36" spans="1:15" x14ac:dyDescent="0.3">
      <c r="A36" s="38">
        <v>0</v>
      </c>
      <c r="B36" s="61"/>
      <c r="C36" s="39"/>
      <c r="D36" s="39"/>
      <c r="E36" s="39"/>
      <c r="F36" s="39">
        <v>22</v>
      </c>
      <c r="G36" s="39"/>
      <c r="H36" s="39"/>
      <c r="I36" s="39"/>
      <c r="J36" s="41"/>
      <c r="K36" s="204" t="s">
        <v>209</v>
      </c>
      <c r="L36" s="204">
        <f>SUMIFS($A$11:$A$401,$B$11:$B$401,"CH",$F$11:$F$401,"34")</f>
        <v>0</v>
      </c>
      <c r="M36" s="204" t="s">
        <v>7</v>
      </c>
      <c r="N36" s="204">
        <f>SUMIFS($A$11:$A$401,$B$11:$B$401,"RT",$F$11:$F$401,"34")</f>
        <v>0</v>
      </c>
      <c r="O36" s="204" t="s">
        <v>14</v>
      </c>
    </row>
    <row r="37" spans="1:15" x14ac:dyDescent="0.3">
      <c r="A37" s="38">
        <v>0</v>
      </c>
      <c r="B37" s="61"/>
      <c r="C37" s="39"/>
      <c r="D37" s="39"/>
      <c r="E37" s="39"/>
      <c r="F37" s="39">
        <v>23</v>
      </c>
      <c r="G37" s="39"/>
      <c r="H37" s="39"/>
      <c r="I37" s="39"/>
      <c r="J37" s="41"/>
      <c r="K37" s="204" t="s">
        <v>210</v>
      </c>
      <c r="L37" s="204">
        <f>SUMIFS($A$11:$A$401,$B$11:$B$401,"CH",$F$11:$F$401,"35")</f>
        <v>0</v>
      </c>
      <c r="M37" s="204" t="s">
        <v>7</v>
      </c>
      <c r="N37" s="204">
        <f>SUMIFS($A$11:$A$401,$B$11:$B$401,"RT",$F$11:$F$401,"35")</f>
        <v>0</v>
      </c>
      <c r="O37" s="204" t="s">
        <v>14</v>
      </c>
    </row>
    <row r="38" spans="1:15" ht="15" thickBot="1" x14ac:dyDescent="0.35">
      <c r="A38" s="159">
        <v>0</v>
      </c>
      <c r="B38" s="71"/>
      <c r="C38" s="78"/>
      <c r="D38" s="78"/>
      <c r="E38" s="78"/>
      <c r="F38" s="78">
        <v>24</v>
      </c>
      <c r="G38" s="78"/>
      <c r="H38" s="78"/>
      <c r="I38" s="78"/>
      <c r="J38" s="160"/>
      <c r="K38" s="204" t="s">
        <v>211</v>
      </c>
      <c r="L38" s="204">
        <f>SUMIFS($A$11:$A$401,$B$11:$B$401,"CH",$F$11:$F$401,"36")</f>
        <v>0</v>
      </c>
      <c r="M38" s="204" t="s">
        <v>7</v>
      </c>
      <c r="N38" s="204">
        <f>SUMIFS($A$11:$A$401,$B$11:$B$401,"RT",$F$11:$F$401,"36")</f>
        <v>0</v>
      </c>
      <c r="O38" s="204" t="s">
        <v>14</v>
      </c>
    </row>
    <row r="39" spans="1:15" x14ac:dyDescent="0.3">
      <c r="K39" s="204" t="s">
        <v>212</v>
      </c>
      <c r="L39" s="204">
        <f>SUMIFS($A$11:$A$401,$B$11:$B$401,"CH",$F$11:$F$401,"37")</f>
        <v>0</v>
      </c>
      <c r="M39" s="204" t="s">
        <v>7</v>
      </c>
      <c r="N39" s="204">
        <f>SUMIFS($A$11:$A$401,$B$11:$B$401,"RT",$F$11:$F$401,"37")</f>
        <v>0</v>
      </c>
      <c r="O39" s="204" t="s">
        <v>14</v>
      </c>
    </row>
    <row r="40" spans="1:15" x14ac:dyDescent="0.3">
      <c r="K40" s="204" t="s">
        <v>213</v>
      </c>
      <c r="L40" s="204">
        <f>SUMIFS($A$11:$A$401,$B$11:$B$401,"CH",$F$11:$F$401,"38")</f>
        <v>0</v>
      </c>
      <c r="M40" s="204" t="s">
        <v>7</v>
      </c>
      <c r="N40" s="204">
        <f>SUMIFS($A$11:$A$401,$B$11:$B$401,"RT",$F$11:$F$401,"38")</f>
        <v>0</v>
      </c>
      <c r="O40" s="204" t="s">
        <v>14</v>
      </c>
    </row>
    <row r="41" spans="1:15" x14ac:dyDescent="0.3">
      <c r="K41" s="204" t="s">
        <v>214</v>
      </c>
      <c r="L41" s="204">
        <f>SUMIFS($A$11:$A$401,$B$11:$B$401,"CH",$F$11:$F$401,"39")</f>
        <v>0</v>
      </c>
      <c r="M41" s="204" t="s">
        <v>7</v>
      </c>
      <c r="N41" s="204">
        <f>SUMIFS($A$11:$A$401,$B$11:$B$401,"RT",$F$11:$F$401,"39")</f>
        <v>0</v>
      </c>
      <c r="O41" s="204" t="s">
        <v>14</v>
      </c>
    </row>
    <row r="42" spans="1:15" x14ac:dyDescent="0.3">
      <c r="K42" s="204" t="s">
        <v>215</v>
      </c>
      <c r="L42" s="204">
        <f>SUMIFS($A$11:$A$401,$B$11:$B$401,"CH",$F$11:$F$401,"40")</f>
        <v>0</v>
      </c>
      <c r="M42" s="204" t="s">
        <v>7</v>
      </c>
      <c r="N42" s="204">
        <f>SUMIFS($A$11:$A$401,$B$11:$B$401,"RT",$F$11:$F$401,"40")</f>
        <v>0</v>
      </c>
      <c r="O42" s="204" t="s">
        <v>14</v>
      </c>
    </row>
    <row r="43" spans="1:15" x14ac:dyDescent="0.3">
      <c r="K43" s="204" t="s">
        <v>216</v>
      </c>
      <c r="L43" s="204">
        <f>SUMIFS($A$11:$A$401,$B$11:$B$401,"CH",$F$11:$F$401,"41")</f>
        <v>0</v>
      </c>
      <c r="M43" s="204" t="s">
        <v>7</v>
      </c>
      <c r="N43" s="204">
        <f>SUMIFS($A$11:$A$401,$B$11:$B$401,"RT",$F$11:$F$401,"41")</f>
        <v>0</v>
      </c>
      <c r="O43" s="204" t="s">
        <v>14</v>
      </c>
    </row>
    <row r="44" spans="1:15" x14ac:dyDescent="0.3">
      <c r="K44" s="204"/>
      <c r="L44" s="204">
        <f>SUMIFS($A$11:$A$401,$B$11:$B$401,"CH",$F$11:$F$401,"")</f>
        <v>0</v>
      </c>
      <c r="M44" s="204" t="s">
        <v>7</v>
      </c>
      <c r="N44" s="204">
        <f>SUMIFS($A$11:$A$401,$B$11:$B$401,"RT",$F$11:$F$401,"")</f>
        <v>0</v>
      </c>
      <c r="O44" s="204" t="s">
        <v>14</v>
      </c>
    </row>
    <row r="45" spans="1:15" x14ac:dyDescent="0.3">
      <c r="K45" s="204" t="s">
        <v>222</v>
      </c>
      <c r="L45" s="204">
        <f>SUM(L3:L44)</f>
        <v>0</v>
      </c>
      <c r="M45" s="204" t="s">
        <v>7</v>
      </c>
      <c r="N45" s="204">
        <f>SUM(N3:N44)</f>
        <v>3</v>
      </c>
      <c r="O45" s="204" t="s">
        <v>14</v>
      </c>
    </row>
    <row r="46" spans="1:15" x14ac:dyDescent="0.3">
      <c r="K46" s="204"/>
      <c r="L46" s="204"/>
      <c r="M46" s="204"/>
      <c r="N46" s="204"/>
    </row>
    <row r="47" spans="1:15" x14ac:dyDescent="0.3">
      <c r="K47" s="204"/>
      <c r="N47" s="204"/>
    </row>
    <row r="48" spans="1:15" x14ac:dyDescent="0.3">
      <c r="K48" s="204"/>
      <c r="N48" s="204"/>
    </row>
    <row r="49" spans="11:14" x14ac:dyDescent="0.3">
      <c r="K49" s="204"/>
      <c r="N49" s="204"/>
    </row>
    <row r="50" spans="11:14" x14ac:dyDescent="0.3">
      <c r="K50" s="204"/>
      <c r="N50" s="204"/>
    </row>
    <row r="51" spans="11:14" x14ac:dyDescent="0.3">
      <c r="K51" s="204"/>
      <c r="N51" s="204"/>
    </row>
    <row r="52" spans="11:14" x14ac:dyDescent="0.3">
      <c r="K52" s="204"/>
      <c r="N52" s="204"/>
    </row>
    <row r="53" spans="11:14" x14ac:dyDescent="0.3">
      <c r="K53" s="204"/>
      <c r="N53" s="204"/>
    </row>
    <row r="54" spans="11:14" x14ac:dyDescent="0.3">
      <c r="K54" s="204"/>
      <c r="N54" s="204"/>
    </row>
    <row r="55" spans="11:14" x14ac:dyDescent="0.3">
      <c r="K55" s="204"/>
      <c r="N55" s="204"/>
    </row>
    <row r="56" spans="11:14" x14ac:dyDescent="0.3">
      <c r="K56" s="204"/>
      <c r="N56" s="204"/>
    </row>
    <row r="57" spans="11:14" x14ac:dyDescent="0.3">
      <c r="K57" s="204"/>
      <c r="N57" s="204"/>
    </row>
    <row r="58" spans="11:14" x14ac:dyDescent="0.3">
      <c r="K58" s="204"/>
      <c r="N58" s="204"/>
    </row>
    <row r="59" spans="11:14" x14ac:dyDescent="0.3">
      <c r="K59" s="204"/>
      <c r="N59" s="204"/>
    </row>
    <row r="60" spans="11:14" x14ac:dyDescent="0.3">
      <c r="K60" s="204"/>
      <c r="N60" s="204"/>
    </row>
    <row r="61" spans="11:14" x14ac:dyDescent="0.3">
      <c r="K61" s="204"/>
      <c r="N61" s="204"/>
    </row>
    <row r="62" spans="11:14" x14ac:dyDescent="0.3">
      <c r="K62" s="204"/>
      <c r="N62" s="204"/>
    </row>
    <row r="63" spans="11:14" x14ac:dyDescent="0.3">
      <c r="K63" s="204"/>
      <c r="N63" s="204"/>
    </row>
    <row r="64" spans="11:14" x14ac:dyDescent="0.3">
      <c r="K64" s="204"/>
      <c r="N64" s="204"/>
    </row>
    <row r="65" spans="11:14" x14ac:dyDescent="0.3">
      <c r="K65" s="204"/>
      <c r="N65" s="204"/>
    </row>
    <row r="66" spans="11:14" x14ac:dyDescent="0.3">
      <c r="K66" s="204"/>
      <c r="N66" s="204"/>
    </row>
    <row r="67" spans="11:14" x14ac:dyDescent="0.3">
      <c r="K67" s="204"/>
      <c r="N67" s="204"/>
    </row>
    <row r="68" spans="11:14" x14ac:dyDescent="0.3">
      <c r="K68" s="204"/>
      <c r="N68" s="204"/>
    </row>
    <row r="69" spans="11:14" x14ac:dyDescent="0.3">
      <c r="K69" s="204"/>
      <c r="N69" s="204"/>
    </row>
    <row r="70" spans="11:14" x14ac:dyDescent="0.3">
      <c r="K70" s="204"/>
      <c r="N70" s="204"/>
    </row>
    <row r="71" spans="11:14" x14ac:dyDescent="0.3">
      <c r="K71" s="204"/>
      <c r="N71" s="204"/>
    </row>
    <row r="72" spans="11:14" x14ac:dyDescent="0.3">
      <c r="K72" s="204"/>
      <c r="N72" s="204"/>
    </row>
    <row r="73" spans="11:14" x14ac:dyDescent="0.3">
      <c r="K73" s="204"/>
      <c r="N73" s="204"/>
    </row>
    <row r="74" spans="11:14" x14ac:dyDescent="0.3">
      <c r="K74" s="204"/>
      <c r="N74" s="204"/>
    </row>
    <row r="75" spans="11:14" x14ac:dyDescent="0.3">
      <c r="K75" s="204"/>
      <c r="N75" s="204"/>
    </row>
    <row r="76" spans="11:14" x14ac:dyDescent="0.3">
      <c r="K76" s="204"/>
      <c r="N76" s="204"/>
    </row>
    <row r="77" spans="11:14" x14ac:dyDescent="0.3">
      <c r="K77" s="204"/>
      <c r="N77" s="204"/>
    </row>
    <row r="78" spans="11:14" x14ac:dyDescent="0.3">
      <c r="K78" s="204"/>
      <c r="N78" s="204"/>
    </row>
    <row r="79" spans="11:14" x14ac:dyDescent="0.3">
      <c r="K79" s="204"/>
      <c r="N79" s="204"/>
    </row>
    <row r="80" spans="11:14" x14ac:dyDescent="0.3">
      <c r="K80" s="204"/>
      <c r="N80" s="204"/>
    </row>
    <row r="81" spans="11:14" x14ac:dyDescent="0.3">
      <c r="K81" s="204"/>
      <c r="N81" s="204"/>
    </row>
    <row r="82" spans="11:14" x14ac:dyDescent="0.3">
      <c r="K82" s="204"/>
      <c r="N82" s="204"/>
    </row>
    <row r="83" spans="11:14" x14ac:dyDescent="0.3">
      <c r="K83" s="204"/>
      <c r="N83" s="204"/>
    </row>
    <row r="84" spans="11:14" x14ac:dyDescent="0.3">
      <c r="K84" s="204"/>
      <c r="N84" s="204"/>
    </row>
    <row r="85" spans="11:14" x14ac:dyDescent="0.3">
      <c r="K85" s="204"/>
      <c r="N85" s="204"/>
    </row>
    <row r="86" spans="11:14" x14ac:dyDescent="0.3">
      <c r="K86" s="204"/>
      <c r="N86" s="204"/>
    </row>
    <row r="87" spans="11:14" x14ac:dyDescent="0.3">
      <c r="K87" s="204"/>
      <c r="N87" s="204"/>
    </row>
    <row r="88" spans="11:14" x14ac:dyDescent="0.3">
      <c r="K88" s="204"/>
      <c r="N88" s="204"/>
    </row>
    <row r="89" spans="11:14" x14ac:dyDescent="0.3">
      <c r="K89" s="205"/>
      <c r="N89" s="2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2019 CHaMP Snorkel UTMLatLong</vt:lpstr>
      <vt:lpstr>133s</vt:lpstr>
      <vt:lpstr>213</vt:lpstr>
      <vt:lpstr>323</vt:lpstr>
      <vt:lpstr>559</vt:lpstr>
      <vt:lpstr>713s</vt:lpstr>
      <vt:lpstr>777</vt:lpstr>
      <vt:lpstr>835</vt:lpstr>
      <vt:lpstr>901s</vt:lpstr>
      <vt:lpstr>1013</vt:lpstr>
      <vt:lpstr>1129s</vt:lpstr>
      <vt:lpstr>1503</vt:lpstr>
      <vt:lpstr>1709</vt:lpstr>
      <vt:lpstr>1971</vt:lpstr>
      <vt:lpstr>2159s</vt:lpstr>
      <vt:lpstr>2166</vt:lpstr>
      <vt:lpstr>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Mendez</dc:creator>
  <cp:lastModifiedBy>BPAYFR</cp:lastModifiedBy>
  <dcterms:created xsi:type="dcterms:W3CDTF">2018-11-28T19:23:12Z</dcterms:created>
  <dcterms:modified xsi:type="dcterms:W3CDTF">2020-04-29T22:27:43Z</dcterms:modified>
</cp:coreProperties>
</file>