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BPAYFR\Documents\2006-2020 YFRP\2013-2020 Snorkel\2020 YFRP Snorkel\"/>
    </mc:Choice>
  </mc:AlternateContent>
  <xr:revisionPtr revIDLastSave="0" documentId="13_ncr:1_{A875D75A-EA7B-463C-8805-9C1C87A6A210}" xr6:coauthVersionLast="36" xr6:coauthVersionMax="36" xr10:uidLastSave="{00000000-0000-0000-0000-000000000000}"/>
  <bookViews>
    <workbookView xWindow="0" yWindow="0" windowWidth="28800" windowHeight="12300" tabRatio="778" xr2:uid="{00000000-000D-0000-FFFF-FFFF00000000}"/>
  </bookViews>
  <sheets>
    <sheet name="2020 CHaMP Snorkel UTMLatLong" sheetId="23" r:id="rId1"/>
    <sheet name="595e" sheetId="24" r:id="rId2"/>
    <sheet name="777" sheetId="25" r:id="rId3"/>
    <sheet name="851" sheetId="26" r:id="rId4"/>
    <sheet name="1196e" sheetId="27" r:id="rId5"/>
    <sheet name="1709" sheetId="28" r:id="rId6"/>
    <sheet name="1971" sheetId="29" r:id="rId7"/>
    <sheet name="TEMPLATE" sheetId="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9" l="1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L24" i="29"/>
  <c r="N23" i="29"/>
  <c r="L23" i="29"/>
  <c r="N22" i="29"/>
  <c r="L22" i="29"/>
  <c r="N21" i="29"/>
  <c r="L21" i="29"/>
  <c r="N20" i="29"/>
  <c r="L20" i="29"/>
  <c r="N19" i="29"/>
  <c r="L19" i="29"/>
  <c r="N18" i="29"/>
  <c r="L18" i="29"/>
  <c r="N17" i="29"/>
  <c r="L17" i="29"/>
  <c r="N16" i="29"/>
  <c r="L16" i="29"/>
  <c r="N15" i="29"/>
  <c r="L15" i="29"/>
  <c r="N14" i="29"/>
  <c r="L14" i="29"/>
  <c r="N13" i="29"/>
  <c r="L13" i="29"/>
  <c r="N12" i="29"/>
  <c r="L12" i="29"/>
  <c r="N11" i="29"/>
  <c r="L11" i="29"/>
  <c r="N10" i="29"/>
  <c r="L10" i="29"/>
  <c r="N9" i="29"/>
  <c r="L9" i="29"/>
  <c r="N8" i="29"/>
  <c r="L8" i="29"/>
  <c r="N7" i="29"/>
  <c r="L7" i="29"/>
  <c r="N6" i="29"/>
  <c r="L6" i="29"/>
  <c r="N5" i="29"/>
  <c r="L5" i="29"/>
  <c r="N4" i="29"/>
  <c r="L4" i="29"/>
  <c r="N3" i="29"/>
  <c r="L3" i="29"/>
  <c r="L45" i="29" l="1"/>
  <c r="N45" i="29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L24" i="28"/>
  <c r="N23" i="28"/>
  <c r="L23" i="28"/>
  <c r="N22" i="28"/>
  <c r="L22" i="28"/>
  <c r="N21" i="28"/>
  <c r="L21" i="28"/>
  <c r="N20" i="28"/>
  <c r="L20" i="28"/>
  <c r="N19" i="28"/>
  <c r="L19" i="28"/>
  <c r="N18" i="28"/>
  <c r="L18" i="28"/>
  <c r="N17" i="28"/>
  <c r="L17" i="28"/>
  <c r="N16" i="28"/>
  <c r="L16" i="28"/>
  <c r="N15" i="28"/>
  <c r="L15" i="28"/>
  <c r="N14" i="28"/>
  <c r="L14" i="28"/>
  <c r="N13" i="28"/>
  <c r="L13" i="28"/>
  <c r="N12" i="28"/>
  <c r="L12" i="28"/>
  <c r="N11" i="28"/>
  <c r="L11" i="28"/>
  <c r="N10" i="28"/>
  <c r="L10" i="28"/>
  <c r="N9" i="28"/>
  <c r="L9" i="28"/>
  <c r="N8" i="28"/>
  <c r="L8" i="28"/>
  <c r="N7" i="28"/>
  <c r="L7" i="28"/>
  <c r="N6" i="28"/>
  <c r="L6" i="28"/>
  <c r="N5" i="28"/>
  <c r="L5" i="28"/>
  <c r="N4" i="28"/>
  <c r="L4" i="28"/>
  <c r="N3" i="28"/>
  <c r="L3" i="28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L26" i="27"/>
  <c r="N25" i="27"/>
  <c r="L25" i="27"/>
  <c r="N24" i="27"/>
  <c r="L24" i="27"/>
  <c r="N23" i="27"/>
  <c r="L23" i="27"/>
  <c r="N22" i="27"/>
  <c r="L22" i="27"/>
  <c r="N21" i="27"/>
  <c r="L21" i="27"/>
  <c r="N20" i="27"/>
  <c r="L20" i="27"/>
  <c r="N19" i="27"/>
  <c r="L19" i="27"/>
  <c r="N18" i="27"/>
  <c r="L18" i="27"/>
  <c r="N17" i="27"/>
  <c r="L17" i="27"/>
  <c r="N16" i="27"/>
  <c r="L16" i="27"/>
  <c r="N15" i="27"/>
  <c r="L15" i="27"/>
  <c r="N14" i="27"/>
  <c r="L14" i="27"/>
  <c r="N13" i="27"/>
  <c r="L13" i="27"/>
  <c r="N12" i="27"/>
  <c r="L12" i="27"/>
  <c r="N11" i="27"/>
  <c r="L11" i="27"/>
  <c r="N10" i="27"/>
  <c r="L10" i="27"/>
  <c r="N9" i="27"/>
  <c r="L9" i="27"/>
  <c r="N8" i="27"/>
  <c r="L8" i="27"/>
  <c r="N7" i="27"/>
  <c r="L7" i="27"/>
  <c r="N6" i="27"/>
  <c r="L6" i="27"/>
  <c r="N5" i="27"/>
  <c r="L5" i="27"/>
  <c r="N4" i="27"/>
  <c r="L4" i="27"/>
  <c r="N3" i="27"/>
  <c r="L3" i="27"/>
  <c r="N44" i="26"/>
  <c r="L44" i="26"/>
  <c r="N43" i="26"/>
  <c r="L43" i="26"/>
  <c r="N42" i="26"/>
  <c r="L42" i="26"/>
  <c r="N41" i="26"/>
  <c r="L41" i="26"/>
  <c r="N40" i="26"/>
  <c r="L40" i="26"/>
  <c r="N39" i="26"/>
  <c r="L39" i="26"/>
  <c r="N38" i="26"/>
  <c r="L38" i="26"/>
  <c r="N37" i="26"/>
  <c r="L37" i="26"/>
  <c r="N36" i="26"/>
  <c r="L36" i="26"/>
  <c r="N35" i="26"/>
  <c r="L35" i="26"/>
  <c r="N34" i="26"/>
  <c r="L34" i="26"/>
  <c r="N33" i="26"/>
  <c r="L33" i="26"/>
  <c r="N32" i="26"/>
  <c r="L32" i="26"/>
  <c r="N31" i="26"/>
  <c r="L31" i="26"/>
  <c r="N30" i="26"/>
  <c r="L30" i="26"/>
  <c r="N29" i="26"/>
  <c r="L29" i="26"/>
  <c r="N28" i="26"/>
  <c r="L28" i="26"/>
  <c r="N27" i="26"/>
  <c r="L27" i="26"/>
  <c r="N26" i="26"/>
  <c r="L26" i="26"/>
  <c r="N25" i="26"/>
  <c r="L25" i="26"/>
  <c r="N24" i="26"/>
  <c r="L24" i="26"/>
  <c r="N23" i="26"/>
  <c r="L23" i="26"/>
  <c r="N22" i="26"/>
  <c r="L22" i="26"/>
  <c r="N21" i="26"/>
  <c r="L21" i="26"/>
  <c r="N20" i="26"/>
  <c r="L20" i="26"/>
  <c r="N19" i="26"/>
  <c r="L19" i="26"/>
  <c r="N18" i="26"/>
  <c r="L18" i="26"/>
  <c r="N17" i="26"/>
  <c r="L17" i="26"/>
  <c r="N16" i="26"/>
  <c r="L16" i="26"/>
  <c r="N15" i="26"/>
  <c r="L15" i="26"/>
  <c r="N14" i="26"/>
  <c r="L14" i="26"/>
  <c r="N13" i="26"/>
  <c r="L13" i="26"/>
  <c r="N12" i="26"/>
  <c r="L12" i="26"/>
  <c r="N11" i="26"/>
  <c r="L11" i="26"/>
  <c r="N10" i="26"/>
  <c r="L10" i="26"/>
  <c r="N9" i="26"/>
  <c r="L9" i="26"/>
  <c r="N8" i="26"/>
  <c r="L8" i="26"/>
  <c r="N7" i="26"/>
  <c r="L7" i="26"/>
  <c r="N6" i="26"/>
  <c r="L6" i="26"/>
  <c r="N5" i="26"/>
  <c r="L5" i="26"/>
  <c r="N4" i="26"/>
  <c r="L4" i="26"/>
  <c r="N3" i="26"/>
  <c r="L3" i="26"/>
  <c r="L45" i="28" l="1"/>
  <c r="N45" i="28"/>
  <c r="L45" i="27"/>
  <c r="N45" i="27"/>
  <c r="N45" i="26"/>
  <c r="L45" i="26"/>
  <c r="N44" i="25"/>
  <c r="L44" i="25"/>
  <c r="N43" i="25"/>
  <c r="L43" i="25"/>
  <c r="N42" i="25"/>
  <c r="L42" i="25"/>
  <c r="N41" i="25"/>
  <c r="L41" i="25"/>
  <c r="N40" i="25"/>
  <c r="L40" i="25"/>
  <c r="N39" i="25"/>
  <c r="L39" i="25"/>
  <c r="N38" i="25"/>
  <c r="L38" i="25"/>
  <c r="N37" i="25"/>
  <c r="L37" i="25"/>
  <c r="N36" i="25"/>
  <c r="L36" i="25"/>
  <c r="N35" i="25"/>
  <c r="L35" i="25"/>
  <c r="N34" i="25"/>
  <c r="L34" i="25"/>
  <c r="N33" i="25"/>
  <c r="L33" i="25"/>
  <c r="N32" i="25"/>
  <c r="L32" i="25"/>
  <c r="N31" i="25"/>
  <c r="L31" i="25"/>
  <c r="N30" i="25"/>
  <c r="L30" i="25"/>
  <c r="N29" i="25"/>
  <c r="L29" i="25"/>
  <c r="N28" i="25"/>
  <c r="L28" i="25"/>
  <c r="N27" i="25"/>
  <c r="L27" i="25"/>
  <c r="N26" i="25"/>
  <c r="L26" i="25"/>
  <c r="N25" i="25"/>
  <c r="L25" i="25"/>
  <c r="N24" i="25"/>
  <c r="L24" i="25"/>
  <c r="N23" i="25"/>
  <c r="L23" i="25"/>
  <c r="N22" i="25"/>
  <c r="L22" i="25"/>
  <c r="N21" i="25"/>
  <c r="L21" i="25"/>
  <c r="N20" i="25"/>
  <c r="L20" i="25"/>
  <c r="N19" i="25"/>
  <c r="L19" i="25"/>
  <c r="N18" i="25"/>
  <c r="L18" i="25"/>
  <c r="N17" i="25"/>
  <c r="L17" i="25"/>
  <c r="N16" i="25"/>
  <c r="L16" i="25"/>
  <c r="N15" i="25"/>
  <c r="L15" i="25"/>
  <c r="N14" i="25"/>
  <c r="L14" i="25"/>
  <c r="N13" i="25"/>
  <c r="L13" i="25"/>
  <c r="N12" i="25"/>
  <c r="L12" i="25"/>
  <c r="N11" i="25"/>
  <c r="L11" i="25"/>
  <c r="N10" i="25"/>
  <c r="L10" i="25"/>
  <c r="N9" i="25"/>
  <c r="L9" i="25"/>
  <c r="N8" i="25"/>
  <c r="L8" i="25"/>
  <c r="N7" i="25"/>
  <c r="L7" i="25"/>
  <c r="N6" i="25"/>
  <c r="L6" i="25"/>
  <c r="N5" i="25"/>
  <c r="L5" i="25"/>
  <c r="N4" i="25"/>
  <c r="L4" i="25"/>
  <c r="N3" i="25"/>
  <c r="L3" i="25"/>
  <c r="L45" i="25" s="1"/>
  <c r="N44" i="24"/>
  <c r="L44" i="24"/>
  <c r="N43" i="24"/>
  <c r="L43" i="24"/>
  <c r="N42" i="24"/>
  <c r="L42" i="24"/>
  <c r="N41" i="24"/>
  <c r="L41" i="24"/>
  <c r="N40" i="24"/>
  <c r="L40" i="24"/>
  <c r="N39" i="24"/>
  <c r="L39" i="24"/>
  <c r="N38" i="24"/>
  <c r="L38" i="24"/>
  <c r="N37" i="24"/>
  <c r="L37" i="24"/>
  <c r="N36" i="24"/>
  <c r="L36" i="24"/>
  <c r="N35" i="24"/>
  <c r="L35" i="24"/>
  <c r="N34" i="24"/>
  <c r="L34" i="24"/>
  <c r="N33" i="24"/>
  <c r="L33" i="24"/>
  <c r="N32" i="24"/>
  <c r="L32" i="24"/>
  <c r="N31" i="24"/>
  <c r="L31" i="24"/>
  <c r="N30" i="24"/>
  <c r="L30" i="24"/>
  <c r="N29" i="24"/>
  <c r="L29" i="24"/>
  <c r="N28" i="24"/>
  <c r="L28" i="24"/>
  <c r="N27" i="24"/>
  <c r="L27" i="24"/>
  <c r="N26" i="24"/>
  <c r="L26" i="24"/>
  <c r="N25" i="24"/>
  <c r="L25" i="24"/>
  <c r="N24" i="24"/>
  <c r="L24" i="24"/>
  <c r="N23" i="24"/>
  <c r="L23" i="24"/>
  <c r="N22" i="24"/>
  <c r="L22" i="24"/>
  <c r="N21" i="24"/>
  <c r="L21" i="24"/>
  <c r="N20" i="24"/>
  <c r="L20" i="24"/>
  <c r="N19" i="24"/>
  <c r="L19" i="24"/>
  <c r="N18" i="24"/>
  <c r="L18" i="24"/>
  <c r="N17" i="24"/>
  <c r="L17" i="24"/>
  <c r="N16" i="24"/>
  <c r="L16" i="24"/>
  <c r="N15" i="24"/>
  <c r="L15" i="24"/>
  <c r="N14" i="24"/>
  <c r="L14" i="24"/>
  <c r="N13" i="24"/>
  <c r="L13" i="24"/>
  <c r="N12" i="24"/>
  <c r="L12" i="24"/>
  <c r="N11" i="24"/>
  <c r="L11" i="24"/>
  <c r="N10" i="24"/>
  <c r="L10" i="24"/>
  <c r="N9" i="24"/>
  <c r="L9" i="24"/>
  <c r="N8" i="24"/>
  <c r="L8" i="24"/>
  <c r="N7" i="24"/>
  <c r="L7" i="24"/>
  <c r="N6" i="24"/>
  <c r="L6" i="24"/>
  <c r="N5" i="24"/>
  <c r="L5" i="24"/>
  <c r="N4" i="24"/>
  <c r="L4" i="24"/>
  <c r="N3" i="24"/>
  <c r="L3" i="24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  <c r="N3" i="1"/>
  <c r="N45" i="1" s="1"/>
  <c r="L3" i="1"/>
  <c r="L45" i="1" s="1"/>
  <c r="N45" i="25" l="1"/>
  <c r="L45" i="24"/>
  <c r="N45" i="24"/>
</calcChain>
</file>

<file path=xl/sharedStrings.xml><?xml version="1.0" encoding="utf-8"?>
<sst xmlns="http://schemas.openxmlformats.org/spreadsheetml/2006/main" count="2159" uniqueCount="222">
  <si>
    <t>Survey Type:</t>
  </si>
  <si>
    <t>Species:</t>
  </si>
  <si>
    <t>Habitat:</t>
  </si>
  <si>
    <t>Structure:</t>
  </si>
  <si>
    <t>Site:</t>
  </si>
  <si>
    <t>Chinook</t>
  </si>
  <si>
    <t>CH</t>
  </si>
  <si>
    <t>Fast</t>
  </si>
  <si>
    <t>F</t>
  </si>
  <si>
    <t>Natural wood</t>
  </si>
  <si>
    <t>NW</t>
  </si>
  <si>
    <t>Date:</t>
  </si>
  <si>
    <t>Rainbow</t>
  </si>
  <si>
    <t>RT</t>
  </si>
  <si>
    <t>Slow</t>
  </si>
  <si>
    <t>S</t>
  </si>
  <si>
    <t>PW</t>
  </si>
  <si>
    <t>Bull Trout</t>
  </si>
  <si>
    <t>BT</t>
  </si>
  <si>
    <t>Non Turbulent</t>
  </si>
  <si>
    <t>NT</t>
  </si>
  <si>
    <t>Natural boulder</t>
  </si>
  <si>
    <t>NB</t>
  </si>
  <si>
    <t>Visibility:</t>
  </si>
  <si>
    <t>Cutthroat</t>
  </si>
  <si>
    <t>CT</t>
  </si>
  <si>
    <t>Visit:</t>
  </si>
  <si>
    <t>SC</t>
  </si>
  <si>
    <t>Notes:</t>
  </si>
  <si>
    <t>Sculpin</t>
  </si>
  <si>
    <t>Rapid</t>
  </si>
  <si>
    <t>RAP</t>
  </si>
  <si>
    <t>Sucker</t>
  </si>
  <si>
    <t>SU</t>
  </si>
  <si>
    <t>Scour Pool</t>
  </si>
  <si>
    <t>SP</t>
  </si>
  <si>
    <t>Weather:</t>
  </si>
  <si>
    <t>Unknown</t>
  </si>
  <si>
    <t>UNK</t>
  </si>
  <si>
    <t>Riffle</t>
  </si>
  <si>
    <t>E</t>
  </si>
  <si>
    <t>Number</t>
  </si>
  <si>
    <t>Species</t>
  </si>
  <si>
    <t>Size</t>
  </si>
  <si>
    <t>Snorkeler</t>
  </si>
  <si>
    <t>Lane</t>
  </si>
  <si>
    <t>Unit</t>
  </si>
  <si>
    <t>Habitat</t>
  </si>
  <si>
    <t>Structure</t>
  </si>
  <si>
    <t>Time</t>
  </si>
  <si>
    <t xml:space="preserve">Comments </t>
  </si>
  <si>
    <r>
      <rPr>
        <sz val="8"/>
        <color theme="1"/>
        <rFont val="Calibri"/>
        <family val="2"/>
        <scheme val="minor"/>
      </rPr>
      <t xml:space="preserve">depth &lt; 0.61m. </t>
    </r>
    <r>
      <rPr>
        <sz val="11"/>
        <color theme="1"/>
        <rFont val="Calibri"/>
        <family val="2"/>
        <scheme val="minor"/>
      </rPr>
      <t xml:space="preserve">  </t>
    </r>
  </si>
  <si>
    <t xml:space="preserve">Recorder: </t>
  </si>
  <si>
    <t>NoF</t>
  </si>
  <si>
    <t>CoF</t>
  </si>
  <si>
    <r>
      <t xml:space="preserve">Natural off-channel 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</si>
  <si>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Created off-channel  </t>
    </r>
    <r>
      <rPr>
        <b/>
        <sz val="10"/>
        <color theme="1"/>
        <rFont val="Calibri"/>
        <family val="2"/>
        <scheme val="minor"/>
      </rPr>
      <t xml:space="preserve"> </t>
    </r>
  </si>
  <si>
    <t>Time:</t>
  </si>
  <si>
    <t>RIF</t>
  </si>
  <si>
    <t>OCP</t>
  </si>
  <si>
    <t>EG</t>
  </si>
  <si>
    <t>Snorkelers</t>
  </si>
  <si>
    <t>LANES</t>
  </si>
  <si>
    <t>BP</t>
  </si>
  <si>
    <t>Mtn whitefish</t>
  </si>
  <si>
    <t>MWF</t>
  </si>
  <si>
    <t>of:</t>
  </si>
  <si>
    <t>Off-Channel Pool</t>
  </si>
  <si>
    <t>Placed wood</t>
  </si>
  <si>
    <r>
      <t>H</t>
    </r>
    <r>
      <rPr>
        <sz val="10"/>
        <color theme="1"/>
        <rFont val="Calibri"/>
        <family val="2"/>
      </rPr>
      <t>₂O temp:</t>
    </r>
  </si>
  <si>
    <t>Beaver Pool</t>
  </si>
  <si>
    <t>PAGE: 1</t>
  </si>
  <si>
    <t>KB</t>
  </si>
  <si>
    <t>AM</t>
  </si>
  <si>
    <t>RR</t>
  </si>
  <si>
    <t>AC</t>
  </si>
  <si>
    <t>NFO</t>
  </si>
  <si>
    <t>RL</t>
  </si>
  <si>
    <t>LB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</si>
  <si>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</si>
  <si>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</si>
  <si>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</si>
  <si>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</si>
  <si>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</si>
  <si>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</si>
  <si>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</si>
  <si>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</si>
  <si>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</si>
  <si>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</si>
  <si>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</si>
  <si>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</si>
  <si>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</si>
  <si>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</si>
  <si>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</si>
  <si>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</si>
  <si>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</si>
  <si>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</si>
  <si>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</si>
  <si>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</si>
  <si>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</si>
  <si>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</si>
  <si>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</si>
  <si>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</si>
  <si>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</si>
  <si>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</si>
  <si>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</si>
  <si>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</si>
  <si>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</si>
  <si>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</si>
  <si>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</si>
  <si>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</si>
  <si>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</si>
  <si>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</si>
  <si>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</si>
  <si>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</si>
  <si>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</si>
  <si>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</si>
  <si>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</si>
  <si>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</si>
  <si>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</si>
  <si>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SiteTotal</t>
  </si>
  <si>
    <t>Totals……………………………………………………</t>
  </si>
  <si>
    <t>Site</t>
  </si>
  <si>
    <t>Site #</t>
  </si>
  <si>
    <t>Stream and Location</t>
  </si>
  <si>
    <t>Category</t>
  </si>
  <si>
    <t>Panel</t>
  </si>
  <si>
    <t>N</t>
  </si>
  <si>
    <t>Latitude</t>
  </si>
  <si>
    <t>Longitude</t>
  </si>
  <si>
    <t>Annual</t>
  </si>
  <si>
    <t>Mainstem Control</t>
  </si>
  <si>
    <t>Floodplain Enhancement-Treatment</t>
  </si>
  <si>
    <t>YFI00001-000777</t>
  </si>
  <si>
    <t>Yankee Fork lower Preachers Cove reach</t>
  </si>
  <si>
    <t>Step Panel 2013,2014,2016,2017,2018,2021</t>
  </si>
  <si>
    <t>Step Panel 2013,2014,2017,2020</t>
  </si>
  <si>
    <t>YFI00001-001709</t>
  </si>
  <si>
    <t>1709 side channel 1</t>
  </si>
  <si>
    <t>YFI00001-001971</t>
  </si>
  <si>
    <t>Yankee Fork new channel above West Fork</t>
  </si>
  <si>
    <t>Reconnection-Treatment</t>
  </si>
  <si>
    <t>Step Panel 2016,2017,2020</t>
  </si>
  <si>
    <t>UTM 11T WGS84/NAD83</t>
  </si>
  <si>
    <t>YFI00001-000595</t>
  </si>
  <si>
    <t>YFI00001-000851</t>
  </si>
  <si>
    <t>Yankee Fork below Jordan Creek</t>
  </si>
  <si>
    <t>YFT00001-001196</t>
  </si>
  <si>
    <t>595e</t>
  </si>
  <si>
    <t>1196e</t>
  </si>
  <si>
    <t>595 extended</t>
  </si>
  <si>
    <t>1196 extended</t>
  </si>
  <si>
    <r>
      <t xml:space="preserve">Floodplain Enhancement-Control </t>
    </r>
    <r>
      <rPr>
        <sz val="11"/>
        <color theme="1"/>
        <rFont val="Calibri"/>
        <family val="2"/>
      </rPr>
      <t>→ Treatment</t>
    </r>
  </si>
  <si>
    <r>
      <t xml:space="preserve">Yankee Fork above West Fork </t>
    </r>
    <r>
      <rPr>
        <sz val="11"/>
        <color theme="1"/>
        <rFont val="Calibri"/>
        <family val="2"/>
      </rPr>
      <t>→ Side Channel 1</t>
    </r>
  </si>
  <si>
    <r>
      <t xml:space="preserve">Reconnection-Control </t>
    </r>
    <r>
      <rPr>
        <sz val="11"/>
        <color theme="1"/>
        <rFont val="Calibri"/>
        <family val="2"/>
      </rPr>
      <t>→ Treatment</t>
    </r>
  </si>
  <si>
    <t>Yankee Fork Sluters Pitt/at Bonanza extended</t>
  </si>
  <si>
    <t>Yankee Fork at bridge below Bonanza extended</t>
  </si>
  <si>
    <t xml:space="preserve">2020 Snorkel Survey Form </t>
  </si>
  <si>
    <t>Dry</t>
  </si>
  <si>
    <t>GE</t>
  </si>
  <si>
    <t>adult</t>
  </si>
  <si>
    <t>SLH</t>
  </si>
  <si>
    <t>Pool</t>
  </si>
  <si>
    <t>water</t>
  </si>
  <si>
    <t>of:  1</t>
  </si>
  <si>
    <r>
      <t>~12</t>
    </r>
    <r>
      <rPr>
        <sz val="11"/>
        <color theme="1"/>
        <rFont val="Calibri"/>
        <family val="2"/>
      </rPr>
      <t>°C</t>
    </r>
  </si>
  <si>
    <t>mid</t>
  </si>
  <si>
    <t>Clear, Sunny</t>
  </si>
  <si>
    <t>partly cloudy</t>
  </si>
  <si>
    <t>Recorder:</t>
  </si>
  <si>
    <t>A. Mendez</t>
  </si>
  <si>
    <t>NFO-Dry</t>
  </si>
  <si>
    <t>SCH</t>
  </si>
  <si>
    <t>A. Colter</t>
  </si>
  <si>
    <t>E. Galloway</t>
  </si>
  <si>
    <t>K. Bacon</t>
  </si>
  <si>
    <r>
      <t>12</t>
    </r>
    <r>
      <rPr>
        <sz val="11"/>
        <color theme="1"/>
        <rFont val="Calibri"/>
        <family val="2"/>
      </rPr>
      <t>°C</t>
    </r>
  </si>
  <si>
    <t>read</t>
  </si>
  <si>
    <t>Mid</t>
  </si>
  <si>
    <t>L</t>
  </si>
  <si>
    <t>Left</t>
  </si>
  <si>
    <t>BD</t>
  </si>
  <si>
    <t>Veg</t>
  </si>
  <si>
    <t>WD</t>
  </si>
  <si>
    <t>open</t>
  </si>
  <si>
    <t>BDam</t>
  </si>
  <si>
    <t>Beaver hut</t>
  </si>
  <si>
    <t>LB-Left Bank</t>
  </si>
  <si>
    <r>
      <t>13</t>
    </r>
    <r>
      <rPr>
        <sz val="11"/>
        <color theme="1"/>
        <rFont val="Calibri"/>
        <family val="2"/>
      </rPr>
      <t>°C</t>
    </r>
  </si>
  <si>
    <t>of:  4</t>
  </si>
  <si>
    <t>R</t>
  </si>
  <si>
    <t>M</t>
  </si>
  <si>
    <t>veg</t>
  </si>
  <si>
    <t>Bank</t>
  </si>
  <si>
    <t>channel</t>
  </si>
  <si>
    <t>?</t>
  </si>
  <si>
    <t>BP cover</t>
  </si>
  <si>
    <t>Placed boulder</t>
  </si>
  <si>
    <t>PB</t>
  </si>
  <si>
    <t>Edge:&gt; 25m BFW, vel &lt; 0.15 m/s,</t>
  </si>
  <si>
    <t>Nk/SIDE CH U9</t>
  </si>
  <si>
    <t>L wood</t>
  </si>
  <si>
    <t>RM</t>
  </si>
  <si>
    <t>ML</t>
  </si>
  <si>
    <t>Uk wood</t>
  </si>
  <si>
    <t>? Wood</t>
  </si>
  <si>
    <t>UND wood</t>
  </si>
  <si>
    <t>9/9-10/2020</t>
  </si>
  <si>
    <r>
      <t>11.5</t>
    </r>
    <r>
      <rPr>
        <sz val="11"/>
        <color theme="1"/>
        <rFont val="Calibri"/>
        <family val="2"/>
      </rPr>
      <t>°C - 13.5°C</t>
    </r>
  </si>
  <si>
    <t>16:00 - 14:35</t>
  </si>
  <si>
    <t>Clear, Sunny,</t>
  </si>
  <si>
    <t>SC3</t>
  </si>
  <si>
    <t>Right</t>
  </si>
  <si>
    <t>of:  2</t>
  </si>
  <si>
    <t>S - SC</t>
  </si>
  <si>
    <t>LWD</t>
  </si>
  <si>
    <t>cover LWD</t>
  </si>
  <si>
    <t>9/10/2020; NFO</t>
  </si>
  <si>
    <t>Breezy;</t>
  </si>
  <si>
    <t>Warm</t>
  </si>
  <si>
    <t>Side Channel U3 done on 9/9/2020; rest of 1971 done on 10/10/2020</t>
  </si>
  <si>
    <t>2020 Yankee Fork Restoration Project Columbia Habitat Monitoring Program (CHaMP) Shoshone Bannock Tribes Snorkel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</si>
</sst>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3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 applyAlignment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3" fillId="0" borderId="7" xfId="0" applyFont="1" applyBorder="1"/>
    <xf numFmtId="0" fontId="4" fillId="0" borderId="0" xfId="0" applyFont="1"/>
    <xf numFmtId="0" fontId="5" fillId="0" borderId="8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4" fillId="0" borderId="0" xfId="0" applyFont="1" applyFill="1" applyBorder="1"/>
    <xf numFmtId="0" fontId="0" fillId="0" borderId="13" xfId="0" applyBorder="1" applyAlignment="1">
      <alignment horizontal="center" vertical="center"/>
    </xf>
    <xf numFmtId="0" fontId="4" fillId="0" borderId="6" xfId="0" applyFont="1" applyBorder="1"/>
    <xf numFmtId="0" fontId="0" fillId="0" borderId="0" xfId="0" applyBorder="1"/>
    <xf numFmtId="0" fontId="3" fillId="0" borderId="7" xfId="0" applyFont="1" applyFill="1" applyBorder="1"/>
    <xf numFmtId="0" fontId="6" fillId="0" borderId="0" xfId="0" applyFont="1"/>
    <xf numFmtId="0" fontId="3" fillId="0" borderId="0" xfId="0" applyFont="1"/>
    <xf numFmtId="0" fontId="1" fillId="0" borderId="8" xfId="0" applyFont="1" applyBorder="1" applyAlignment="1">
      <alignment horizontal="center" vertical="center"/>
    </xf>
    <xf numFmtId="0" fontId="0" fillId="0" borderId="6" xfId="0" applyBorder="1"/>
    <xf numFmtId="0" fontId="0" fillId="0" borderId="15" xfId="0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17" xfId="0" applyBorder="1"/>
    <xf numFmtId="0" fontId="0" fillId="0" borderId="24" xfId="0" applyBorder="1"/>
    <xf numFmtId="0" fontId="1" fillId="0" borderId="1" xfId="0" applyFont="1" applyBorder="1"/>
    <xf numFmtId="0" fontId="1" fillId="0" borderId="25" xfId="0" applyFont="1" applyBorder="1"/>
    <xf numFmtId="0" fontId="0" fillId="0" borderId="23" xfId="0" applyBorder="1" applyAlignment="1">
      <alignment horizontal="center"/>
    </xf>
    <xf numFmtId="0" fontId="1" fillId="0" borderId="14" xfId="0" applyFont="1" applyBorder="1"/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20" fontId="0" fillId="0" borderId="18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/>
    <xf numFmtId="0" fontId="0" fillId="0" borderId="20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0" xfId="0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1" fillId="0" borderId="1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1" fontId="1" fillId="0" borderId="20" xfId="0" applyNumberFormat="1" applyFont="1" applyFill="1" applyBorder="1" applyAlignment="1">
      <alignment horizontal="center" wrapText="1"/>
    </xf>
    <xf numFmtId="164" fontId="1" fillId="0" borderId="20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left"/>
    </xf>
    <xf numFmtId="1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vertical="center"/>
    </xf>
    <xf numFmtId="14" fontId="0" fillId="2" borderId="9" xfId="0" applyNumberFormat="1" applyFill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20" fontId="0" fillId="2" borderId="9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2" borderId="9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0" fontId="5" fillId="0" borderId="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20" fontId="0" fillId="0" borderId="0" xfId="0" applyNumberFormat="1"/>
    <xf numFmtId="20" fontId="0" fillId="0" borderId="2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9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21" xfId="0" applyNumberFormat="1" applyBorder="1" applyAlignment="1">
      <alignment horizontal="left" vertical="center"/>
    </xf>
    <xf numFmtId="0" fontId="0" fillId="0" borderId="5" xfId="0" applyBorder="1" applyAlignment="1">
      <alignment horizontal="center"/>
    </xf>
  </cellXfs>
  <cellStyles count="3">
    <cellStyle name="Normal" xfId="0" builtinId="0"/>
    <cellStyle name="Normal 10" xfId="2" xr:uid="{8A35C540-F483-4309-8C36-42C6E72FF2E8}"/>
    <cellStyle name="Normal 8" xfId="1" xr:uid="{8B35CA48-E22B-4B4B-B469-A87F6939EDC3}"/>
  </cellStyles>
  <dxfs count="0"/>
  <tableStyles count="0" defaultTableStyle="TableStyleMedium2" defaultPivotStyle="PivotStyleLight16"/>
  <colors>
    <mruColors>
      <color rgb="FFFF00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8AB2-8CAA-4D22-B519-ABADD6199CB1}">
  <dimension ref="A1:I9"/>
  <sheetViews>
    <sheetView tabSelected="1" workbookViewId="0">
      <pane xSplit="2" topLeftCell="C1" activePane="topRight" state="frozen"/>
      <selection pane="topRight" activeCell="B10" sqref="B10"/>
    </sheetView>
  </sheetViews>
  <sheetFormatPr defaultColWidth="9" defaultRowHeight="14.4" x14ac:dyDescent="0.3"/>
  <cols>
    <col min="1" max="1" width="16.33203125" style="86" customWidth="1"/>
    <col min="2" max="2" width="17.5546875" style="78" customWidth="1"/>
    <col min="3" max="3" width="39.6640625" style="86" customWidth="1"/>
    <col min="4" max="4" width="40.6640625" style="86" customWidth="1"/>
    <col min="5" max="5" width="36.44140625" style="86" customWidth="1"/>
    <col min="6" max="6" width="8.5546875" style="89" customWidth="1"/>
    <col min="7" max="7" width="10.44140625" style="89" customWidth="1"/>
    <col min="8" max="8" width="8.5546875" style="90" customWidth="1"/>
    <col min="9" max="9" width="10.44140625" style="90" customWidth="1"/>
    <col min="10" max="16384" width="9" style="87"/>
  </cols>
  <sheetData>
    <row r="1" spans="1:9" s="78" customFormat="1" x14ac:dyDescent="0.3">
      <c r="A1" s="73" t="s">
        <v>221</v>
      </c>
      <c r="B1" s="74"/>
      <c r="C1" s="73"/>
      <c r="D1" s="73"/>
      <c r="E1" s="73"/>
      <c r="F1" s="75" t="s">
        <v>143</v>
      </c>
      <c r="G1" s="76"/>
      <c r="H1" s="77"/>
      <c r="I1" s="77"/>
    </row>
    <row r="2" spans="1:9" s="78" customFormat="1" x14ac:dyDescent="0.3">
      <c r="A2" s="79" t="s">
        <v>122</v>
      </c>
      <c r="B2" s="80" t="s">
        <v>123</v>
      </c>
      <c r="C2" s="81" t="s">
        <v>124</v>
      </c>
      <c r="D2" s="81" t="s">
        <v>125</v>
      </c>
      <c r="E2" s="81" t="s">
        <v>126</v>
      </c>
      <c r="F2" s="82" t="s">
        <v>40</v>
      </c>
      <c r="G2" s="82" t="s">
        <v>127</v>
      </c>
      <c r="H2" s="83" t="s">
        <v>128</v>
      </c>
      <c r="I2" s="83" t="s">
        <v>129</v>
      </c>
    </row>
    <row r="3" spans="1:9" x14ac:dyDescent="0.3">
      <c r="A3" s="84" t="s">
        <v>144</v>
      </c>
      <c r="B3" s="80" t="s">
        <v>150</v>
      </c>
      <c r="C3" s="84" t="s">
        <v>155</v>
      </c>
      <c r="D3" s="84" t="s">
        <v>132</v>
      </c>
      <c r="E3" s="84" t="s">
        <v>130</v>
      </c>
      <c r="F3" s="85">
        <v>681222</v>
      </c>
      <c r="G3" s="85">
        <v>4915802</v>
      </c>
      <c r="H3" s="88">
        <v>44.37285</v>
      </c>
      <c r="I3" s="88">
        <v>-114.72537</v>
      </c>
    </row>
    <row r="4" spans="1:9" x14ac:dyDescent="0.3">
      <c r="A4" s="84" t="s">
        <v>133</v>
      </c>
      <c r="B4" s="80">
        <v>777</v>
      </c>
      <c r="C4" s="84" t="s">
        <v>134</v>
      </c>
      <c r="D4" s="84" t="s">
        <v>131</v>
      </c>
      <c r="E4" s="84" t="s">
        <v>130</v>
      </c>
      <c r="F4" s="85">
        <v>681035</v>
      </c>
      <c r="G4" s="85">
        <v>4914153</v>
      </c>
      <c r="H4" s="88">
        <v>44.358061303136999</v>
      </c>
      <c r="I4" s="88">
        <v>-114.728284441922</v>
      </c>
    </row>
    <row r="5" spans="1:9" x14ac:dyDescent="0.3">
      <c r="A5" s="84" t="s">
        <v>145</v>
      </c>
      <c r="B5" s="80">
        <v>851</v>
      </c>
      <c r="C5" s="84" t="s">
        <v>146</v>
      </c>
      <c r="D5" s="84" t="s">
        <v>132</v>
      </c>
      <c r="E5" s="84" t="s">
        <v>135</v>
      </c>
      <c r="F5" s="85">
        <v>681533</v>
      </c>
      <c r="G5" s="85">
        <v>4916330</v>
      </c>
      <c r="H5" s="88">
        <v>44.3775207360503</v>
      </c>
      <c r="I5" s="88">
        <v>-114.72128066537201</v>
      </c>
    </row>
    <row r="6" spans="1:9" x14ac:dyDescent="0.3">
      <c r="A6" s="84" t="s">
        <v>147</v>
      </c>
      <c r="B6" s="80" t="s">
        <v>151</v>
      </c>
      <c r="C6" s="84" t="s">
        <v>156</v>
      </c>
      <c r="D6" s="84" t="s">
        <v>152</v>
      </c>
      <c r="E6" s="84" t="s">
        <v>136</v>
      </c>
      <c r="F6" s="85">
        <v>681263</v>
      </c>
      <c r="G6" s="85">
        <v>4915233</v>
      </c>
      <c r="H6" s="88">
        <v>44.367719999999998</v>
      </c>
      <c r="I6" s="88">
        <v>-114.72505</v>
      </c>
    </row>
    <row r="7" spans="1:9" x14ac:dyDescent="0.3">
      <c r="A7" s="84" t="s">
        <v>137</v>
      </c>
      <c r="B7" s="80" t="s">
        <v>138</v>
      </c>
      <c r="C7" s="84" t="s">
        <v>153</v>
      </c>
      <c r="D7" s="84" t="s">
        <v>154</v>
      </c>
      <c r="E7" s="84" t="s">
        <v>130</v>
      </c>
      <c r="F7" s="85">
        <v>681075</v>
      </c>
      <c r="G7" s="85">
        <v>4913448</v>
      </c>
      <c r="H7" s="88">
        <v>44.3517092423252</v>
      </c>
      <c r="I7" s="88">
        <v>-114.728028077293</v>
      </c>
    </row>
    <row r="8" spans="1:9" x14ac:dyDescent="0.3">
      <c r="A8" s="84" t="s">
        <v>139</v>
      </c>
      <c r="B8" s="80">
        <v>1971</v>
      </c>
      <c r="C8" s="84" t="s">
        <v>140</v>
      </c>
      <c r="D8" s="84" t="s">
        <v>141</v>
      </c>
      <c r="E8" s="84" t="s">
        <v>142</v>
      </c>
      <c r="F8" s="85">
        <v>680861</v>
      </c>
      <c r="G8" s="85">
        <v>4913727</v>
      </c>
      <c r="H8" s="88">
        <v>44.354272453383501</v>
      </c>
      <c r="I8" s="88">
        <v>-114.730614163998</v>
      </c>
    </row>
    <row r="9" spans="1:9" x14ac:dyDescent="0.3">
      <c r="B9" s="9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45B8-D2BF-4217-BDF5-0E6BD9443FDF}">
  <dimension ref="A1:T89"/>
  <sheetViews>
    <sheetView zoomScaleNormal="100" workbookViewId="0">
      <selection activeCell="G3" sqref="G3:H11"/>
    </sheetView>
  </sheetViews>
  <sheetFormatPr defaultRowHeight="14.4" x14ac:dyDescent="0.3"/>
  <cols>
    <col min="2" max="2" width="9.5546875" bestFit="1" customWidth="1"/>
    <col min="3" max="3" width="11.6640625" customWidth="1"/>
    <col min="7" max="7" width="16" customWidth="1"/>
    <col min="9" max="9" width="10.6640625" customWidth="1"/>
    <col min="10" max="10" width="10.88671875" customWidth="1"/>
    <col min="11" max="11" width="8.109375" customWidth="1"/>
    <col min="12" max="12" width="8.6640625" customWidth="1"/>
    <col min="13" max="15" width="8.44140625" customWidth="1"/>
  </cols>
  <sheetData>
    <row r="1" spans="1:20" ht="15.6" thickTop="1" thickBot="1" x14ac:dyDescent="0.35">
      <c r="A1" s="1"/>
      <c r="B1" s="2"/>
      <c r="C1" s="2"/>
      <c r="D1" s="3" t="s">
        <v>157</v>
      </c>
      <c r="E1" s="2"/>
      <c r="F1" s="2"/>
      <c r="G1" s="2"/>
      <c r="H1" s="4"/>
      <c r="I1" s="50" t="s">
        <v>71</v>
      </c>
      <c r="J1" s="68" t="s">
        <v>164</v>
      </c>
      <c r="K1" s="72" t="s">
        <v>121</v>
      </c>
      <c r="L1" s="45"/>
      <c r="M1" s="46"/>
      <c r="N1" s="46"/>
    </row>
    <row r="2" spans="1:20" ht="15.6" thickTop="1" thickBot="1" x14ac:dyDescent="0.35">
      <c r="A2" s="50" t="s">
        <v>169</v>
      </c>
      <c r="B2" s="2" t="s">
        <v>170</v>
      </c>
      <c r="C2" s="2"/>
      <c r="D2" s="3"/>
      <c r="E2" s="2"/>
      <c r="F2" s="2"/>
      <c r="G2" s="6"/>
      <c r="H2" s="43"/>
      <c r="I2" s="50" t="s">
        <v>61</v>
      </c>
      <c r="J2" s="5" t="s">
        <v>62</v>
      </c>
      <c r="K2" s="45" t="s">
        <v>46</v>
      </c>
      <c r="L2" s="45" t="s">
        <v>41</v>
      </c>
      <c r="M2" s="45" t="s">
        <v>42</v>
      </c>
      <c r="N2" s="45" t="s">
        <v>46</v>
      </c>
      <c r="O2" s="45" t="s">
        <v>42</v>
      </c>
    </row>
    <row r="3" spans="1:20" ht="15.6" thickTop="1" thickBot="1" x14ac:dyDescent="0.35">
      <c r="A3" s="51" t="s">
        <v>4</v>
      </c>
      <c r="B3" s="45" t="s">
        <v>148</v>
      </c>
      <c r="C3" s="7" t="s">
        <v>1</v>
      </c>
      <c r="D3" s="8"/>
      <c r="E3" s="7" t="s">
        <v>2</v>
      </c>
      <c r="F3" s="9"/>
      <c r="G3" s="10" t="s">
        <v>3</v>
      </c>
      <c r="H3" s="8"/>
      <c r="I3" s="46"/>
      <c r="J3" s="9"/>
      <c r="K3" s="70" t="s">
        <v>79</v>
      </c>
      <c r="L3" s="70">
        <f>SUMIFS($A$11:$A$401,$B$11:$B$401,"CH",$F$11:$F$401,"1")</f>
        <v>0</v>
      </c>
      <c r="M3" s="70" t="s">
        <v>6</v>
      </c>
      <c r="N3" s="70">
        <f>SUMIFS($A$11:$A$401,$B$11:$B$401,"RT",$F$11:$F$401,"1")</f>
        <v>0</v>
      </c>
      <c r="O3" s="70" t="s">
        <v>13</v>
      </c>
    </row>
    <row r="4" spans="1:20" ht="15.6" thickTop="1" thickBot="1" x14ac:dyDescent="0.35">
      <c r="A4" s="50" t="s">
        <v>0</v>
      </c>
      <c r="B4" s="4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46" t="s">
        <v>159</v>
      </c>
      <c r="J4" s="9"/>
      <c r="K4" s="70" t="s">
        <v>80</v>
      </c>
      <c r="L4" s="70">
        <f>SUMIFS($A$11:$A$401,$B$11:$B$401,"CH",$F$11:$F$401,"2")</f>
        <v>0</v>
      </c>
      <c r="M4" s="70" t="s">
        <v>6</v>
      </c>
      <c r="N4" s="70">
        <f>SUMIFS($A$11:$A$401,$B$11:$B$401,"RT",$F$11:$F$401,"2")</f>
        <v>0</v>
      </c>
      <c r="O4" s="70" t="s">
        <v>13</v>
      </c>
    </row>
    <row r="5" spans="1:20" ht="15" thickTop="1" x14ac:dyDescent="0.3">
      <c r="A5" s="49" t="s">
        <v>11</v>
      </c>
      <c r="B5" s="92">
        <v>44098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68</v>
      </c>
      <c r="H5" s="15" t="s">
        <v>16</v>
      </c>
      <c r="I5" s="46" t="s">
        <v>60</v>
      </c>
      <c r="J5" s="9"/>
      <c r="K5" s="70" t="s">
        <v>81</v>
      </c>
      <c r="L5" s="70">
        <f>SUMIFS($A$11:$A$401,$B$11:$B$401,"CH",$F$11:$F$401,"3")</f>
        <v>0</v>
      </c>
      <c r="M5" s="70" t="s">
        <v>6</v>
      </c>
      <c r="N5" s="70">
        <f>SUMIFS($A$11:$A$401,$B$11:$B$401,"RT",$F$11:$F$401,"3")</f>
        <v>0</v>
      </c>
      <c r="O5" s="70" t="s">
        <v>13</v>
      </c>
    </row>
    <row r="6" spans="1:20" x14ac:dyDescent="0.3">
      <c r="A6" s="48" t="s">
        <v>57</v>
      </c>
      <c r="B6" s="93">
        <v>0.5625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46"/>
      <c r="J6" s="9"/>
      <c r="K6" s="70" t="s">
        <v>82</v>
      </c>
      <c r="L6" s="70">
        <f>SUMIFS($A$11:$A$401,$B$11:$B$401,"CH",$F$11:$F$401,"4")</f>
        <v>0</v>
      </c>
      <c r="M6" s="70" t="s">
        <v>6</v>
      </c>
      <c r="N6" s="70">
        <f>SUMIFS($A$11:$A$401,$B$11:$B$401,"RT",$F$11:$F$401,"4")</f>
        <v>0</v>
      </c>
      <c r="O6" s="70" t="s">
        <v>13</v>
      </c>
    </row>
    <row r="7" spans="1:20" x14ac:dyDescent="0.3">
      <c r="A7" s="69" t="s">
        <v>69</v>
      </c>
      <c r="B7" s="17"/>
      <c r="C7" s="11" t="s">
        <v>24</v>
      </c>
      <c r="D7" s="12" t="s">
        <v>25</v>
      </c>
      <c r="E7" s="11" t="s">
        <v>70</v>
      </c>
      <c r="F7" s="12" t="s">
        <v>63</v>
      </c>
      <c r="G7" s="18" t="s">
        <v>197</v>
      </c>
      <c r="H7" s="118" t="s">
        <v>198</v>
      </c>
      <c r="I7" s="46"/>
      <c r="J7" s="9"/>
      <c r="K7" s="70" t="s">
        <v>83</v>
      </c>
      <c r="L7" s="70">
        <f>SUMIFS($A$11:$A$401,$B$11:$B$401,"CH",$F$11:$F$401,"5")</f>
        <v>0</v>
      </c>
      <c r="M7" s="70" t="s">
        <v>6</v>
      </c>
      <c r="N7" s="70">
        <f>SUMIFS($A$11:$A$401,$B$11:$B$401,"RT",$F$11:$F$401,"5")</f>
        <v>0</v>
      </c>
      <c r="O7" s="70" t="s">
        <v>13</v>
      </c>
    </row>
    <row r="8" spans="1:20" x14ac:dyDescent="0.3">
      <c r="A8" s="16" t="s">
        <v>23</v>
      </c>
      <c r="B8" s="39">
        <v>3</v>
      </c>
      <c r="C8" s="13" t="s">
        <v>64</v>
      </c>
      <c r="D8" s="12" t="s">
        <v>65</v>
      </c>
      <c r="E8" s="13" t="s">
        <v>67</v>
      </c>
      <c r="F8" s="12" t="s">
        <v>59</v>
      </c>
      <c r="G8" s="18" t="s">
        <v>55</v>
      </c>
      <c r="H8" s="15" t="s">
        <v>53</v>
      </c>
      <c r="I8" s="46"/>
      <c r="J8" s="9"/>
      <c r="K8" s="70" t="s">
        <v>84</v>
      </c>
      <c r="L8" s="70">
        <f>SUMIFS($A$11:$A$401,$B$11:$B$401,"CH",$F$11:$F$401,"6")</f>
        <v>0</v>
      </c>
      <c r="M8" s="70" t="s">
        <v>6</v>
      </c>
      <c r="N8" s="70">
        <f>SUMIFS($A$11:$A$401,$B$11:$B$401,"RT",$F$11:$F$401,"6")</f>
        <v>0</v>
      </c>
      <c r="O8" s="70" t="s">
        <v>13</v>
      </c>
    </row>
    <row r="9" spans="1:20" ht="15" thickBot="1" x14ac:dyDescent="0.35">
      <c r="A9" s="16" t="s">
        <v>26</v>
      </c>
      <c r="B9" s="52">
        <v>1</v>
      </c>
      <c r="C9" s="11" t="s">
        <v>29</v>
      </c>
      <c r="D9" s="12" t="s">
        <v>27</v>
      </c>
      <c r="E9" s="22" t="s">
        <v>30</v>
      </c>
      <c r="F9" s="12" t="s">
        <v>31</v>
      </c>
      <c r="G9" s="20" t="s">
        <v>56</v>
      </c>
      <c r="H9" s="119" t="s">
        <v>54</v>
      </c>
      <c r="I9" s="26"/>
      <c r="J9" s="29"/>
      <c r="K9" s="70" t="s">
        <v>85</v>
      </c>
      <c r="L9" s="70">
        <f>SUMIFS($A$11:$A$401,$B$11:$B$401,"CH",$F$11:$F$401,"7")</f>
        <v>0</v>
      </c>
      <c r="M9" s="70" t="s">
        <v>6</v>
      </c>
      <c r="N9" s="70">
        <f>SUMIFS($A$11:$A$401,$B$11:$B$401,"RT",$F$11:$F$401,"7")</f>
        <v>0</v>
      </c>
      <c r="O9" s="70" t="s">
        <v>13</v>
      </c>
    </row>
    <row r="10" spans="1:20" ht="15" thickTop="1" x14ac:dyDescent="0.3">
      <c r="A10" s="53" t="s">
        <v>28</v>
      </c>
      <c r="B10" s="21"/>
      <c r="C10" s="11" t="s">
        <v>32</v>
      </c>
      <c r="D10" s="12" t="s">
        <v>33</v>
      </c>
      <c r="E10" s="24" t="s">
        <v>34</v>
      </c>
      <c r="F10" s="25" t="s">
        <v>35</v>
      </c>
      <c r="G10" s="23" t="s">
        <v>199</v>
      </c>
      <c r="H10" s="9"/>
      <c r="I10" s="47" t="s">
        <v>36</v>
      </c>
      <c r="J10" s="8" t="s">
        <v>168</v>
      </c>
      <c r="K10" s="70" t="s">
        <v>86</v>
      </c>
      <c r="L10" s="70">
        <f>SUMIFS($A$11:$A$401,$B$11:$B$401,"CH",$F$11:$F$401,"8")</f>
        <v>1</v>
      </c>
      <c r="M10" s="70" t="s">
        <v>6</v>
      </c>
      <c r="N10" s="70">
        <f>SUMIFS($A$11:$A$401,$B$11:$B$401,"RT",$F$11:$F$401,"8")</f>
        <v>0</v>
      </c>
      <c r="O10" s="70" t="s">
        <v>13</v>
      </c>
    </row>
    <row r="11" spans="1:20" ht="15" thickBot="1" x14ac:dyDescent="0.35">
      <c r="A11" s="26"/>
      <c r="B11" s="27"/>
      <c r="C11" s="26" t="s">
        <v>37</v>
      </c>
      <c r="D11" s="28" t="s">
        <v>38</v>
      </c>
      <c r="E11" s="24" t="s">
        <v>39</v>
      </c>
      <c r="F11" s="28" t="s">
        <v>58</v>
      </c>
      <c r="G11" t="s">
        <v>51</v>
      </c>
      <c r="H11" s="28" t="s">
        <v>40</v>
      </c>
      <c r="I11" s="67"/>
      <c r="J11" s="29"/>
      <c r="K11" s="70" t="s">
        <v>87</v>
      </c>
      <c r="L11" s="70">
        <f>SUMIFS($A$11:$A$401,$B$11:$B$401,"CH",$F$11:$F$401,"9")</f>
        <v>0</v>
      </c>
      <c r="M11" s="70" t="s">
        <v>6</v>
      </c>
      <c r="N11" s="70">
        <f>SUMIFS($A$11:$A$401,$B$11:$B$401,"RT",$F$11:$F$401,"9")</f>
        <v>0</v>
      </c>
      <c r="O11" s="70" t="s">
        <v>13</v>
      </c>
    </row>
    <row r="12" spans="1:20" ht="15.6" thickTop="1" thickBot="1" x14ac:dyDescent="0.35">
      <c r="A12" s="30" t="s">
        <v>41</v>
      </c>
      <c r="B12" s="31" t="s">
        <v>42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50</v>
      </c>
      <c r="K12" s="70" t="s">
        <v>88</v>
      </c>
      <c r="L12" s="70">
        <f>SUMIFS($A$11:$A$401,$B$11:$B$401,"CH",$F$11:$F$401,"10")</f>
        <v>0</v>
      </c>
      <c r="M12" s="70" t="s">
        <v>6</v>
      </c>
      <c r="N12" s="70">
        <f>SUMIFS($A$11:$A$401,$B$11:$B$401,"RT",$F$11:$F$401,"10")</f>
        <v>0</v>
      </c>
      <c r="O12" s="70" t="s">
        <v>13</v>
      </c>
      <c r="P12" s="65"/>
      <c r="Q12" s="65"/>
      <c r="R12" s="65"/>
      <c r="S12" s="65"/>
      <c r="T12" s="65"/>
    </row>
    <row r="13" spans="1:20" ht="15" thickTop="1" x14ac:dyDescent="0.3">
      <c r="A13" s="100">
        <v>0</v>
      </c>
      <c r="B13" s="64"/>
      <c r="C13" s="101"/>
      <c r="D13" s="64"/>
      <c r="E13" s="101"/>
      <c r="F13" s="101">
        <v>1</v>
      </c>
      <c r="G13" s="101" t="s">
        <v>58</v>
      </c>
      <c r="H13" s="101"/>
      <c r="I13" s="102">
        <v>0.5625</v>
      </c>
      <c r="J13" s="103" t="s">
        <v>158</v>
      </c>
      <c r="K13" s="70" t="s">
        <v>89</v>
      </c>
      <c r="L13" s="70">
        <f>SUMIFS($A$11:$A$401,$B$11:$B$401,"CH",$F$11:$F$401,"11")</f>
        <v>0</v>
      </c>
      <c r="M13" s="70" t="s">
        <v>6</v>
      </c>
      <c r="N13" s="70">
        <f>SUMIFS($A$11:$A$401,$B$11:$B$401,"RT",$F$11:$F$401,"11")</f>
        <v>0</v>
      </c>
      <c r="O13" s="70" t="s">
        <v>13</v>
      </c>
      <c r="P13" s="65"/>
      <c r="Q13" s="65"/>
      <c r="R13" s="65"/>
      <c r="S13" s="65"/>
      <c r="T13" s="65"/>
    </row>
    <row r="14" spans="1:20" x14ac:dyDescent="0.3">
      <c r="A14" s="104">
        <v>0</v>
      </c>
      <c r="B14" s="62"/>
      <c r="C14" s="105"/>
      <c r="D14" s="62"/>
      <c r="E14" s="105"/>
      <c r="F14" s="105">
        <v>2</v>
      </c>
      <c r="G14" s="105" t="s">
        <v>20</v>
      </c>
      <c r="H14" s="105"/>
      <c r="I14" s="105"/>
      <c r="J14" s="97" t="s">
        <v>158</v>
      </c>
      <c r="K14" s="70" t="s">
        <v>90</v>
      </c>
      <c r="L14" s="70">
        <f>SUMIFS($A$11:$A$401,$B$11:$B$401,"CH",$F$11:$F$401,"12")</f>
        <v>0</v>
      </c>
      <c r="M14" s="70" t="s">
        <v>6</v>
      </c>
      <c r="N14" s="70">
        <f>SUMIFS($A$11:$A$401,$B$11:$B$401,"RT",$F$11:$F$401,"12")</f>
        <v>0</v>
      </c>
      <c r="O14" s="70" t="s">
        <v>13</v>
      </c>
      <c r="P14" s="65"/>
      <c r="Q14" s="65"/>
      <c r="R14" s="65"/>
      <c r="S14" s="65"/>
      <c r="T14" s="65"/>
    </row>
    <row r="15" spans="1:20" x14ac:dyDescent="0.3">
      <c r="A15" s="104">
        <v>2</v>
      </c>
      <c r="B15" s="62" t="s">
        <v>38</v>
      </c>
      <c r="C15" s="105">
        <v>60</v>
      </c>
      <c r="D15" s="105" t="s">
        <v>159</v>
      </c>
      <c r="E15" s="105"/>
      <c r="F15" s="105">
        <v>3</v>
      </c>
      <c r="G15" s="105" t="s">
        <v>35</v>
      </c>
      <c r="H15" s="105"/>
      <c r="I15" s="105"/>
      <c r="J15" s="97"/>
      <c r="K15" s="70" t="s">
        <v>91</v>
      </c>
      <c r="L15" s="70">
        <f>SUMIFS($A$11:$A$401,$B$11:$B$401,"CH",$F$11:$F$401,"13")</f>
        <v>0</v>
      </c>
      <c r="M15" s="70" t="s">
        <v>6</v>
      </c>
      <c r="N15" s="70">
        <f>SUMIFS($A$11:$A$401,$B$11:$B$401,"RT",$F$11:$F$401,"13")</f>
        <v>0</v>
      </c>
      <c r="O15" s="70" t="s">
        <v>13</v>
      </c>
      <c r="P15" s="65"/>
      <c r="Q15" s="65"/>
      <c r="R15" s="65"/>
      <c r="S15" s="65"/>
      <c r="T15" s="65"/>
    </row>
    <row r="16" spans="1:20" x14ac:dyDescent="0.3">
      <c r="A16" s="104">
        <v>0</v>
      </c>
      <c r="B16" s="62"/>
      <c r="C16" s="105"/>
      <c r="D16" s="105"/>
      <c r="E16" s="105"/>
      <c r="F16" s="105">
        <v>4</v>
      </c>
      <c r="G16" s="105" t="s">
        <v>161</v>
      </c>
      <c r="H16" s="105"/>
      <c r="I16" s="105"/>
      <c r="J16" s="97" t="s">
        <v>158</v>
      </c>
      <c r="K16" s="70" t="s">
        <v>92</v>
      </c>
      <c r="L16" s="70">
        <f>SUMIFS($A$11:$A$401,$B$11:$B$401,"CH",$F$11:$F$401,"14")</f>
        <v>0</v>
      </c>
      <c r="M16" s="70" t="s">
        <v>6</v>
      </c>
      <c r="N16" s="70">
        <f>SUMIFS($A$11:$A$401,$B$11:$B$401,"RT",$F$11:$F$401,"14")</f>
        <v>0</v>
      </c>
      <c r="O16" s="70" t="s">
        <v>13</v>
      </c>
      <c r="P16" s="65"/>
      <c r="Q16" s="65"/>
      <c r="R16" s="65"/>
      <c r="S16" s="65"/>
      <c r="T16" s="65"/>
    </row>
    <row r="17" spans="1:20" x14ac:dyDescent="0.3">
      <c r="A17" s="104">
        <v>0</v>
      </c>
      <c r="B17" s="62"/>
      <c r="C17" s="105"/>
      <c r="D17" s="105"/>
      <c r="E17" s="105"/>
      <c r="F17" s="105">
        <v>5</v>
      </c>
      <c r="G17" s="105" t="s">
        <v>58</v>
      </c>
      <c r="H17" s="105"/>
      <c r="I17" s="105"/>
      <c r="J17" s="97" t="s">
        <v>158</v>
      </c>
      <c r="K17" s="70" t="s">
        <v>93</v>
      </c>
      <c r="L17" s="70">
        <f>SUMIFS($A$11:$A$401,$B$11:$B$401,"CH",$F$11:$F$401,"15")</f>
        <v>0</v>
      </c>
      <c r="M17" s="70" t="s">
        <v>6</v>
      </c>
      <c r="N17" s="70">
        <f>SUMIFS($A$11:$A$401,$B$11:$B$401,"RT",$F$11:$F$401,"15")</f>
        <v>0</v>
      </c>
      <c r="O17" s="70" t="s">
        <v>13</v>
      </c>
      <c r="P17" s="65"/>
      <c r="Q17" s="65"/>
      <c r="R17" s="65"/>
      <c r="S17" s="65"/>
      <c r="T17" s="65"/>
    </row>
    <row r="18" spans="1:20" x14ac:dyDescent="0.3">
      <c r="A18" s="104">
        <v>0</v>
      </c>
      <c r="B18" s="62"/>
      <c r="C18" s="105"/>
      <c r="D18" s="105"/>
      <c r="E18" s="105"/>
      <c r="F18" s="105">
        <v>6</v>
      </c>
      <c r="G18" s="105" t="s">
        <v>161</v>
      </c>
      <c r="H18" s="105"/>
      <c r="I18" s="105"/>
      <c r="J18" s="97" t="s">
        <v>158</v>
      </c>
      <c r="K18" s="70" t="s">
        <v>94</v>
      </c>
      <c r="L18" s="70">
        <f>SUMIFS($A$11:$A$401,$B$11:$B$401,"CH",$F$11:$F$401,"16")</f>
        <v>0</v>
      </c>
      <c r="M18" s="70" t="s">
        <v>6</v>
      </c>
      <c r="N18" s="70">
        <f>SUMIFS($A$11:$A$401,$B$11:$B$401,"RT",$F$11:$F$401,"16")</f>
        <v>0</v>
      </c>
      <c r="O18" s="70" t="s">
        <v>13</v>
      </c>
      <c r="P18" s="65"/>
      <c r="Q18" s="65"/>
      <c r="R18" s="65"/>
      <c r="S18" s="65"/>
      <c r="T18" s="65"/>
    </row>
    <row r="19" spans="1:20" x14ac:dyDescent="0.3">
      <c r="A19" s="104">
        <v>0</v>
      </c>
      <c r="B19" s="62"/>
      <c r="C19" s="105"/>
      <c r="D19" s="105"/>
      <c r="E19" s="105"/>
      <c r="F19" s="105">
        <v>7</v>
      </c>
      <c r="G19" s="105" t="s">
        <v>20</v>
      </c>
      <c r="H19" s="105"/>
      <c r="I19" s="105"/>
      <c r="J19" s="97" t="s">
        <v>158</v>
      </c>
      <c r="K19" s="70" t="s">
        <v>95</v>
      </c>
      <c r="L19" s="70">
        <f>SUMIFS($A$11:$A$401,$B$11:$B$401,"CH",$F$11:$F$401,"17")</f>
        <v>0</v>
      </c>
      <c r="M19" s="70" t="s">
        <v>6</v>
      </c>
      <c r="N19" s="70">
        <f>SUMIFS($A$11:$A$401,$B$11:$B$401,"RT",$F$11:$F$401,"17")</f>
        <v>0</v>
      </c>
      <c r="O19" s="70" t="s">
        <v>13</v>
      </c>
      <c r="P19" s="65"/>
      <c r="Q19" s="65"/>
      <c r="R19" s="66"/>
      <c r="S19" s="65"/>
      <c r="T19" s="65"/>
    </row>
    <row r="20" spans="1:20" x14ac:dyDescent="0.3">
      <c r="A20" s="104">
        <v>1</v>
      </c>
      <c r="B20" s="62" t="s">
        <v>6</v>
      </c>
      <c r="C20" s="105" t="s">
        <v>160</v>
      </c>
      <c r="D20" s="105" t="s">
        <v>60</v>
      </c>
      <c r="E20" s="105"/>
      <c r="F20" s="105">
        <v>8</v>
      </c>
      <c r="G20" s="105" t="s">
        <v>162</v>
      </c>
      <c r="H20" s="105"/>
      <c r="I20" s="105"/>
      <c r="J20" s="97" t="s">
        <v>163</v>
      </c>
      <c r="K20" s="70" t="s">
        <v>96</v>
      </c>
      <c r="L20" s="70">
        <f>SUMIFS($A$11:$A$401,$B$11:$B$401,"CH",$F$11:$F$401,"18")</f>
        <v>0</v>
      </c>
      <c r="M20" s="70" t="s">
        <v>6</v>
      </c>
      <c r="N20" s="70">
        <f>SUMIFS($A$11:$A$401,$B$11:$B$401,"RT",$F$11:$F$401,"18")</f>
        <v>0</v>
      </c>
      <c r="O20" s="70" t="s">
        <v>13</v>
      </c>
      <c r="P20" s="65"/>
      <c r="Q20" s="65"/>
      <c r="R20" s="65"/>
      <c r="S20" s="65"/>
      <c r="T20" s="65"/>
    </row>
    <row r="21" spans="1:20" x14ac:dyDescent="0.3">
      <c r="A21" s="104">
        <v>1</v>
      </c>
      <c r="B21" s="62" t="s">
        <v>38</v>
      </c>
      <c r="C21" s="105">
        <v>50</v>
      </c>
      <c r="D21" s="105" t="s">
        <v>159</v>
      </c>
      <c r="E21" s="105"/>
      <c r="F21" s="105">
        <v>8</v>
      </c>
      <c r="G21" s="105" t="s">
        <v>35</v>
      </c>
      <c r="H21" s="105"/>
      <c r="I21" s="105"/>
      <c r="J21" s="97"/>
      <c r="K21" s="70" t="s">
        <v>97</v>
      </c>
      <c r="L21" s="70">
        <f>SUMIFS($A$11:$A$401,$B$11:$B$401,"CH",$F$11:$F$401,"19")</f>
        <v>0</v>
      </c>
      <c r="M21" s="70" t="s">
        <v>6</v>
      </c>
      <c r="N21" s="70">
        <f>SUMIFS($A$11:$A$401,$B$11:$B$401,"RT",$F$11:$F$401,"19")</f>
        <v>0</v>
      </c>
      <c r="O21" s="70" t="s">
        <v>13</v>
      </c>
      <c r="P21" s="65"/>
      <c r="Q21" s="65"/>
      <c r="R21" s="65"/>
      <c r="S21" s="65"/>
      <c r="T21" s="65"/>
    </row>
    <row r="22" spans="1:20" x14ac:dyDescent="0.3">
      <c r="A22" s="104">
        <v>0</v>
      </c>
      <c r="B22" s="62"/>
      <c r="C22" s="105"/>
      <c r="D22" s="105"/>
      <c r="E22" s="105"/>
      <c r="F22" s="105">
        <v>9</v>
      </c>
      <c r="G22" s="105" t="s">
        <v>58</v>
      </c>
      <c r="H22" s="105"/>
      <c r="I22" s="105"/>
      <c r="J22" s="97" t="s">
        <v>76</v>
      </c>
      <c r="K22" s="70" t="s">
        <v>98</v>
      </c>
      <c r="L22" s="70">
        <f>SUMIFS($A$11:$A$401,$B$11:$B$401,"CH",$F$11:$F$401,"20")</f>
        <v>0</v>
      </c>
      <c r="M22" s="70" t="s">
        <v>6</v>
      </c>
      <c r="N22" s="70">
        <f>SUMIFS($A$11:$A$401,$B$11:$B$401,"RT",$F$11:$F$401,"20")</f>
        <v>0</v>
      </c>
      <c r="O22" s="70" t="s">
        <v>13</v>
      </c>
    </row>
    <row r="23" spans="1:20" x14ac:dyDescent="0.3">
      <c r="A23" s="104">
        <v>0</v>
      </c>
      <c r="B23" s="62"/>
      <c r="C23" s="105"/>
      <c r="D23" s="105"/>
      <c r="E23" s="105"/>
      <c r="F23" s="105">
        <v>10</v>
      </c>
      <c r="G23" s="105" t="s">
        <v>161</v>
      </c>
      <c r="H23" s="105"/>
      <c r="I23" s="105"/>
      <c r="J23" s="97" t="s">
        <v>158</v>
      </c>
      <c r="K23" s="70" t="s">
        <v>99</v>
      </c>
      <c r="L23" s="70">
        <f>SUMIFS($A$11:$A$401,$B$11:$B$401,"CH",$F$11:$F$401,"21")</f>
        <v>0</v>
      </c>
      <c r="M23" s="70" t="s">
        <v>6</v>
      </c>
      <c r="N23" s="70">
        <f>SUMIFS($A$11:$A$401,$B$11:$B$401,"RT",$F$11:$F$401,"21")</f>
        <v>0</v>
      </c>
      <c r="O23" s="70" t="s">
        <v>13</v>
      </c>
    </row>
    <row r="24" spans="1:20" x14ac:dyDescent="0.3">
      <c r="A24" s="104">
        <v>0</v>
      </c>
      <c r="B24" s="62"/>
      <c r="C24" s="105"/>
      <c r="D24" s="105"/>
      <c r="E24" s="105"/>
      <c r="F24" s="105">
        <v>11</v>
      </c>
      <c r="G24" s="105" t="s">
        <v>20</v>
      </c>
      <c r="H24" s="105"/>
      <c r="I24" s="105"/>
      <c r="J24" s="97"/>
      <c r="K24" s="70" t="s">
        <v>100</v>
      </c>
      <c r="L24" s="70">
        <f>SUMIFS($A$11:$A$401,$B$11:$B$401,"CH",$F$11:$F$401,"22")</f>
        <v>0</v>
      </c>
      <c r="M24" s="70" t="s">
        <v>6</v>
      </c>
      <c r="N24" s="70">
        <f>SUMIFS($A$11:$A$401,$B$11:$B$401,"RT",$F$11:$F$401,"22")</f>
        <v>0</v>
      </c>
      <c r="O24" s="70" t="s">
        <v>13</v>
      </c>
    </row>
    <row r="25" spans="1:20" x14ac:dyDescent="0.3">
      <c r="A25" s="104">
        <v>0</v>
      </c>
      <c r="B25" s="62"/>
      <c r="C25" s="105"/>
      <c r="D25" s="105"/>
      <c r="E25" s="105"/>
      <c r="F25" s="105">
        <v>12</v>
      </c>
      <c r="G25" s="105" t="s">
        <v>35</v>
      </c>
      <c r="H25" s="105"/>
      <c r="I25" s="105"/>
      <c r="J25" s="97"/>
      <c r="K25" s="70" t="s">
        <v>101</v>
      </c>
      <c r="L25" s="70">
        <f>SUMIFS($A$11:$A$401,$B$11:$B$401,"CH",$F$11:$F$401,"23")</f>
        <v>0</v>
      </c>
      <c r="M25" s="70" t="s">
        <v>6</v>
      </c>
      <c r="N25" s="70">
        <f>SUMIFS($A$11:$A$401,$B$11:$B$401,"RT",$F$11:$F$401,"23")</f>
        <v>0</v>
      </c>
      <c r="O25" s="70" t="s">
        <v>13</v>
      </c>
    </row>
    <row r="26" spans="1:20" x14ac:dyDescent="0.3">
      <c r="A26" s="104">
        <v>4</v>
      </c>
      <c r="B26" s="62" t="s">
        <v>65</v>
      </c>
      <c r="C26" s="105">
        <v>200</v>
      </c>
      <c r="D26" s="105" t="s">
        <v>60</v>
      </c>
      <c r="E26" s="105"/>
      <c r="F26" s="105">
        <v>12</v>
      </c>
      <c r="G26" s="105" t="s">
        <v>162</v>
      </c>
      <c r="H26" s="105"/>
      <c r="I26" s="105"/>
      <c r="J26" s="97"/>
      <c r="K26" s="70" t="s">
        <v>102</v>
      </c>
      <c r="L26" s="70">
        <f>SUMIFS($A$11:$A$401,$B$11:$B$401,"CH",$F$11:$F$401,"24")</f>
        <v>0</v>
      </c>
      <c r="M26" s="70" t="s">
        <v>6</v>
      </c>
      <c r="N26" s="70">
        <f>SUMIFS($A$11:$A$401,$B$11:$B$401,"RT",$F$11:$F$401,"24")</f>
        <v>0</v>
      </c>
      <c r="O26" s="70" t="s">
        <v>13</v>
      </c>
    </row>
    <row r="27" spans="1:20" x14ac:dyDescent="0.3">
      <c r="A27" s="104">
        <v>0</v>
      </c>
      <c r="B27" s="62"/>
      <c r="C27" s="105"/>
      <c r="D27" s="105"/>
      <c r="E27" s="105"/>
      <c r="F27" s="105">
        <v>13</v>
      </c>
      <c r="G27" s="105" t="s">
        <v>58</v>
      </c>
      <c r="H27" s="105"/>
      <c r="I27" s="105"/>
      <c r="J27" s="97" t="s">
        <v>76</v>
      </c>
      <c r="K27" s="70" t="s">
        <v>103</v>
      </c>
      <c r="L27" s="70">
        <f>SUMIFS($A$11:$A$401,$B$11:$B$401,"CH",$F$11:$F$401,"25")</f>
        <v>0</v>
      </c>
      <c r="M27" s="70" t="s">
        <v>6</v>
      </c>
      <c r="N27" s="70">
        <f>SUMIFS($A$11:$A$401,$B$11:$B$401,"RT",$F$11:$F$401,"25")</f>
        <v>0</v>
      </c>
      <c r="O27" s="70" t="s">
        <v>13</v>
      </c>
    </row>
    <row r="28" spans="1:20" x14ac:dyDescent="0.3">
      <c r="A28" s="104">
        <v>0</v>
      </c>
      <c r="B28" s="62"/>
      <c r="C28" s="105"/>
      <c r="D28" s="105"/>
      <c r="E28" s="105"/>
      <c r="F28" s="105">
        <v>14</v>
      </c>
      <c r="G28" s="105" t="s">
        <v>20</v>
      </c>
      <c r="H28" s="105"/>
      <c r="I28" s="105"/>
      <c r="J28" s="97" t="s">
        <v>76</v>
      </c>
      <c r="K28" s="70" t="s">
        <v>104</v>
      </c>
      <c r="L28" s="70">
        <f>SUMIFS($A$11:$A$401,$B$11:$B$401,"CH",$F$11:$F$401,"26")</f>
        <v>0</v>
      </c>
      <c r="M28" s="70" t="s">
        <v>6</v>
      </c>
      <c r="N28" s="70">
        <f>SUMIFS($A$11:$A$401,$B$11:$B$401,"RT",$F$11:$F$401,"26")</f>
        <v>0</v>
      </c>
      <c r="O28" s="70" t="s">
        <v>13</v>
      </c>
    </row>
    <row r="29" spans="1:20" x14ac:dyDescent="0.3">
      <c r="A29" s="104">
        <v>0</v>
      </c>
      <c r="B29" s="62"/>
      <c r="C29" s="105"/>
      <c r="D29" s="105"/>
      <c r="E29" s="105"/>
      <c r="F29" s="105">
        <v>15</v>
      </c>
      <c r="G29" s="105" t="s">
        <v>58</v>
      </c>
      <c r="H29" s="105"/>
      <c r="I29" s="105"/>
      <c r="J29" s="97" t="s">
        <v>76</v>
      </c>
      <c r="K29" s="70" t="s">
        <v>105</v>
      </c>
      <c r="L29" s="70">
        <f>SUMIFS($A$11:$A$401,$B$11:$B$401,"CH",$F$11:$F$401,"27")</f>
        <v>0</v>
      </c>
      <c r="M29" s="70" t="s">
        <v>6</v>
      </c>
      <c r="N29" s="70">
        <f>SUMIFS($A$11:$A$401,$B$11:$B$401,"RT",$F$11:$F$401,"27")</f>
        <v>0</v>
      </c>
      <c r="O29" s="70" t="s">
        <v>13</v>
      </c>
    </row>
    <row r="30" spans="1:20" x14ac:dyDescent="0.3">
      <c r="A30" s="104"/>
      <c r="B30" s="62"/>
      <c r="C30" s="105"/>
      <c r="D30" s="105"/>
      <c r="E30" s="105"/>
      <c r="F30" s="105"/>
      <c r="G30" s="105"/>
      <c r="H30" s="105"/>
      <c r="I30" s="105"/>
      <c r="J30" s="97"/>
      <c r="K30" s="70" t="s">
        <v>106</v>
      </c>
      <c r="L30" s="70">
        <f>SUMIFS($A$11:$A$401,$B$11:$B$401,"CH",$F$11:$F$401,"28")</f>
        <v>0</v>
      </c>
      <c r="M30" s="70" t="s">
        <v>6</v>
      </c>
      <c r="N30" s="70">
        <f>SUMIFS($A$11:$A$401,$B$11:$B$401,"RT",$F$11:$F$401,"28")</f>
        <v>0</v>
      </c>
      <c r="O30" s="70" t="s">
        <v>13</v>
      </c>
    </row>
    <row r="31" spans="1:20" x14ac:dyDescent="0.3">
      <c r="A31" s="104"/>
      <c r="B31" s="62"/>
      <c r="C31" s="105"/>
      <c r="D31" s="105"/>
      <c r="E31" s="105"/>
      <c r="F31" s="105"/>
      <c r="G31" s="105"/>
      <c r="H31" s="105"/>
      <c r="I31" s="105"/>
      <c r="J31" s="97"/>
      <c r="K31" s="70" t="s">
        <v>107</v>
      </c>
      <c r="L31" s="70">
        <f>SUMIFS($A$11:$A$401,$B$11:$B$401,"CH",$F$11:$F$401,"29")</f>
        <v>0</v>
      </c>
      <c r="M31" s="70" t="s">
        <v>6</v>
      </c>
      <c r="N31" s="70">
        <f>SUMIFS($A$11:$A$401,$B$11:$B$401,"RT",$F$11:$F$401,"29")</f>
        <v>0</v>
      </c>
      <c r="O31" s="70" t="s">
        <v>13</v>
      </c>
    </row>
    <row r="32" spans="1:20" ht="15" thickBot="1" x14ac:dyDescent="0.35">
      <c r="A32" s="106"/>
      <c r="B32" s="107"/>
      <c r="C32" s="108"/>
      <c r="D32" s="108"/>
      <c r="E32" s="108"/>
      <c r="F32" s="108"/>
      <c r="G32" s="108"/>
      <c r="H32" s="108"/>
      <c r="I32" s="109"/>
      <c r="J32" s="110"/>
      <c r="K32" s="70" t="s">
        <v>108</v>
      </c>
      <c r="L32" s="70">
        <f>SUMIFS($A$11:$A$401,$B$11:$B$401,"CH",$F$11:$F$401,"30")</f>
        <v>0</v>
      </c>
      <c r="M32" s="70" t="s">
        <v>6</v>
      </c>
      <c r="N32" s="70">
        <f>SUMIFS($A$11:$A$401,$B$11:$B$401,"RT",$F$11:$F$401,"30")</f>
        <v>0</v>
      </c>
      <c r="O32" s="70" t="s">
        <v>13</v>
      </c>
    </row>
    <row r="33" spans="11:15" ht="15" thickTop="1" x14ac:dyDescent="0.3">
      <c r="K33" s="70" t="s">
        <v>109</v>
      </c>
      <c r="L33" s="70">
        <f>SUMIFS($A$11:$A$401,$B$11:$B$401,"CH",$F$11:$F$401,"31")</f>
        <v>0</v>
      </c>
      <c r="M33" s="70" t="s">
        <v>6</v>
      </c>
      <c r="N33" s="70">
        <f>SUMIFS($A$11:$A$401,$B$11:$B$401,"RT",$F$11:$F$401,"31")</f>
        <v>0</v>
      </c>
      <c r="O33" s="70" t="s">
        <v>13</v>
      </c>
    </row>
    <row r="34" spans="11:15" x14ac:dyDescent="0.3">
      <c r="K34" s="70" t="s">
        <v>110</v>
      </c>
      <c r="L34" s="70">
        <f>SUMIFS($A$11:$A$401,$B$11:$B$401,"CH",$F$11:$F$401,"32")</f>
        <v>0</v>
      </c>
      <c r="M34" s="70" t="s">
        <v>6</v>
      </c>
      <c r="N34" s="70">
        <f>SUMIFS($A$11:$A$401,$B$11:$B$401,"RT",$F$11:$F$401,"32")</f>
        <v>0</v>
      </c>
      <c r="O34" s="70" t="s">
        <v>13</v>
      </c>
    </row>
    <row r="35" spans="11:15" x14ac:dyDescent="0.3">
      <c r="K35" s="70" t="s">
        <v>111</v>
      </c>
      <c r="L35" s="70">
        <f>SUMIFS($A$11:$A$401,$B$11:$B$401,"CH",$F$11:$F$401,"33")</f>
        <v>0</v>
      </c>
      <c r="M35" s="70" t="s">
        <v>6</v>
      </c>
      <c r="N35" s="70">
        <f>SUMIFS($A$11:$A$401,$B$11:$B$401,"RT",$F$11:$F$401,"33")</f>
        <v>0</v>
      </c>
      <c r="O35" s="70" t="s">
        <v>13</v>
      </c>
    </row>
    <row r="36" spans="11:15" x14ac:dyDescent="0.3">
      <c r="K36" s="70" t="s">
        <v>112</v>
      </c>
      <c r="L36" s="70">
        <f>SUMIFS($A$11:$A$401,$B$11:$B$401,"CH",$F$11:$F$401,"34")</f>
        <v>0</v>
      </c>
      <c r="M36" s="70" t="s">
        <v>6</v>
      </c>
      <c r="N36" s="70">
        <f>SUMIFS($A$11:$A$401,$B$11:$B$401,"RT",$F$11:$F$401,"34")</f>
        <v>0</v>
      </c>
      <c r="O36" s="70" t="s">
        <v>13</v>
      </c>
    </row>
    <row r="37" spans="11:15" x14ac:dyDescent="0.3">
      <c r="K37" s="70" t="s">
        <v>113</v>
      </c>
      <c r="L37" s="70">
        <f>SUMIFS($A$11:$A$401,$B$11:$B$401,"CH",$F$11:$F$401,"35")</f>
        <v>0</v>
      </c>
      <c r="M37" s="70" t="s">
        <v>6</v>
      </c>
      <c r="N37" s="70">
        <f>SUMIFS($A$11:$A$401,$B$11:$B$401,"RT",$F$11:$F$401,"35")</f>
        <v>0</v>
      </c>
      <c r="O37" s="70" t="s">
        <v>13</v>
      </c>
    </row>
    <row r="38" spans="11:15" x14ac:dyDescent="0.3">
      <c r="K38" s="70" t="s">
        <v>114</v>
      </c>
      <c r="L38" s="70">
        <f>SUMIFS($A$11:$A$401,$B$11:$B$401,"CH",$F$11:$F$401,"36")</f>
        <v>0</v>
      </c>
      <c r="M38" s="70" t="s">
        <v>6</v>
      </c>
      <c r="N38" s="70">
        <f>SUMIFS($A$11:$A$401,$B$11:$B$401,"RT",$F$11:$F$401,"36")</f>
        <v>0</v>
      </c>
      <c r="O38" s="70" t="s">
        <v>13</v>
      </c>
    </row>
    <row r="39" spans="11:15" x14ac:dyDescent="0.3">
      <c r="K39" s="70" t="s">
        <v>115</v>
      </c>
      <c r="L39" s="70">
        <f>SUMIFS($A$11:$A$401,$B$11:$B$401,"CH",$F$11:$F$401,"37")</f>
        <v>0</v>
      </c>
      <c r="M39" s="70" t="s">
        <v>6</v>
      </c>
      <c r="N39" s="70">
        <f>SUMIFS($A$11:$A$401,$B$11:$B$401,"RT",$F$11:$F$401,"37")</f>
        <v>0</v>
      </c>
      <c r="O39" s="70" t="s">
        <v>13</v>
      </c>
    </row>
    <row r="40" spans="11:15" x14ac:dyDescent="0.3">
      <c r="K40" s="70" t="s">
        <v>116</v>
      </c>
      <c r="L40" s="70">
        <f>SUMIFS($A$11:$A$401,$B$11:$B$401,"CH",$F$11:$F$401,"38")</f>
        <v>0</v>
      </c>
      <c r="M40" s="70" t="s">
        <v>6</v>
      </c>
      <c r="N40" s="70">
        <f>SUMIFS($A$11:$A$401,$B$11:$B$401,"RT",$F$11:$F$401,"38")</f>
        <v>0</v>
      </c>
      <c r="O40" s="70" t="s">
        <v>13</v>
      </c>
    </row>
    <row r="41" spans="11:15" x14ac:dyDescent="0.3">
      <c r="K41" s="70" t="s">
        <v>117</v>
      </c>
      <c r="L41" s="70">
        <f>SUMIFS($A$11:$A$401,$B$11:$B$401,"CH",$F$11:$F$401,"39")</f>
        <v>0</v>
      </c>
      <c r="M41" s="70" t="s">
        <v>6</v>
      </c>
      <c r="N41" s="70">
        <f>SUMIFS($A$11:$A$401,$B$11:$B$401,"RT",$F$11:$F$401,"39")</f>
        <v>0</v>
      </c>
      <c r="O41" s="70" t="s">
        <v>13</v>
      </c>
    </row>
    <row r="42" spans="11:15" x14ac:dyDescent="0.3">
      <c r="K42" s="70" t="s">
        <v>118</v>
      </c>
      <c r="L42" s="70">
        <f>SUMIFS($A$11:$A$401,$B$11:$B$401,"CH",$F$11:$F$401,"40")</f>
        <v>0</v>
      </c>
      <c r="M42" s="70" t="s">
        <v>6</v>
      </c>
      <c r="N42" s="70">
        <f>SUMIFS($A$11:$A$401,$B$11:$B$401,"RT",$F$11:$F$401,"40")</f>
        <v>0</v>
      </c>
      <c r="O42" s="70" t="s">
        <v>13</v>
      </c>
    </row>
    <row r="43" spans="11:15" x14ac:dyDescent="0.3">
      <c r="K43" s="70" t="s">
        <v>119</v>
      </c>
      <c r="L43" s="70">
        <f>SUMIFS($A$11:$A$401,$B$11:$B$401,"CH",$F$11:$F$401,"41")</f>
        <v>0</v>
      </c>
      <c r="M43" s="70" t="s">
        <v>6</v>
      </c>
      <c r="N43" s="70">
        <f>SUMIFS($A$11:$A$401,$B$11:$B$401,"RT",$F$11:$F$401,"41")</f>
        <v>0</v>
      </c>
      <c r="O43" s="70" t="s">
        <v>13</v>
      </c>
    </row>
    <row r="44" spans="11:15" x14ac:dyDescent="0.3">
      <c r="K44" s="70"/>
      <c r="L44" s="70">
        <f>SUMIFS($A$11:$A$401,$B$11:$B$401,"CH",$F$11:$F$401,"")</f>
        <v>0</v>
      </c>
      <c r="M44" s="70" t="s">
        <v>6</v>
      </c>
      <c r="N44" s="70">
        <f>SUMIFS($A$11:$A$401,$B$11:$B$401,"RT",$F$11:$F$401,"")</f>
        <v>0</v>
      </c>
      <c r="O44" s="70" t="s">
        <v>13</v>
      </c>
    </row>
    <row r="45" spans="11:15" x14ac:dyDescent="0.3">
      <c r="K45" s="70" t="s">
        <v>120</v>
      </c>
      <c r="L45" s="70">
        <f>SUM(L3:L44)</f>
        <v>1</v>
      </c>
      <c r="M45" s="70" t="s">
        <v>6</v>
      </c>
      <c r="N45" s="70">
        <f>SUM(N3:N44)</f>
        <v>0</v>
      </c>
      <c r="O45" s="70" t="s">
        <v>13</v>
      </c>
    </row>
    <row r="46" spans="11:15" x14ac:dyDescent="0.3">
      <c r="K46" s="70"/>
      <c r="L46" s="70"/>
      <c r="M46" s="70"/>
      <c r="N46" s="70"/>
    </row>
    <row r="47" spans="11:15" x14ac:dyDescent="0.3">
      <c r="K47" s="70"/>
      <c r="N47" s="70"/>
    </row>
    <row r="48" spans="11:15" x14ac:dyDescent="0.3">
      <c r="K48" s="70"/>
      <c r="N48" s="70"/>
    </row>
    <row r="49" spans="11:14" x14ac:dyDescent="0.3">
      <c r="K49" s="70"/>
      <c r="N49" s="70"/>
    </row>
    <row r="50" spans="11:14" x14ac:dyDescent="0.3">
      <c r="K50" s="70"/>
      <c r="N50" s="70"/>
    </row>
    <row r="51" spans="11:14" x14ac:dyDescent="0.3">
      <c r="K51" s="70"/>
      <c r="N51" s="70"/>
    </row>
    <row r="52" spans="11:14" x14ac:dyDescent="0.3">
      <c r="K52" s="70"/>
      <c r="N52" s="70"/>
    </row>
    <row r="53" spans="11:14" x14ac:dyDescent="0.3">
      <c r="K53" s="70"/>
      <c r="N53" s="70"/>
    </row>
    <row r="54" spans="11:14" x14ac:dyDescent="0.3">
      <c r="K54" s="70"/>
      <c r="N54" s="70"/>
    </row>
    <row r="55" spans="11:14" x14ac:dyDescent="0.3">
      <c r="K55" s="70"/>
      <c r="N55" s="70"/>
    </row>
    <row r="56" spans="11:14" x14ac:dyDescent="0.3">
      <c r="K56" s="70"/>
      <c r="N56" s="70"/>
    </row>
    <row r="57" spans="11:14" x14ac:dyDescent="0.3">
      <c r="K57" s="70"/>
      <c r="N57" s="70"/>
    </row>
    <row r="58" spans="11:14" x14ac:dyDescent="0.3">
      <c r="K58" s="70"/>
      <c r="N58" s="70"/>
    </row>
    <row r="59" spans="11:14" x14ac:dyDescent="0.3">
      <c r="K59" s="70"/>
      <c r="N59" s="70"/>
    </row>
    <row r="60" spans="11:14" x14ac:dyDescent="0.3">
      <c r="K60" s="70"/>
      <c r="N60" s="70"/>
    </row>
    <row r="61" spans="11:14" x14ac:dyDescent="0.3">
      <c r="K61" s="70"/>
      <c r="N61" s="70"/>
    </row>
    <row r="62" spans="11:14" x14ac:dyDescent="0.3">
      <c r="K62" s="70"/>
      <c r="N62" s="70"/>
    </row>
    <row r="63" spans="11:14" x14ac:dyDescent="0.3">
      <c r="K63" s="70"/>
      <c r="N63" s="70"/>
    </row>
    <row r="64" spans="11:14" x14ac:dyDescent="0.3">
      <c r="K64" s="70"/>
      <c r="N64" s="70"/>
    </row>
    <row r="65" spans="11:14" x14ac:dyDescent="0.3">
      <c r="K65" s="70"/>
      <c r="N65" s="70"/>
    </row>
    <row r="66" spans="11:14" x14ac:dyDescent="0.3">
      <c r="K66" s="70"/>
      <c r="N66" s="70"/>
    </row>
    <row r="67" spans="11:14" x14ac:dyDescent="0.3">
      <c r="K67" s="70"/>
      <c r="N67" s="70"/>
    </row>
    <row r="68" spans="11:14" x14ac:dyDescent="0.3">
      <c r="K68" s="70"/>
      <c r="N68" s="70"/>
    </row>
    <row r="69" spans="11:14" x14ac:dyDescent="0.3">
      <c r="K69" s="70"/>
      <c r="N69" s="70"/>
    </row>
    <row r="70" spans="11:14" x14ac:dyDescent="0.3">
      <c r="K70" s="70"/>
      <c r="N70" s="70"/>
    </row>
    <row r="71" spans="11:14" x14ac:dyDescent="0.3">
      <c r="K71" s="70"/>
      <c r="N71" s="70"/>
    </row>
    <row r="72" spans="11:14" x14ac:dyDescent="0.3">
      <c r="K72" s="70"/>
      <c r="N72" s="70"/>
    </row>
    <row r="73" spans="11:14" x14ac:dyDescent="0.3">
      <c r="K73" s="70"/>
      <c r="N73" s="70"/>
    </row>
    <row r="74" spans="11:14" x14ac:dyDescent="0.3">
      <c r="K74" s="70"/>
      <c r="N74" s="70"/>
    </row>
    <row r="75" spans="11:14" x14ac:dyDescent="0.3">
      <c r="K75" s="70"/>
      <c r="N75" s="70"/>
    </row>
    <row r="76" spans="11:14" x14ac:dyDescent="0.3">
      <c r="K76" s="70"/>
      <c r="N76" s="70"/>
    </row>
    <row r="77" spans="11:14" x14ac:dyDescent="0.3">
      <c r="K77" s="70"/>
      <c r="N77" s="70"/>
    </row>
    <row r="78" spans="11:14" x14ac:dyDescent="0.3">
      <c r="K78" s="70"/>
      <c r="N78" s="70"/>
    </row>
    <row r="79" spans="11:14" x14ac:dyDescent="0.3">
      <c r="K79" s="70"/>
      <c r="N79" s="70"/>
    </row>
    <row r="80" spans="11:14" x14ac:dyDescent="0.3">
      <c r="K80" s="70"/>
      <c r="N80" s="70"/>
    </row>
    <row r="81" spans="11:14" x14ac:dyDescent="0.3">
      <c r="K81" s="70"/>
      <c r="N81" s="70"/>
    </row>
    <row r="82" spans="11:14" x14ac:dyDescent="0.3">
      <c r="K82" s="70"/>
      <c r="N82" s="70"/>
    </row>
    <row r="83" spans="11:14" x14ac:dyDescent="0.3">
      <c r="K83" s="70"/>
      <c r="N83" s="70"/>
    </row>
    <row r="84" spans="11:14" x14ac:dyDescent="0.3">
      <c r="K84" s="70"/>
      <c r="N84" s="70"/>
    </row>
    <row r="85" spans="11:14" x14ac:dyDescent="0.3">
      <c r="K85" s="70"/>
      <c r="N85" s="70"/>
    </row>
    <row r="86" spans="11:14" x14ac:dyDescent="0.3">
      <c r="K86" s="70"/>
      <c r="N86" s="70"/>
    </row>
    <row r="87" spans="11:14" x14ac:dyDescent="0.3">
      <c r="K87" s="70"/>
      <c r="N87" s="70"/>
    </row>
    <row r="88" spans="11:14" x14ac:dyDescent="0.3">
      <c r="K88" s="70"/>
      <c r="N88" s="70"/>
    </row>
    <row r="89" spans="11:14" x14ac:dyDescent="0.3">
      <c r="K89" s="71"/>
      <c r="N89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F38F2-118D-4661-A2D4-2CF6D0D62287}">
  <dimension ref="A1:T89"/>
  <sheetViews>
    <sheetView zoomScaleNormal="100" workbookViewId="0">
      <selection activeCell="G3" sqref="G3:H11"/>
    </sheetView>
  </sheetViews>
  <sheetFormatPr defaultRowHeight="14.4" x14ac:dyDescent="0.3"/>
  <cols>
    <col min="2" max="2" width="9.5546875" bestFit="1" customWidth="1"/>
    <col min="3" max="3" width="11.6640625" customWidth="1"/>
    <col min="7" max="7" width="16" customWidth="1"/>
    <col min="9" max="9" width="10.6640625" customWidth="1"/>
    <col min="10" max="10" width="10.88671875" customWidth="1"/>
    <col min="11" max="11" width="8.109375" customWidth="1"/>
    <col min="12" max="12" width="8.6640625" customWidth="1"/>
    <col min="13" max="15" width="8.44140625" customWidth="1"/>
  </cols>
  <sheetData>
    <row r="1" spans="1:20" ht="15.6" thickTop="1" thickBot="1" x14ac:dyDescent="0.35">
      <c r="A1" s="1"/>
      <c r="B1" s="2"/>
      <c r="C1" s="2"/>
      <c r="D1" s="3" t="s">
        <v>157</v>
      </c>
      <c r="E1" s="2"/>
      <c r="F1" s="2"/>
      <c r="G1" s="2"/>
      <c r="H1" s="4"/>
      <c r="I1" s="50" t="s">
        <v>71</v>
      </c>
      <c r="J1" s="68" t="s">
        <v>164</v>
      </c>
      <c r="K1" s="72" t="s">
        <v>121</v>
      </c>
      <c r="L1" s="45"/>
      <c r="M1" s="46"/>
      <c r="N1" s="46"/>
    </row>
    <row r="2" spans="1:20" ht="15.6" thickTop="1" thickBot="1" x14ac:dyDescent="0.35">
      <c r="A2" s="50" t="s">
        <v>52</v>
      </c>
      <c r="B2" s="2" t="s">
        <v>75</v>
      </c>
      <c r="C2" s="2"/>
      <c r="D2" s="3"/>
      <c r="E2" s="2"/>
      <c r="F2" s="2"/>
      <c r="G2" s="6"/>
      <c r="H2" s="43"/>
      <c r="I2" s="50" t="s">
        <v>61</v>
      </c>
      <c r="J2" s="5" t="s">
        <v>62</v>
      </c>
      <c r="K2" s="45" t="s">
        <v>46</v>
      </c>
      <c r="L2" s="45" t="s">
        <v>41</v>
      </c>
      <c r="M2" s="45" t="s">
        <v>42</v>
      </c>
      <c r="N2" s="45" t="s">
        <v>46</v>
      </c>
      <c r="O2" s="45" t="s">
        <v>42</v>
      </c>
    </row>
    <row r="3" spans="1:20" ht="15.6" thickTop="1" thickBot="1" x14ac:dyDescent="0.35">
      <c r="A3" s="51" t="s">
        <v>4</v>
      </c>
      <c r="B3" s="45">
        <v>777</v>
      </c>
      <c r="C3" s="7" t="s">
        <v>1</v>
      </c>
      <c r="D3" s="8"/>
      <c r="E3" s="7" t="s">
        <v>2</v>
      </c>
      <c r="F3" s="9"/>
      <c r="G3" s="10" t="s">
        <v>3</v>
      </c>
      <c r="H3" s="8"/>
      <c r="I3" s="46" t="s">
        <v>60</v>
      </c>
      <c r="J3" s="9" t="s">
        <v>74</v>
      </c>
      <c r="K3" s="70" t="s">
        <v>79</v>
      </c>
      <c r="L3" s="70">
        <f>SUMIFS($A$11:$A$401,$B$11:$B$401,"CH",$F$11:$F$401,"1")</f>
        <v>0</v>
      </c>
      <c r="M3" s="70" t="s">
        <v>6</v>
      </c>
      <c r="N3" s="70">
        <f>SUMIFS($A$11:$A$401,$B$11:$B$401,"RT",$F$11:$F$401,"1")</f>
        <v>0</v>
      </c>
      <c r="O3" s="70" t="s">
        <v>13</v>
      </c>
    </row>
    <row r="4" spans="1:20" ht="15.6" thickTop="1" thickBot="1" x14ac:dyDescent="0.35">
      <c r="A4" s="50" t="s">
        <v>0</v>
      </c>
      <c r="B4" s="4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46" t="s">
        <v>73</v>
      </c>
      <c r="J4" s="9" t="s">
        <v>166</v>
      </c>
      <c r="K4" s="70" t="s">
        <v>80</v>
      </c>
      <c r="L4" s="70">
        <f>SUMIFS($A$11:$A$401,$B$11:$B$401,"CH",$F$11:$F$401,"2")</f>
        <v>0</v>
      </c>
      <c r="M4" s="70" t="s">
        <v>6</v>
      </c>
      <c r="N4" s="70">
        <f>SUMIFS($A$11:$A$401,$B$11:$B$401,"RT",$F$11:$F$401,"2")</f>
        <v>0</v>
      </c>
      <c r="O4" s="70" t="s">
        <v>13</v>
      </c>
    </row>
    <row r="5" spans="1:20" ht="15" thickTop="1" x14ac:dyDescent="0.3">
      <c r="A5" s="49" t="s">
        <v>11</v>
      </c>
      <c r="B5" s="111">
        <v>44084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68</v>
      </c>
      <c r="H5" s="15" t="s">
        <v>16</v>
      </c>
      <c r="I5" s="46" t="s">
        <v>72</v>
      </c>
      <c r="J5" s="9" t="s">
        <v>77</v>
      </c>
      <c r="K5" s="70" t="s">
        <v>81</v>
      </c>
      <c r="L5" s="70">
        <f>SUMIFS($A$11:$A$401,$B$11:$B$401,"CH",$F$11:$F$401,"3")</f>
        <v>0</v>
      </c>
      <c r="M5" s="70" t="s">
        <v>6</v>
      </c>
      <c r="N5" s="70">
        <f>SUMIFS($A$11:$A$401,$B$11:$B$401,"RT",$F$11:$F$401,"3")</f>
        <v>0</v>
      </c>
      <c r="O5" s="70" t="s">
        <v>13</v>
      </c>
    </row>
    <row r="6" spans="1:20" x14ac:dyDescent="0.3">
      <c r="A6" s="48" t="s">
        <v>57</v>
      </c>
      <c r="B6" s="93">
        <v>0.6875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46"/>
      <c r="J6" s="9"/>
      <c r="K6" s="70" t="s">
        <v>82</v>
      </c>
      <c r="L6" s="70">
        <f>SUMIFS($A$11:$A$401,$B$11:$B$401,"CH",$F$11:$F$401,"4")</f>
        <v>0</v>
      </c>
      <c r="M6" s="70" t="s">
        <v>6</v>
      </c>
      <c r="N6" s="70">
        <f>SUMIFS($A$11:$A$401,$B$11:$B$401,"RT",$F$11:$F$401,"4")</f>
        <v>0</v>
      </c>
      <c r="O6" s="70" t="s">
        <v>13</v>
      </c>
    </row>
    <row r="7" spans="1:20" x14ac:dyDescent="0.3">
      <c r="A7" s="69" t="s">
        <v>69</v>
      </c>
      <c r="B7" s="96" t="s">
        <v>165</v>
      </c>
      <c r="C7" s="11" t="s">
        <v>24</v>
      </c>
      <c r="D7" s="12" t="s">
        <v>25</v>
      </c>
      <c r="E7" s="11" t="s">
        <v>70</v>
      </c>
      <c r="F7" s="12" t="s">
        <v>63</v>
      </c>
      <c r="G7" s="18" t="s">
        <v>197</v>
      </c>
      <c r="H7" s="118" t="s">
        <v>198</v>
      </c>
      <c r="I7" s="46"/>
      <c r="J7" s="9"/>
      <c r="K7" s="70" t="s">
        <v>83</v>
      </c>
      <c r="L7" s="70">
        <f>SUMIFS($A$11:$A$401,$B$11:$B$401,"CH",$F$11:$F$401,"5")</f>
        <v>0</v>
      </c>
      <c r="M7" s="70" t="s">
        <v>6</v>
      </c>
      <c r="N7" s="70">
        <f>SUMIFS($A$11:$A$401,$B$11:$B$401,"RT",$F$11:$F$401,"5")</f>
        <v>0</v>
      </c>
      <c r="O7" s="70" t="s">
        <v>13</v>
      </c>
    </row>
    <row r="8" spans="1:20" x14ac:dyDescent="0.3">
      <c r="A8" s="16" t="s">
        <v>23</v>
      </c>
      <c r="B8" s="97">
        <v>3</v>
      </c>
      <c r="C8" s="13" t="s">
        <v>64</v>
      </c>
      <c r="D8" s="12" t="s">
        <v>65</v>
      </c>
      <c r="E8" s="13" t="s">
        <v>67</v>
      </c>
      <c r="F8" s="12" t="s">
        <v>59</v>
      </c>
      <c r="G8" s="18" t="s">
        <v>55</v>
      </c>
      <c r="H8" s="15" t="s">
        <v>53</v>
      </c>
      <c r="I8" s="46"/>
      <c r="J8" s="9"/>
      <c r="K8" s="70" t="s">
        <v>84</v>
      </c>
      <c r="L8" s="70">
        <f>SUMIFS($A$11:$A$401,$B$11:$B$401,"CH",$F$11:$F$401,"6")</f>
        <v>0</v>
      </c>
      <c r="M8" s="70" t="s">
        <v>6</v>
      </c>
      <c r="N8" s="70">
        <f>SUMIFS($A$11:$A$401,$B$11:$B$401,"RT",$F$11:$F$401,"6")</f>
        <v>0</v>
      </c>
      <c r="O8" s="70" t="s">
        <v>13</v>
      </c>
    </row>
    <row r="9" spans="1:20" ht="15" thickBot="1" x14ac:dyDescent="0.35">
      <c r="A9" s="16" t="s">
        <v>26</v>
      </c>
      <c r="B9" s="98">
        <v>1</v>
      </c>
      <c r="C9" s="11" t="s">
        <v>29</v>
      </c>
      <c r="D9" s="12" t="s">
        <v>27</v>
      </c>
      <c r="E9" s="22" t="s">
        <v>30</v>
      </c>
      <c r="F9" s="12" t="s">
        <v>31</v>
      </c>
      <c r="G9" s="20" t="s">
        <v>56</v>
      </c>
      <c r="H9" s="119" t="s">
        <v>54</v>
      </c>
      <c r="I9" s="99"/>
      <c r="J9" s="29"/>
      <c r="K9" s="70" t="s">
        <v>85</v>
      </c>
      <c r="L9" s="70">
        <f>SUMIFS($A$11:$A$401,$B$11:$B$401,"CH",$F$11:$F$401,"7")</f>
        <v>0</v>
      </c>
      <c r="M9" s="70" t="s">
        <v>6</v>
      </c>
      <c r="N9" s="70">
        <f>SUMIFS($A$11:$A$401,$B$11:$B$401,"RT",$F$11:$F$401,"7")</f>
        <v>0</v>
      </c>
      <c r="O9" s="70" t="s">
        <v>13</v>
      </c>
    </row>
    <row r="10" spans="1:20" ht="15" thickTop="1" x14ac:dyDescent="0.3">
      <c r="A10" s="53" t="s">
        <v>28</v>
      </c>
      <c r="B10" s="21"/>
      <c r="C10" s="11" t="s">
        <v>32</v>
      </c>
      <c r="D10" s="12" t="s">
        <v>33</v>
      </c>
      <c r="E10" s="24" t="s">
        <v>34</v>
      </c>
      <c r="F10" s="25" t="s">
        <v>35</v>
      </c>
      <c r="G10" s="23" t="s">
        <v>199</v>
      </c>
      <c r="H10" s="9"/>
      <c r="I10" s="47" t="s">
        <v>36</v>
      </c>
      <c r="J10" s="8" t="s">
        <v>167</v>
      </c>
      <c r="K10" s="70" t="s">
        <v>86</v>
      </c>
      <c r="L10" s="70">
        <f>SUMIFS($A$11:$A$401,$B$11:$B$401,"CH",$F$11:$F$401,"8")</f>
        <v>0</v>
      </c>
      <c r="M10" s="70" t="s">
        <v>6</v>
      </c>
      <c r="N10" s="70">
        <f>SUMIFS($A$11:$A$401,$B$11:$B$401,"RT",$F$11:$F$401,"8")</f>
        <v>0</v>
      </c>
      <c r="O10" s="70" t="s">
        <v>13</v>
      </c>
    </row>
    <row r="11" spans="1:20" ht="15" thickBot="1" x14ac:dyDescent="0.35">
      <c r="A11" s="26"/>
      <c r="B11" s="27"/>
      <c r="C11" s="26" t="s">
        <v>37</v>
      </c>
      <c r="D11" s="28" t="s">
        <v>38</v>
      </c>
      <c r="E11" s="24" t="s">
        <v>39</v>
      </c>
      <c r="F11" s="28" t="s">
        <v>58</v>
      </c>
      <c r="G11" t="s">
        <v>51</v>
      </c>
      <c r="H11" s="28" t="s">
        <v>40</v>
      </c>
      <c r="I11" s="67"/>
      <c r="J11" s="29"/>
      <c r="K11" s="70" t="s">
        <v>87</v>
      </c>
      <c r="L11" s="70">
        <f>SUMIFS($A$11:$A$401,$B$11:$B$401,"CH",$F$11:$F$401,"9")</f>
        <v>0</v>
      </c>
      <c r="M11" s="70" t="s">
        <v>6</v>
      </c>
      <c r="N11" s="70">
        <f>SUMIFS($A$11:$A$401,$B$11:$B$401,"RT",$F$11:$F$401,"9")</f>
        <v>0</v>
      </c>
      <c r="O11" s="70" t="s">
        <v>13</v>
      </c>
    </row>
    <row r="12" spans="1:20" ht="15.6" thickTop="1" thickBot="1" x14ac:dyDescent="0.35">
      <c r="A12" s="30" t="s">
        <v>41</v>
      </c>
      <c r="B12" s="31" t="s">
        <v>42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50</v>
      </c>
      <c r="K12" s="70" t="s">
        <v>88</v>
      </c>
      <c r="L12" s="70">
        <f>SUMIFS($A$11:$A$401,$B$11:$B$401,"CH",$F$11:$F$401,"10")</f>
        <v>0</v>
      </c>
      <c r="M12" s="70" t="s">
        <v>6</v>
      </c>
      <c r="N12" s="70">
        <f>SUMIFS($A$11:$A$401,$B$11:$B$401,"RT",$F$11:$F$401,"10")</f>
        <v>0</v>
      </c>
      <c r="O12" s="70" t="s">
        <v>13</v>
      </c>
      <c r="P12" s="65"/>
      <c r="Q12" s="65"/>
      <c r="R12" s="65"/>
      <c r="S12" s="65"/>
      <c r="T12" s="65"/>
    </row>
    <row r="13" spans="1:20" ht="15" thickTop="1" x14ac:dyDescent="0.3">
      <c r="A13" s="32">
        <v>0</v>
      </c>
      <c r="B13" s="54"/>
      <c r="C13" s="33"/>
      <c r="D13" s="34"/>
      <c r="E13" s="33"/>
      <c r="F13" s="33">
        <v>1</v>
      </c>
      <c r="G13" s="33" t="s">
        <v>20</v>
      </c>
      <c r="H13" s="33"/>
      <c r="I13" s="58">
        <v>0.6875</v>
      </c>
      <c r="J13" s="35" t="s">
        <v>76</v>
      </c>
      <c r="K13" s="70" t="s">
        <v>89</v>
      </c>
      <c r="L13" s="70">
        <f>SUMIFS($A$11:$A$401,$B$11:$B$401,"CH",$F$11:$F$401,"11")</f>
        <v>0</v>
      </c>
      <c r="M13" s="70" t="s">
        <v>6</v>
      </c>
      <c r="N13" s="70">
        <f>SUMIFS($A$11:$A$401,$B$11:$B$401,"RT",$F$11:$F$401,"11")</f>
        <v>0</v>
      </c>
      <c r="O13" s="70" t="s">
        <v>13</v>
      </c>
      <c r="P13" s="65"/>
      <c r="Q13" s="65"/>
      <c r="R13" s="65"/>
      <c r="S13" s="65"/>
      <c r="T13" s="65"/>
    </row>
    <row r="14" spans="1:20" x14ac:dyDescent="0.3">
      <c r="A14" s="36">
        <v>0</v>
      </c>
      <c r="B14" s="55"/>
      <c r="C14" s="37"/>
      <c r="D14" s="38"/>
      <c r="E14" s="37"/>
      <c r="F14" s="37">
        <v>2</v>
      </c>
      <c r="G14" s="37" t="s">
        <v>58</v>
      </c>
      <c r="H14" s="37"/>
      <c r="I14" s="37"/>
      <c r="J14" s="35" t="s">
        <v>76</v>
      </c>
      <c r="K14" s="70" t="s">
        <v>90</v>
      </c>
      <c r="L14" s="70">
        <f>SUMIFS($A$11:$A$401,$B$11:$B$401,"CH",$F$11:$F$401,"12")</f>
        <v>0</v>
      </c>
      <c r="M14" s="70" t="s">
        <v>6</v>
      </c>
      <c r="N14" s="70">
        <f>SUMIFS($A$11:$A$401,$B$11:$B$401,"RT",$F$11:$F$401,"12")</f>
        <v>0</v>
      </c>
      <c r="O14" s="70" t="s">
        <v>13</v>
      </c>
      <c r="P14" s="65"/>
      <c r="Q14" s="65"/>
      <c r="R14" s="65"/>
      <c r="S14" s="65"/>
      <c r="T14" s="65"/>
    </row>
    <row r="15" spans="1:20" x14ac:dyDescent="0.3">
      <c r="A15" s="36">
        <v>0</v>
      </c>
      <c r="B15" s="55"/>
      <c r="C15" s="37"/>
      <c r="D15" s="37"/>
      <c r="E15" s="37"/>
      <c r="F15" s="37">
        <v>3</v>
      </c>
      <c r="G15" s="37" t="s">
        <v>20</v>
      </c>
      <c r="H15" s="37"/>
      <c r="I15" s="37"/>
      <c r="J15" s="35" t="s">
        <v>76</v>
      </c>
      <c r="K15" s="70" t="s">
        <v>91</v>
      </c>
      <c r="L15" s="70">
        <f>SUMIFS($A$11:$A$401,$B$11:$B$401,"CH",$F$11:$F$401,"13")</f>
        <v>0</v>
      </c>
      <c r="M15" s="70" t="s">
        <v>6</v>
      </c>
      <c r="N15" s="70">
        <f>SUMIFS($A$11:$A$401,$B$11:$B$401,"RT",$F$11:$F$401,"13")</f>
        <v>0</v>
      </c>
      <c r="O15" s="70" t="s">
        <v>13</v>
      </c>
      <c r="P15" s="65"/>
      <c r="Q15" s="65"/>
      <c r="R15" s="65"/>
      <c r="S15" s="65"/>
      <c r="T15" s="65"/>
    </row>
    <row r="16" spans="1:20" x14ac:dyDescent="0.3">
      <c r="A16" s="36">
        <v>0</v>
      </c>
      <c r="B16" s="55"/>
      <c r="C16" s="37"/>
      <c r="D16" s="37"/>
      <c r="E16" s="37"/>
      <c r="F16" s="37">
        <v>4</v>
      </c>
      <c r="G16" s="37" t="s">
        <v>58</v>
      </c>
      <c r="H16" s="37"/>
      <c r="I16" s="37"/>
      <c r="J16" s="35" t="s">
        <v>76</v>
      </c>
      <c r="K16" s="70" t="s">
        <v>92</v>
      </c>
      <c r="L16" s="70">
        <f>SUMIFS($A$11:$A$401,$B$11:$B$401,"CH",$F$11:$F$401,"14")</f>
        <v>0</v>
      </c>
      <c r="M16" s="70" t="s">
        <v>6</v>
      </c>
      <c r="N16" s="70">
        <f>SUMIFS($A$11:$A$401,$B$11:$B$401,"RT",$F$11:$F$401,"14")</f>
        <v>0</v>
      </c>
      <c r="O16" s="70" t="s">
        <v>13</v>
      </c>
      <c r="P16" s="65"/>
      <c r="Q16" s="65"/>
      <c r="R16" s="65"/>
      <c r="S16" s="65"/>
      <c r="T16" s="65"/>
    </row>
    <row r="17" spans="1:20" x14ac:dyDescent="0.3">
      <c r="A17" s="36">
        <v>0</v>
      </c>
      <c r="B17" s="55"/>
      <c r="C17" s="37"/>
      <c r="D17" s="37"/>
      <c r="E17" s="37"/>
      <c r="F17" s="37">
        <v>5</v>
      </c>
      <c r="G17" s="37" t="s">
        <v>20</v>
      </c>
      <c r="H17" s="37"/>
      <c r="I17" s="37"/>
      <c r="J17" s="35" t="s">
        <v>76</v>
      </c>
      <c r="K17" s="70" t="s">
        <v>93</v>
      </c>
      <c r="L17" s="70">
        <f>SUMIFS($A$11:$A$401,$B$11:$B$401,"CH",$F$11:$F$401,"15")</f>
        <v>0</v>
      </c>
      <c r="M17" s="70" t="s">
        <v>6</v>
      </c>
      <c r="N17" s="70">
        <f>SUMIFS($A$11:$A$401,$B$11:$B$401,"RT",$F$11:$F$401,"15")</f>
        <v>0</v>
      </c>
      <c r="O17" s="70" t="s">
        <v>13</v>
      </c>
      <c r="P17" s="65"/>
      <c r="Q17" s="65"/>
      <c r="R17" s="65"/>
      <c r="S17" s="65"/>
      <c r="T17" s="65"/>
    </row>
    <row r="18" spans="1:20" x14ac:dyDescent="0.3">
      <c r="A18" s="36">
        <v>0</v>
      </c>
      <c r="B18" s="55"/>
      <c r="C18" s="37"/>
      <c r="D18" s="37"/>
      <c r="E18" s="37"/>
      <c r="F18" s="37">
        <v>6</v>
      </c>
      <c r="G18" s="37" t="s">
        <v>58</v>
      </c>
      <c r="H18" s="37"/>
      <c r="I18" s="63">
        <v>0.73263888888888884</v>
      </c>
      <c r="J18" s="35" t="s">
        <v>76</v>
      </c>
      <c r="K18" s="70" t="s">
        <v>94</v>
      </c>
      <c r="L18" s="70">
        <f>SUMIFS($A$11:$A$401,$B$11:$B$401,"CH",$F$11:$F$401,"16")</f>
        <v>0</v>
      </c>
      <c r="M18" s="70" t="s">
        <v>6</v>
      </c>
      <c r="N18" s="70">
        <f>SUMIFS($A$11:$A$401,$B$11:$B$401,"RT",$F$11:$F$401,"16")</f>
        <v>0</v>
      </c>
      <c r="O18" s="70" t="s">
        <v>13</v>
      </c>
      <c r="P18" s="65"/>
      <c r="Q18" s="65"/>
      <c r="R18" s="65"/>
      <c r="S18" s="65"/>
      <c r="T18" s="65"/>
    </row>
    <row r="19" spans="1:20" x14ac:dyDescent="0.3">
      <c r="A19" s="36"/>
      <c r="B19" s="55"/>
      <c r="C19" s="37"/>
      <c r="D19" s="37"/>
      <c r="E19" s="37"/>
      <c r="F19" s="37"/>
      <c r="G19" s="37"/>
      <c r="H19" s="37"/>
      <c r="I19" s="37"/>
      <c r="J19" s="39"/>
      <c r="K19" s="70" t="s">
        <v>95</v>
      </c>
      <c r="L19" s="70">
        <f>SUMIFS($A$11:$A$401,$B$11:$B$401,"CH",$F$11:$F$401,"17")</f>
        <v>0</v>
      </c>
      <c r="M19" s="70" t="s">
        <v>6</v>
      </c>
      <c r="N19" s="70">
        <f>SUMIFS($A$11:$A$401,$B$11:$B$401,"RT",$F$11:$F$401,"17")</f>
        <v>0</v>
      </c>
      <c r="O19" s="70" t="s">
        <v>13</v>
      </c>
      <c r="P19" s="65"/>
      <c r="Q19" s="65"/>
      <c r="R19" s="66"/>
      <c r="S19" s="65"/>
      <c r="T19" s="65"/>
    </row>
    <row r="20" spans="1:20" x14ac:dyDescent="0.3">
      <c r="A20" s="36"/>
      <c r="B20" s="55"/>
      <c r="C20" s="37"/>
      <c r="D20" s="37"/>
      <c r="E20" s="37"/>
      <c r="F20" s="37"/>
      <c r="G20" s="37"/>
      <c r="H20" s="37"/>
      <c r="I20" s="37"/>
      <c r="J20" s="39"/>
      <c r="K20" s="70" t="s">
        <v>96</v>
      </c>
      <c r="L20" s="70">
        <f>SUMIFS($A$11:$A$401,$B$11:$B$401,"CH",$F$11:$F$401,"18")</f>
        <v>0</v>
      </c>
      <c r="M20" s="70" t="s">
        <v>6</v>
      </c>
      <c r="N20" s="70">
        <f>SUMIFS($A$11:$A$401,$B$11:$B$401,"RT",$F$11:$F$401,"18")</f>
        <v>0</v>
      </c>
      <c r="O20" s="70" t="s">
        <v>13</v>
      </c>
      <c r="P20" s="65"/>
      <c r="Q20" s="65"/>
      <c r="R20" s="65"/>
      <c r="S20" s="65"/>
      <c r="T20" s="65"/>
    </row>
    <row r="21" spans="1:20" x14ac:dyDescent="0.3">
      <c r="A21" s="36"/>
      <c r="B21" s="55"/>
      <c r="C21" s="37"/>
      <c r="D21" s="37"/>
      <c r="E21" s="37"/>
      <c r="F21" s="37"/>
      <c r="G21" s="37"/>
      <c r="H21" s="37"/>
      <c r="I21" s="37"/>
      <c r="J21" s="39"/>
      <c r="K21" s="70" t="s">
        <v>97</v>
      </c>
      <c r="L21" s="70">
        <f>SUMIFS($A$11:$A$401,$B$11:$B$401,"CH",$F$11:$F$401,"19")</f>
        <v>0</v>
      </c>
      <c r="M21" s="70" t="s">
        <v>6</v>
      </c>
      <c r="N21" s="70">
        <f>SUMIFS($A$11:$A$401,$B$11:$B$401,"RT",$F$11:$F$401,"19")</f>
        <v>0</v>
      </c>
      <c r="O21" s="70" t="s">
        <v>13</v>
      </c>
      <c r="P21" s="65"/>
      <c r="Q21" s="65"/>
      <c r="R21" s="65"/>
      <c r="S21" s="65"/>
      <c r="T21" s="65"/>
    </row>
    <row r="22" spans="1:20" x14ac:dyDescent="0.3">
      <c r="A22" s="36"/>
      <c r="B22" s="55"/>
      <c r="C22" s="37"/>
      <c r="D22" s="37"/>
      <c r="E22" s="37"/>
      <c r="F22" s="37"/>
      <c r="G22" s="37"/>
      <c r="H22" s="37"/>
      <c r="I22" s="37"/>
      <c r="J22" s="39"/>
      <c r="K22" s="70" t="s">
        <v>98</v>
      </c>
      <c r="L22" s="70">
        <f>SUMIFS($A$11:$A$401,$B$11:$B$401,"CH",$F$11:$F$401,"20")</f>
        <v>0</v>
      </c>
      <c r="M22" s="70" t="s">
        <v>6</v>
      </c>
      <c r="N22" s="70">
        <f>SUMIFS($A$11:$A$401,$B$11:$B$401,"RT",$F$11:$F$401,"20")</f>
        <v>0</v>
      </c>
      <c r="O22" s="70" t="s">
        <v>13</v>
      </c>
    </row>
    <row r="23" spans="1:20" x14ac:dyDescent="0.3">
      <c r="A23" s="36"/>
      <c r="B23" s="55"/>
      <c r="C23" s="37"/>
      <c r="D23" s="37"/>
      <c r="E23" s="37"/>
      <c r="F23" s="37"/>
      <c r="G23" s="37"/>
      <c r="H23" s="37"/>
      <c r="I23" s="37"/>
      <c r="J23" s="39"/>
      <c r="K23" s="70" t="s">
        <v>99</v>
      </c>
      <c r="L23" s="70">
        <f>SUMIFS($A$11:$A$401,$B$11:$B$401,"CH",$F$11:$F$401,"21")</f>
        <v>0</v>
      </c>
      <c r="M23" s="70" t="s">
        <v>6</v>
      </c>
      <c r="N23" s="70">
        <f>SUMIFS($A$11:$A$401,$B$11:$B$401,"RT",$F$11:$F$401,"21")</f>
        <v>0</v>
      </c>
      <c r="O23" s="70" t="s">
        <v>13</v>
      </c>
    </row>
    <row r="24" spans="1:20" x14ac:dyDescent="0.3">
      <c r="A24" s="36"/>
      <c r="B24" s="55"/>
      <c r="C24" s="37"/>
      <c r="D24" s="37"/>
      <c r="E24" s="37"/>
      <c r="F24" s="37"/>
      <c r="G24" s="37"/>
      <c r="H24" s="37"/>
      <c r="I24" s="37"/>
      <c r="J24" s="39"/>
      <c r="K24" s="70" t="s">
        <v>100</v>
      </c>
      <c r="L24" s="70">
        <f>SUMIFS($A$11:$A$401,$B$11:$B$401,"CH",$F$11:$F$401,"22")</f>
        <v>0</v>
      </c>
      <c r="M24" s="70" t="s">
        <v>6</v>
      </c>
      <c r="N24" s="70">
        <f>SUMIFS($A$11:$A$401,$B$11:$B$401,"RT",$F$11:$F$401,"22")</f>
        <v>0</v>
      </c>
      <c r="O24" s="70" t="s">
        <v>13</v>
      </c>
    </row>
    <row r="25" spans="1:20" x14ac:dyDescent="0.3">
      <c r="A25" s="36"/>
      <c r="B25" s="55"/>
      <c r="C25" s="37"/>
      <c r="D25" s="37"/>
      <c r="E25" s="37"/>
      <c r="F25" s="37"/>
      <c r="G25" s="37"/>
      <c r="H25" s="37"/>
      <c r="I25" s="37"/>
      <c r="J25" s="39"/>
      <c r="K25" s="70" t="s">
        <v>101</v>
      </c>
      <c r="L25" s="70">
        <f>SUMIFS($A$11:$A$401,$B$11:$B$401,"CH",$F$11:$F$401,"23")</f>
        <v>0</v>
      </c>
      <c r="M25" s="70" t="s">
        <v>6</v>
      </c>
      <c r="N25" s="70">
        <f>SUMIFS($A$11:$A$401,$B$11:$B$401,"RT",$F$11:$F$401,"23")</f>
        <v>0</v>
      </c>
      <c r="O25" s="70" t="s">
        <v>13</v>
      </c>
    </row>
    <row r="26" spans="1:20" x14ac:dyDescent="0.3">
      <c r="A26" s="36"/>
      <c r="B26" s="55"/>
      <c r="C26" s="37"/>
      <c r="D26" s="37"/>
      <c r="E26" s="37"/>
      <c r="F26" s="37"/>
      <c r="G26" s="37"/>
      <c r="H26" s="37"/>
      <c r="I26" s="37"/>
      <c r="J26" s="39"/>
      <c r="K26" s="70" t="s">
        <v>102</v>
      </c>
      <c r="L26" s="70">
        <f>SUMIFS($A$11:$A$401,$B$11:$B$401,"CH",$F$11:$F$401,"24")</f>
        <v>0</v>
      </c>
      <c r="M26" s="70" t="s">
        <v>6</v>
      </c>
      <c r="N26" s="70">
        <f>SUMIFS($A$11:$A$401,$B$11:$B$401,"RT",$F$11:$F$401,"24")</f>
        <v>0</v>
      </c>
      <c r="O26" s="70" t="s">
        <v>13</v>
      </c>
    </row>
    <row r="27" spans="1:20" x14ac:dyDescent="0.3">
      <c r="A27" s="36"/>
      <c r="B27" s="55"/>
      <c r="C27" s="37"/>
      <c r="D27" s="37"/>
      <c r="E27" s="37"/>
      <c r="F27" s="37"/>
      <c r="G27" s="37"/>
      <c r="H27" s="37"/>
      <c r="I27" s="37"/>
      <c r="J27" s="39"/>
      <c r="K27" s="70" t="s">
        <v>103</v>
      </c>
      <c r="L27" s="70">
        <f>SUMIFS($A$11:$A$401,$B$11:$B$401,"CH",$F$11:$F$401,"25")</f>
        <v>0</v>
      </c>
      <c r="M27" s="70" t="s">
        <v>6</v>
      </c>
      <c r="N27" s="70">
        <f>SUMIFS($A$11:$A$401,$B$11:$B$401,"RT",$F$11:$F$401,"25")</f>
        <v>0</v>
      </c>
      <c r="O27" s="70" t="s">
        <v>13</v>
      </c>
    </row>
    <row r="28" spans="1:20" x14ac:dyDescent="0.3">
      <c r="A28" s="36"/>
      <c r="B28" s="55"/>
      <c r="C28" s="37"/>
      <c r="D28" s="37"/>
      <c r="E28" s="37"/>
      <c r="F28" s="37"/>
      <c r="G28" s="37"/>
      <c r="H28" s="37"/>
      <c r="I28" s="37"/>
      <c r="J28" s="39"/>
      <c r="K28" s="70" t="s">
        <v>104</v>
      </c>
      <c r="L28" s="70">
        <f>SUMIFS($A$11:$A$401,$B$11:$B$401,"CH",$F$11:$F$401,"26")</f>
        <v>0</v>
      </c>
      <c r="M28" s="70" t="s">
        <v>6</v>
      </c>
      <c r="N28" s="70">
        <f>SUMIFS($A$11:$A$401,$B$11:$B$401,"RT",$F$11:$F$401,"26")</f>
        <v>0</v>
      </c>
      <c r="O28" s="70" t="s">
        <v>13</v>
      </c>
    </row>
    <row r="29" spans="1:20" x14ac:dyDescent="0.3">
      <c r="A29" s="36"/>
      <c r="B29" s="55"/>
      <c r="C29" s="37"/>
      <c r="D29" s="37"/>
      <c r="E29" s="37"/>
      <c r="F29" s="37"/>
      <c r="G29" s="37"/>
      <c r="H29" s="37"/>
      <c r="I29" s="37"/>
      <c r="J29" s="39"/>
      <c r="K29" s="70" t="s">
        <v>105</v>
      </c>
      <c r="L29" s="70">
        <f>SUMIFS($A$11:$A$401,$B$11:$B$401,"CH",$F$11:$F$401,"27")</f>
        <v>0</v>
      </c>
      <c r="M29" s="70" t="s">
        <v>6</v>
      </c>
      <c r="N29" s="70">
        <f>SUMIFS($A$11:$A$401,$B$11:$B$401,"RT",$F$11:$F$401,"27")</f>
        <v>0</v>
      </c>
      <c r="O29" s="70" t="s">
        <v>13</v>
      </c>
    </row>
    <row r="30" spans="1:20" x14ac:dyDescent="0.3">
      <c r="A30" s="36"/>
      <c r="B30" s="55"/>
      <c r="C30" s="37"/>
      <c r="D30" s="37"/>
      <c r="E30" s="37"/>
      <c r="F30" s="37"/>
      <c r="G30" s="37"/>
      <c r="H30" s="37"/>
      <c r="I30" s="37"/>
      <c r="J30" s="39"/>
      <c r="K30" s="70" t="s">
        <v>106</v>
      </c>
      <c r="L30" s="70">
        <f>SUMIFS($A$11:$A$401,$B$11:$B$401,"CH",$F$11:$F$401,"28")</f>
        <v>0</v>
      </c>
      <c r="M30" s="70" t="s">
        <v>6</v>
      </c>
      <c r="N30" s="70">
        <f>SUMIFS($A$11:$A$401,$B$11:$B$401,"RT",$F$11:$F$401,"28")</f>
        <v>0</v>
      </c>
      <c r="O30" s="70" t="s">
        <v>13</v>
      </c>
    </row>
    <row r="31" spans="1:20" x14ac:dyDescent="0.3">
      <c r="A31" s="36"/>
      <c r="B31" s="55"/>
      <c r="C31" s="37"/>
      <c r="D31" s="37"/>
      <c r="E31" s="37"/>
      <c r="F31" s="37"/>
      <c r="G31" s="37"/>
      <c r="H31" s="37"/>
      <c r="I31" s="37"/>
      <c r="J31" s="39"/>
      <c r="K31" s="70" t="s">
        <v>107</v>
      </c>
      <c r="L31" s="70">
        <f>SUMIFS($A$11:$A$401,$B$11:$B$401,"CH",$F$11:$F$401,"29")</f>
        <v>0</v>
      </c>
      <c r="M31" s="70" t="s">
        <v>6</v>
      </c>
      <c r="N31" s="70">
        <f>SUMIFS($A$11:$A$401,$B$11:$B$401,"RT",$F$11:$F$401,"29")</f>
        <v>0</v>
      </c>
      <c r="O31" s="70" t="s">
        <v>13</v>
      </c>
    </row>
    <row r="32" spans="1:20" ht="15" thickBot="1" x14ac:dyDescent="0.35">
      <c r="A32" s="40"/>
      <c r="B32" s="56"/>
      <c r="C32" s="41"/>
      <c r="D32" s="41"/>
      <c r="E32" s="41"/>
      <c r="F32" s="41"/>
      <c r="G32" s="41"/>
      <c r="H32" s="41"/>
      <c r="I32" s="42"/>
      <c r="J32" s="19"/>
      <c r="K32" s="70" t="s">
        <v>108</v>
      </c>
      <c r="L32" s="70">
        <f>SUMIFS($A$11:$A$401,$B$11:$B$401,"CH",$F$11:$F$401,"30")</f>
        <v>0</v>
      </c>
      <c r="M32" s="70" t="s">
        <v>6</v>
      </c>
      <c r="N32" s="70">
        <f>SUMIFS($A$11:$A$401,$B$11:$B$401,"RT",$F$11:$F$401,"30")</f>
        <v>0</v>
      </c>
      <c r="O32" s="70" t="s">
        <v>13</v>
      </c>
    </row>
    <row r="33" spans="11:15" ht="15" thickTop="1" x14ac:dyDescent="0.3">
      <c r="K33" s="70" t="s">
        <v>109</v>
      </c>
      <c r="L33" s="70">
        <f>SUMIFS($A$11:$A$401,$B$11:$B$401,"CH",$F$11:$F$401,"31")</f>
        <v>0</v>
      </c>
      <c r="M33" s="70" t="s">
        <v>6</v>
      </c>
      <c r="N33" s="70">
        <f>SUMIFS($A$11:$A$401,$B$11:$B$401,"RT",$F$11:$F$401,"31")</f>
        <v>0</v>
      </c>
      <c r="O33" s="70" t="s">
        <v>13</v>
      </c>
    </row>
    <row r="34" spans="11:15" x14ac:dyDescent="0.3">
      <c r="K34" s="70" t="s">
        <v>110</v>
      </c>
      <c r="L34" s="70">
        <f>SUMIFS($A$11:$A$401,$B$11:$B$401,"CH",$F$11:$F$401,"32")</f>
        <v>0</v>
      </c>
      <c r="M34" s="70" t="s">
        <v>6</v>
      </c>
      <c r="N34" s="70">
        <f>SUMIFS($A$11:$A$401,$B$11:$B$401,"RT",$F$11:$F$401,"32")</f>
        <v>0</v>
      </c>
      <c r="O34" s="70" t="s">
        <v>13</v>
      </c>
    </row>
    <row r="35" spans="11:15" x14ac:dyDescent="0.3">
      <c r="K35" s="70" t="s">
        <v>111</v>
      </c>
      <c r="L35" s="70">
        <f>SUMIFS($A$11:$A$401,$B$11:$B$401,"CH",$F$11:$F$401,"33")</f>
        <v>0</v>
      </c>
      <c r="M35" s="70" t="s">
        <v>6</v>
      </c>
      <c r="N35" s="70">
        <f>SUMIFS($A$11:$A$401,$B$11:$B$401,"RT",$F$11:$F$401,"33")</f>
        <v>0</v>
      </c>
      <c r="O35" s="70" t="s">
        <v>13</v>
      </c>
    </row>
    <row r="36" spans="11:15" x14ac:dyDescent="0.3">
      <c r="K36" s="70" t="s">
        <v>112</v>
      </c>
      <c r="L36" s="70">
        <f>SUMIFS($A$11:$A$401,$B$11:$B$401,"CH",$F$11:$F$401,"34")</f>
        <v>0</v>
      </c>
      <c r="M36" s="70" t="s">
        <v>6</v>
      </c>
      <c r="N36" s="70">
        <f>SUMIFS($A$11:$A$401,$B$11:$B$401,"RT",$F$11:$F$401,"34")</f>
        <v>0</v>
      </c>
      <c r="O36" s="70" t="s">
        <v>13</v>
      </c>
    </row>
    <row r="37" spans="11:15" x14ac:dyDescent="0.3">
      <c r="K37" s="70" t="s">
        <v>113</v>
      </c>
      <c r="L37" s="70">
        <f>SUMIFS($A$11:$A$401,$B$11:$B$401,"CH",$F$11:$F$401,"35")</f>
        <v>0</v>
      </c>
      <c r="M37" s="70" t="s">
        <v>6</v>
      </c>
      <c r="N37" s="70">
        <f>SUMIFS($A$11:$A$401,$B$11:$B$401,"RT",$F$11:$F$401,"35")</f>
        <v>0</v>
      </c>
      <c r="O37" s="70" t="s">
        <v>13</v>
      </c>
    </row>
    <row r="38" spans="11:15" x14ac:dyDescent="0.3">
      <c r="K38" s="70" t="s">
        <v>114</v>
      </c>
      <c r="L38" s="70">
        <f>SUMIFS($A$11:$A$401,$B$11:$B$401,"CH",$F$11:$F$401,"36")</f>
        <v>0</v>
      </c>
      <c r="M38" s="70" t="s">
        <v>6</v>
      </c>
      <c r="N38" s="70">
        <f>SUMIFS($A$11:$A$401,$B$11:$B$401,"RT",$F$11:$F$401,"36")</f>
        <v>0</v>
      </c>
      <c r="O38" s="70" t="s">
        <v>13</v>
      </c>
    </row>
    <row r="39" spans="11:15" x14ac:dyDescent="0.3">
      <c r="K39" s="70" t="s">
        <v>115</v>
      </c>
      <c r="L39" s="70">
        <f>SUMIFS($A$11:$A$401,$B$11:$B$401,"CH",$F$11:$F$401,"37")</f>
        <v>0</v>
      </c>
      <c r="M39" s="70" t="s">
        <v>6</v>
      </c>
      <c r="N39" s="70">
        <f>SUMIFS($A$11:$A$401,$B$11:$B$401,"RT",$F$11:$F$401,"37")</f>
        <v>0</v>
      </c>
      <c r="O39" s="70" t="s">
        <v>13</v>
      </c>
    </row>
    <row r="40" spans="11:15" x14ac:dyDescent="0.3">
      <c r="K40" s="70" t="s">
        <v>116</v>
      </c>
      <c r="L40" s="70">
        <f>SUMIFS($A$11:$A$401,$B$11:$B$401,"CH",$F$11:$F$401,"38")</f>
        <v>0</v>
      </c>
      <c r="M40" s="70" t="s">
        <v>6</v>
      </c>
      <c r="N40" s="70">
        <f>SUMIFS($A$11:$A$401,$B$11:$B$401,"RT",$F$11:$F$401,"38")</f>
        <v>0</v>
      </c>
      <c r="O40" s="70" t="s">
        <v>13</v>
      </c>
    </row>
    <row r="41" spans="11:15" x14ac:dyDescent="0.3">
      <c r="K41" s="70" t="s">
        <v>117</v>
      </c>
      <c r="L41" s="70">
        <f>SUMIFS($A$11:$A$401,$B$11:$B$401,"CH",$F$11:$F$401,"39")</f>
        <v>0</v>
      </c>
      <c r="M41" s="70" t="s">
        <v>6</v>
      </c>
      <c r="N41" s="70">
        <f>SUMIFS($A$11:$A$401,$B$11:$B$401,"RT",$F$11:$F$401,"39")</f>
        <v>0</v>
      </c>
      <c r="O41" s="70" t="s">
        <v>13</v>
      </c>
    </row>
    <row r="42" spans="11:15" x14ac:dyDescent="0.3">
      <c r="K42" s="70" t="s">
        <v>118</v>
      </c>
      <c r="L42" s="70">
        <f>SUMIFS($A$11:$A$401,$B$11:$B$401,"CH",$F$11:$F$401,"40")</f>
        <v>0</v>
      </c>
      <c r="M42" s="70" t="s">
        <v>6</v>
      </c>
      <c r="N42" s="70">
        <f>SUMIFS($A$11:$A$401,$B$11:$B$401,"RT",$F$11:$F$401,"40")</f>
        <v>0</v>
      </c>
      <c r="O42" s="70" t="s">
        <v>13</v>
      </c>
    </row>
    <row r="43" spans="11:15" x14ac:dyDescent="0.3">
      <c r="K43" s="70" t="s">
        <v>119</v>
      </c>
      <c r="L43" s="70">
        <f>SUMIFS($A$11:$A$401,$B$11:$B$401,"CH",$F$11:$F$401,"41")</f>
        <v>0</v>
      </c>
      <c r="M43" s="70" t="s">
        <v>6</v>
      </c>
      <c r="N43" s="70">
        <f>SUMIFS($A$11:$A$401,$B$11:$B$401,"RT",$F$11:$F$401,"41")</f>
        <v>0</v>
      </c>
      <c r="O43" s="70" t="s">
        <v>13</v>
      </c>
    </row>
    <row r="44" spans="11:15" x14ac:dyDescent="0.3">
      <c r="K44" s="70"/>
      <c r="L44" s="70">
        <f>SUMIFS($A$11:$A$401,$B$11:$B$401,"CH",$F$11:$F$401,"")</f>
        <v>0</v>
      </c>
      <c r="M44" s="70" t="s">
        <v>6</v>
      </c>
      <c r="N44" s="70">
        <f>SUMIFS($A$11:$A$401,$B$11:$B$401,"RT",$F$11:$F$401,"")</f>
        <v>0</v>
      </c>
      <c r="O44" s="70" t="s">
        <v>13</v>
      </c>
    </row>
    <row r="45" spans="11:15" x14ac:dyDescent="0.3">
      <c r="K45" s="70" t="s">
        <v>120</v>
      </c>
      <c r="L45" s="70">
        <f>SUM(L3:L44)</f>
        <v>0</v>
      </c>
      <c r="M45" s="70" t="s">
        <v>6</v>
      </c>
      <c r="N45" s="70">
        <f>SUM(N3:N44)</f>
        <v>0</v>
      </c>
      <c r="O45" s="70" t="s">
        <v>13</v>
      </c>
    </row>
    <row r="46" spans="11:15" x14ac:dyDescent="0.3">
      <c r="K46" s="70"/>
      <c r="L46" s="70"/>
      <c r="M46" s="70"/>
      <c r="N46" s="70"/>
    </row>
    <row r="47" spans="11:15" x14ac:dyDescent="0.3">
      <c r="K47" s="70"/>
      <c r="N47" s="70"/>
    </row>
    <row r="48" spans="11:15" x14ac:dyDescent="0.3">
      <c r="K48" s="70"/>
      <c r="N48" s="70"/>
    </row>
    <row r="49" spans="11:14" x14ac:dyDescent="0.3">
      <c r="K49" s="70"/>
      <c r="N49" s="70"/>
    </row>
    <row r="50" spans="11:14" x14ac:dyDescent="0.3">
      <c r="K50" s="70"/>
      <c r="N50" s="70"/>
    </row>
    <row r="51" spans="11:14" x14ac:dyDescent="0.3">
      <c r="K51" s="70"/>
      <c r="N51" s="70"/>
    </row>
    <row r="52" spans="11:14" x14ac:dyDescent="0.3">
      <c r="K52" s="70"/>
      <c r="N52" s="70"/>
    </row>
    <row r="53" spans="11:14" x14ac:dyDescent="0.3">
      <c r="K53" s="70"/>
      <c r="N53" s="70"/>
    </row>
    <row r="54" spans="11:14" x14ac:dyDescent="0.3">
      <c r="K54" s="70"/>
      <c r="N54" s="70"/>
    </row>
    <row r="55" spans="11:14" x14ac:dyDescent="0.3">
      <c r="K55" s="70"/>
      <c r="N55" s="70"/>
    </row>
    <row r="56" spans="11:14" x14ac:dyDescent="0.3">
      <c r="K56" s="70"/>
      <c r="N56" s="70"/>
    </row>
    <row r="57" spans="11:14" x14ac:dyDescent="0.3">
      <c r="K57" s="70"/>
      <c r="N57" s="70"/>
    </row>
    <row r="58" spans="11:14" x14ac:dyDescent="0.3">
      <c r="K58" s="70"/>
      <c r="N58" s="70"/>
    </row>
    <row r="59" spans="11:14" x14ac:dyDescent="0.3">
      <c r="K59" s="70"/>
      <c r="N59" s="70"/>
    </row>
    <row r="60" spans="11:14" x14ac:dyDescent="0.3">
      <c r="K60" s="70"/>
      <c r="N60" s="70"/>
    </row>
    <row r="61" spans="11:14" x14ac:dyDescent="0.3">
      <c r="K61" s="70"/>
      <c r="N61" s="70"/>
    </row>
    <row r="62" spans="11:14" x14ac:dyDescent="0.3">
      <c r="K62" s="70"/>
      <c r="N62" s="70"/>
    </row>
    <row r="63" spans="11:14" x14ac:dyDescent="0.3">
      <c r="K63" s="70"/>
      <c r="N63" s="70"/>
    </row>
    <row r="64" spans="11:14" x14ac:dyDescent="0.3">
      <c r="K64" s="70"/>
      <c r="N64" s="70"/>
    </row>
    <row r="65" spans="11:14" x14ac:dyDescent="0.3">
      <c r="K65" s="70"/>
      <c r="N65" s="70"/>
    </row>
    <row r="66" spans="11:14" x14ac:dyDescent="0.3">
      <c r="K66" s="70"/>
      <c r="N66" s="70"/>
    </row>
    <row r="67" spans="11:14" x14ac:dyDescent="0.3">
      <c r="K67" s="70"/>
      <c r="N67" s="70"/>
    </row>
    <row r="68" spans="11:14" x14ac:dyDescent="0.3">
      <c r="K68" s="70"/>
      <c r="N68" s="70"/>
    </row>
    <row r="69" spans="11:14" x14ac:dyDescent="0.3">
      <c r="K69" s="70"/>
      <c r="N69" s="70"/>
    </row>
    <row r="70" spans="11:14" x14ac:dyDescent="0.3">
      <c r="K70" s="70"/>
      <c r="N70" s="70"/>
    </row>
    <row r="71" spans="11:14" x14ac:dyDescent="0.3">
      <c r="K71" s="70"/>
      <c r="N71" s="70"/>
    </row>
    <row r="72" spans="11:14" x14ac:dyDescent="0.3">
      <c r="K72" s="70"/>
      <c r="N72" s="70"/>
    </row>
    <row r="73" spans="11:14" x14ac:dyDescent="0.3">
      <c r="K73" s="70"/>
      <c r="N73" s="70"/>
    </row>
    <row r="74" spans="11:14" x14ac:dyDescent="0.3">
      <c r="K74" s="70"/>
      <c r="N74" s="70"/>
    </row>
    <row r="75" spans="11:14" x14ac:dyDescent="0.3">
      <c r="K75" s="70"/>
      <c r="N75" s="70"/>
    </row>
    <row r="76" spans="11:14" x14ac:dyDescent="0.3">
      <c r="K76" s="70"/>
      <c r="N76" s="70"/>
    </row>
    <row r="77" spans="11:14" x14ac:dyDescent="0.3">
      <c r="K77" s="70"/>
      <c r="N77" s="70"/>
    </row>
    <row r="78" spans="11:14" x14ac:dyDescent="0.3">
      <c r="K78" s="70"/>
      <c r="N78" s="70"/>
    </row>
    <row r="79" spans="11:14" x14ac:dyDescent="0.3">
      <c r="K79" s="70"/>
      <c r="N79" s="70"/>
    </row>
    <row r="80" spans="11:14" x14ac:dyDescent="0.3">
      <c r="K80" s="70"/>
      <c r="N80" s="70"/>
    </row>
    <row r="81" spans="11:14" x14ac:dyDescent="0.3">
      <c r="K81" s="70"/>
      <c r="N81" s="70"/>
    </row>
    <row r="82" spans="11:14" x14ac:dyDescent="0.3">
      <c r="K82" s="70"/>
      <c r="N82" s="70"/>
    </row>
    <row r="83" spans="11:14" x14ac:dyDescent="0.3">
      <c r="K83" s="70"/>
      <c r="N83" s="70"/>
    </row>
    <row r="84" spans="11:14" x14ac:dyDescent="0.3">
      <c r="K84" s="70"/>
      <c r="N84" s="70"/>
    </row>
    <row r="85" spans="11:14" x14ac:dyDescent="0.3">
      <c r="K85" s="70"/>
      <c r="N85" s="70"/>
    </row>
    <row r="86" spans="11:14" x14ac:dyDescent="0.3">
      <c r="K86" s="70"/>
      <c r="N86" s="70"/>
    </row>
    <row r="87" spans="11:14" x14ac:dyDescent="0.3">
      <c r="K87" s="70"/>
      <c r="N87" s="70"/>
    </row>
    <row r="88" spans="11:14" x14ac:dyDescent="0.3">
      <c r="K88" s="70"/>
      <c r="N88" s="70"/>
    </row>
    <row r="89" spans="11:14" x14ac:dyDescent="0.3">
      <c r="K89" s="71"/>
      <c r="N89" s="7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7564-2573-4EDD-984C-8AE559EF8D34}">
  <dimension ref="A1:T89"/>
  <sheetViews>
    <sheetView zoomScaleNormal="100" workbookViewId="0">
      <selection activeCell="G3" sqref="G3:H11"/>
    </sheetView>
  </sheetViews>
  <sheetFormatPr defaultRowHeight="14.4" x14ac:dyDescent="0.3"/>
  <cols>
    <col min="2" max="2" width="9.5546875" bestFit="1" customWidth="1"/>
    <col min="3" max="3" width="11.6640625" customWidth="1"/>
    <col min="7" max="7" width="16" customWidth="1"/>
    <col min="9" max="9" width="10.6640625" customWidth="1"/>
    <col min="10" max="10" width="10.88671875" customWidth="1"/>
    <col min="11" max="11" width="8.109375" customWidth="1"/>
    <col min="12" max="12" width="8.6640625" customWidth="1"/>
    <col min="13" max="15" width="8.44140625" customWidth="1"/>
  </cols>
  <sheetData>
    <row r="1" spans="1:20" ht="15.6" thickTop="1" thickBot="1" x14ac:dyDescent="0.35">
      <c r="A1" s="1"/>
      <c r="B1" s="2"/>
      <c r="C1" s="2"/>
      <c r="D1" s="3" t="s">
        <v>157</v>
      </c>
      <c r="E1" s="2"/>
      <c r="F1" s="2"/>
      <c r="G1" s="2"/>
      <c r="H1" s="4"/>
      <c r="I1" s="50" t="s">
        <v>71</v>
      </c>
      <c r="J1" s="68" t="s">
        <v>164</v>
      </c>
      <c r="K1" s="72" t="s">
        <v>121</v>
      </c>
      <c r="L1" s="45"/>
      <c r="M1" s="46"/>
      <c r="N1" s="46"/>
    </row>
    <row r="2" spans="1:20" ht="15.6" thickTop="1" thickBot="1" x14ac:dyDescent="0.35">
      <c r="A2" s="50" t="s">
        <v>52</v>
      </c>
      <c r="B2" s="2"/>
      <c r="C2" s="2"/>
      <c r="D2" s="3"/>
      <c r="E2" s="2"/>
      <c r="F2" s="2"/>
      <c r="G2" s="6"/>
      <c r="H2" s="43"/>
      <c r="I2" s="50" t="s">
        <v>61</v>
      </c>
      <c r="J2" s="5" t="s">
        <v>62</v>
      </c>
      <c r="K2" s="45" t="s">
        <v>46</v>
      </c>
      <c r="L2" s="45" t="s">
        <v>41</v>
      </c>
      <c r="M2" s="45" t="s">
        <v>42</v>
      </c>
      <c r="N2" s="45" t="s">
        <v>46</v>
      </c>
      <c r="O2" s="45" t="s">
        <v>42</v>
      </c>
    </row>
    <row r="3" spans="1:20" ht="15.6" thickTop="1" thickBot="1" x14ac:dyDescent="0.35">
      <c r="A3" s="51" t="s">
        <v>4</v>
      </c>
      <c r="B3" s="45">
        <v>851</v>
      </c>
      <c r="C3" s="7" t="s">
        <v>1</v>
      </c>
      <c r="D3" s="8"/>
      <c r="E3" s="7" t="s">
        <v>2</v>
      </c>
      <c r="F3" s="9"/>
      <c r="G3" s="10" t="s">
        <v>3</v>
      </c>
      <c r="H3" s="8"/>
      <c r="I3" s="46" t="s">
        <v>73</v>
      </c>
      <c r="J3" s="9"/>
      <c r="K3" s="70" t="s">
        <v>79</v>
      </c>
      <c r="L3" s="70">
        <f>SUMIFS($A$11:$A$401,$B$11:$B$401,"CH",$F$11:$F$401,"1")</f>
        <v>0</v>
      </c>
      <c r="M3" s="70" t="s">
        <v>6</v>
      </c>
      <c r="N3" s="70">
        <f>SUMIFS($A$11:$A$401,$B$11:$B$401,"RT",$F$11:$F$401,"1")</f>
        <v>0</v>
      </c>
      <c r="O3" s="70" t="s">
        <v>13</v>
      </c>
    </row>
    <row r="4" spans="1:20" ht="15.6" thickTop="1" thickBot="1" x14ac:dyDescent="0.35">
      <c r="A4" s="50" t="s">
        <v>0</v>
      </c>
      <c r="B4" s="4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46" t="s">
        <v>159</v>
      </c>
      <c r="J4" s="9"/>
      <c r="K4" s="70" t="s">
        <v>80</v>
      </c>
      <c r="L4" s="70">
        <f>SUMIFS($A$11:$A$401,$B$11:$B$401,"CH",$F$11:$F$401,"2")</f>
        <v>0</v>
      </c>
      <c r="M4" s="70" t="s">
        <v>6</v>
      </c>
      <c r="N4" s="70">
        <f>SUMIFS($A$11:$A$401,$B$11:$B$401,"RT",$F$11:$F$401,"2")</f>
        <v>0</v>
      </c>
      <c r="O4" s="70" t="s">
        <v>13</v>
      </c>
    </row>
    <row r="5" spans="1:20" ht="15" thickTop="1" x14ac:dyDescent="0.3">
      <c r="A5" s="49" t="s">
        <v>11</v>
      </c>
      <c r="B5" s="111">
        <v>44097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68</v>
      </c>
      <c r="H5" s="15" t="s">
        <v>16</v>
      </c>
      <c r="I5" s="46" t="s">
        <v>60</v>
      </c>
      <c r="J5" s="9"/>
      <c r="K5" s="70" t="s">
        <v>81</v>
      </c>
      <c r="L5" s="70">
        <f>SUMIFS($A$11:$A$401,$B$11:$B$401,"CH",$F$11:$F$401,"3")</f>
        <v>0</v>
      </c>
      <c r="M5" s="70" t="s">
        <v>6</v>
      </c>
      <c r="N5" s="70">
        <f>SUMIFS($A$11:$A$401,$B$11:$B$401,"RT",$F$11:$F$401,"3")</f>
        <v>0</v>
      </c>
      <c r="O5" s="70" t="s">
        <v>13</v>
      </c>
    </row>
    <row r="6" spans="1:20" x14ac:dyDescent="0.3">
      <c r="A6" s="48" t="s">
        <v>57</v>
      </c>
      <c r="B6" s="93">
        <v>0.625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46"/>
      <c r="J6" s="9"/>
      <c r="K6" s="70" t="s">
        <v>82</v>
      </c>
      <c r="L6" s="70">
        <f>SUMIFS($A$11:$A$401,$B$11:$B$401,"CH",$F$11:$F$401,"4")</f>
        <v>0</v>
      </c>
      <c r="M6" s="70" t="s">
        <v>6</v>
      </c>
      <c r="N6" s="70">
        <f>SUMIFS($A$11:$A$401,$B$11:$B$401,"RT",$F$11:$F$401,"4")</f>
        <v>0</v>
      </c>
      <c r="O6" s="70" t="s">
        <v>13</v>
      </c>
    </row>
    <row r="7" spans="1:20" x14ac:dyDescent="0.3">
      <c r="A7" s="69" t="s">
        <v>69</v>
      </c>
      <c r="B7" s="96"/>
      <c r="C7" s="11" t="s">
        <v>24</v>
      </c>
      <c r="D7" s="12" t="s">
        <v>25</v>
      </c>
      <c r="E7" s="11" t="s">
        <v>70</v>
      </c>
      <c r="F7" s="12" t="s">
        <v>63</v>
      </c>
      <c r="G7" s="18" t="s">
        <v>197</v>
      </c>
      <c r="H7" s="118" t="s">
        <v>198</v>
      </c>
      <c r="I7" s="46"/>
      <c r="J7" s="9"/>
      <c r="K7" s="70" t="s">
        <v>83</v>
      </c>
      <c r="L7" s="70">
        <f>SUMIFS($A$11:$A$401,$B$11:$B$401,"CH",$F$11:$F$401,"5")</f>
        <v>0</v>
      </c>
      <c r="M7" s="70" t="s">
        <v>6</v>
      </c>
      <c r="N7" s="70">
        <f>SUMIFS($A$11:$A$401,$B$11:$B$401,"RT",$F$11:$F$401,"5")</f>
        <v>0</v>
      </c>
      <c r="O7" s="70" t="s">
        <v>13</v>
      </c>
    </row>
    <row r="8" spans="1:20" x14ac:dyDescent="0.3">
      <c r="A8" s="16" t="s">
        <v>23</v>
      </c>
      <c r="B8" s="97">
        <v>3</v>
      </c>
      <c r="C8" s="13" t="s">
        <v>64</v>
      </c>
      <c r="D8" s="12" t="s">
        <v>65</v>
      </c>
      <c r="E8" s="13" t="s">
        <v>67</v>
      </c>
      <c r="F8" s="12" t="s">
        <v>59</v>
      </c>
      <c r="G8" s="18" t="s">
        <v>55</v>
      </c>
      <c r="H8" s="15" t="s">
        <v>53</v>
      </c>
      <c r="I8" s="46"/>
      <c r="J8" s="9"/>
      <c r="K8" s="70" t="s">
        <v>84</v>
      </c>
      <c r="L8" s="70">
        <f>SUMIFS($A$11:$A$401,$B$11:$B$401,"CH",$F$11:$F$401,"6")</f>
        <v>0</v>
      </c>
      <c r="M8" s="70" t="s">
        <v>6</v>
      </c>
      <c r="N8" s="70">
        <f>SUMIFS($A$11:$A$401,$B$11:$B$401,"RT",$F$11:$F$401,"6")</f>
        <v>0</v>
      </c>
      <c r="O8" s="70" t="s">
        <v>13</v>
      </c>
    </row>
    <row r="9" spans="1:20" ht="15" thickBot="1" x14ac:dyDescent="0.35">
      <c r="A9" s="16" t="s">
        <v>26</v>
      </c>
      <c r="B9" s="98">
        <v>1</v>
      </c>
      <c r="C9" s="11" t="s">
        <v>29</v>
      </c>
      <c r="D9" s="12" t="s">
        <v>27</v>
      </c>
      <c r="E9" s="22" t="s">
        <v>30</v>
      </c>
      <c r="F9" s="12" t="s">
        <v>31</v>
      </c>
      <c r="G9" s="20" t="s">
        <v>56</v>
      </c>
      <c r="H9" s="119" t="s">
        <v>54</v>
      </c>
      <c r="I9" s="99"/>
      <c r="J9" s="29"/>
      <c r="K9" s="70" t="s">
        <v>85</v>
      </c>
      <c r="L9" s="70">
        <f>SUMIFS($A$11:$A$401,$B$11:$B$401,"CH",$F$11:$F$401,"7")</f>
        <v>0</v>
      </c>
      <c r="M9" s="70" t="s">
        <v>6</v>
      </c>
      <c r="N9" s="70">
        <f>SUMIFS($A$11:$A$401,$B$11:$B$401,"RT",$F$11:$F$401,"7")</f>
        <v>0</v>
      </c>
      <c r="O9" s="70" t="s">
        <v>13</v>
      </c>
    </row>
    <row r="10" spans="1:20" ht="15" thickTop="1" x14ac:dyDescent="0.3">
      <c r="A10" s="53" t="s">
        <v>28</v>
      </c>
      <c r="B10" s="21"/>
      <c r="C10" s="11" t="s">
        <v>32</v>
      </c>
      <c r="D10" s="12" t="s">
        <v>33</v>
      </c>
      <c r="E10" s="24" t="s">
        <v>34</v>
      </c>
      <c r="F10" s="25" t="s">
        <v>35</v>
      </c>
      <c r="G10" s="23" t="s">
        <v>199</v>
      </c>
      <c r="H10" s="9"/>
      <c r="I10" s="47" t="s">
        <v>36</v>
      </c>
      <c r="J10" s="8" t="s">
        <v>168</v>
      </c>
      <c r="K10" s="70" t="s">
        <v>86</v>
      </c>
      <c r="L10" s="70">
        <f>SUMIFS($A$11:$A$401,$B$11:$B$401,"CH",$F$11:$F$401,"8")</f>
        <v>0</v>
      </c>
      <c r="M10" s="70" t="s">
        <v>6</v>
      </c>
      <c r="N10" s="70">
        <f>SUMIFS($A$11:$A$401,$B$11:$B$401,"RT",$F$11:$F$401,"8")</f>
        <v>0</v>
      </c>
      <c r="O10" s="70" t="s">
        <v>13</v>
      </c>
    </row>
    <row r="11" spans="1:20" ht="15" thickBot="1" x14ac:dyDescent="0.35">
      <c r="A11" s="26"/>
      <c r="B11" s="27"/>
      <c r="C11" s="26" t="s">
        <v>37</v>
      </c>
      <c r="D11" s="28" t="s">
        <v>38</v>
      </c>
      <c r="E11" s="24" t="s">
        <v>39</v>
      </c>
      <c r="F11" s="28" t="s">
        <v>58</v>
      </c>
      <c r="G11" t="s">
        <v>51</v>
      </c>
      <c r="H11" s="28" t="s">
        <v>40</v>
      </c>
      <c r="I11" s="67"/>
      <c r="J11" s="29"/>
      <c r="K11" s="70" t="s">
        <v>87</v>
      </c>
      <c r="L11" s="70">
        <f>SUMIFS($A$11:$A$401,$B$11:$B$401,"CH",$F$11:$F$401,"9")</f>
        <v>0</v>
      </c>
      <c r="M11" s="70" t="s">
        <v>6</v>
      </c>
      <c r="N11" s="70">
        <f>SUMIFS($A$11:$A$401,$B$11:$B$401,"RT",$F$11:$F$401,"9")</f>
        <v>0</v>
      </c>
      <c r="O11" s="70" t="s">
        <v>13</v>
      </c>
    </row>
    <row r="12" spans="1:20" ht="15.6" thickTop="1" thickBot="1" x14ac:dyDescent="0.35">
      <c r="A12" s="30" t="s">
        <v>41</v>
      </c>
      <c r="B12" s="31" t="s">
        <v>42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50</v>
      </c>
      <c r="K12" s="70" t="s">
        <v>88</v>
      </c>
      <c r="L12" s="70">
        <f>SUMIFS($A$11:$A$401,$B$11:$B$401,"CH",$F$11:$F$401,"10")</f>
        <v>0</v>
      </c>
      <c r="M12" s="70" t="s">
        <v>6</v>
      </c>
      <c r="N12" s="70">
        <f>SUMIFS($A$11:$A$401,$B$11:$B$401,"RT",$F$11:$F$401,"10")</f>
        <v>0</v>
      </c>
      <c r="O12" s="70" t="s">
        <v>13</v>
      </c>
      <c r="P12" s="65"/>
      <c r="Q12" s="65"/>
      <c r="R12" s="65"/>
      <c r="S12" s="65"/>
      <c r="T12" s="65"/>
    </row>
    <row r="13" spans="1:20" ht="15" thickTop="1" x14ac:dyDescent="0.3">
      <c r="A13" s="32">
        <v>0</v>
      </c>
      <c r="B13" s="54"/>
      <c r="C13" s="33"/>
      <c r="D13" s="34"/>
      <c r="E13" s="33"/>
      <c r="F13" s="33">
        <v>1</v>
      </c>
      <c r="G13" s="33"/>
      <c r="H13" s="33"/>
      <c r="I13" s="58">
        <v>0.625</v>
      </c>
      <c r="J13" s="35" t="s">
        <v>76</v>
      </c>
      <c r="K13" s="70" t="s">
        <v>89</v>
      </c>
      <c r="L13" s="70">
        <f>SUMIFS($A$11:$A$401,$B$11:$B$401,"CH",$F$11:$F$401,"11")</f>
        <v>0</v>
      </c>
      <c r="M13" s="70" t="s">
        <v>6</v>
      </c>
      <c r="N13" s="70">
        <f>SUMIFS($A$11:$A$401,$B$11:$B$401,"RT",$F$11:$F$401,"11")</f>
        <v>0</v>
      </c>
      <c r="O13" s="70" t="s">
        <v>13</v>
      </c>
      <c r="P13" s="65"/>
      <c r="Q13" s="65"/>
      <c r="R13" s="65"/>
      <c r="S13" s="65"/>
      <c r="T13" s="65"/>
    </row>
    <row r="14" spans="1:20" x14ac:dyDescent="0.3">
      <c r="A14" s="36">
        <v>0</v>
      </c>
      <c r="B14" s="55"/>
      <c r="C14" s="37"/>
      <c r="D14" s="38"/>
      <c r="E14" s="37"/>
      <c r="F14" s="37">
        <v>2</v>
      </c>
      <c r="G14" s="37"/>
      <c r="H14" s="37"/>
      <c r="I14" s="37"/>
      <c r="J14" s="39" t="s">
        <v>171</v>
      </c>
      <c r="K14" s="70" t="s">
        <v>90</v>
      </c>
      <c r="L14" s="70">
        <f>SUMIFS($A$11:$A$401,$B$11:$B$401,"CH",$F$11:$F$401,"12")</f>
        <v>0</v>
      </c>
      <c r="M14" s="70" t="s">
        <v>6</v>
      </c>
      <c r="N14" s="70">
        <f>SUMIFS($A$11:$A$401,$B$11:$B$401,"RT",$F$11:$F$401,"12")</f>
        <v>0</v>
      </c>
      <c r="O14" s="70" t="s">
        <v>13</v>
      </c>
      <c r="P14" s="65"/>
      <c r="Q14" s="65"/>
      <c r="R14" s="65"/>
      <c r="S14" s="65"/>
      <c r="T14" s="65"/>
    </row>
    <row r="15" spans="1:20" x14ac:dyDescent="0.3">
      <c r="A15" s="36">
        <v>0</v>
      </c>
      <c r="B15" s="55"/>
      <c r="C15" s="37"/>
      <c r="D15" s="37"/>
      <c r="E15" s="37"/>
      <c r="F15" s="37">
        <v>3</v>
      </c>
      <c r="G15" s="37"/>
      <c r="H15" s="37"/>
      <c r="I15" s="37"/>
      <c r="J15" s="39" t="s">
        <v>76</v>
      </c>
      <c r="K15" s="70" t="s">
        <v>91</v>
      </c>
      <c r="L15" s="70">
        <f>SUMIFS($A$11:$A$401,$B$11:$B$401,"CH",$F$11:$F$401,"13")</f>
        <v>0</v>
      </c>
      <c r="M15" s="70" t="s">
        <v>6</v>
      </c>
      <c r="N15" s="70">
        <f>SUMIFS($A$11:$A$401,$B$11:$B$401,"RT",$F$11:$F$401,"13")</f>
        <v>0</v>
      </c>
      <c r="O15" s="70" t="s">
        <v>13</v>
      </c>
      <c r="P15" s="65"/>
      <c r="Q15" s="65"/>
      <c r="R15" s="65"/>
      <c r="S15" s="65"/>
      <c r="T15" s="65"/>
    </row>
    <row r="16" spans="1:20" x14ac:dyDescent="0.3">
      <c r="A16" s="36">
        <v>1</v>
      </c>
      <c r="B16" s="55" t="s">
        <v>65</v>
      </c>
      <c r="C16" s="37">
        <v>175</v>
      </c>
      <c r="D16" s="37" t="s">
        <v>60</v>
      </c>
      <c r="E16" s="37"/>
      <c r="F16" s="37">
        <v>4</v>
      </c>
      <c r="G16" s="37" t="s">
        <v>162</v>
      </c>
      <c r="H16" s="37"/>
      <c r="I16" s="37"/>
      <c r="J16" s="39"/>
      <c r="K16" s="70" t="s">
        <v>92</v>
      </c>
      <c r="L16" s="70">
        <f>SUMIFS($A$11:$A$401,$B$11:$B$401,"CH",$F$11:$F$401,"14")</f>
        <v>0</v>
      </c>
      <c r="M16" s="70" t="s">
        <v>6</v>
      </c>
      <c r="N16" s="70">
        <f>SUMIFS($A$11:$A$401,$B$11:$B$401,"RT",$F$11:$F$401,"14")</f>
        <v>0</v>
      </c>
      <c r="O16" s="70" t="s">
        <v>13</v>
      </c>
      <c r="P16" s="65"/>
      <c r="Q16" s="65"/>
      <c r="R16" s="65"/>
      <c r="S16" s="65"/>
      <c r="T16" s="65"/>
    </row>
    <row r="17" spans="1:20" x14ac:dyDescent="0.3">
      <c r="A17" s="36">
        <v>0</v>
      </c>
      <c r="B17" s="55"/>
      <c r="C17" s="37"/>
      <c r="D17" s="37"/>
      <c r="E17" s="37"/>
      <c r="F17" s="37">
        <v>5</v>
      </c>
      <c r="G17" s="37"/>
      <c r="H17" s="37"/>
      <c r="I17" s="37"/>
      <c r="J17" s="39" t="s">
        <v>76</v>
      </c>
      <c r="K17" s="70" t="s">
        <v>93</v>
      </c>
      <c r="L17" s="70">
        <f>SUMIFS($A$11:$A$401,$B$11:$B$401,"CH",$F$11:$F$401,"15")</f>
        <v>0</v>
      </c>
      <c r="M17" s="70" t="s">
        <v>6</v>
      </c>
      <c r="N17" s="70">
        <f>SUMIFS($A$11:$A$401,$B$11:$B$401,"RT",$F$11:$F$401,"15")</f>
        <v>0</v>
      </c>
      <c r="O17" s="70" t="s">
        <v>13</v>
      </c>
      <c r="P17" s="65"/>
      <c r="Q17" s="65"/>
      <c r="R17" s="65"/>
      <c r="S17" s="65"/>
      <c r="T17" s="65"/>
    </row>
    <row r="18" spans="1:20" x14ac:dyDescent="0.3">
      <c r="A18" s="36">
        <v>0</v>
      </c>
      <c r="B18" s="55"/>
      <c r="C18" s="37"/>
      <c r="D18" s="37"/>
      <c r="E18" s="37"/>
      <c r="F18" s="37">
        <v>6</v>
      </c>
      <c r="G18" s="37"/>
      <c r="H18" s="37"/>
      <c r="I18" s="37"/>
      <c r="J18" s="39" t="s">
        <v>76</v>
      </c>
      <c r="K18" s="70" t="s">
        <v>94</v>
      </c>
      <c r="L18" s="70">
        <f>SUMIFS($A$11:$A$401,$B$11:$B$401,"CH",$F$11:$F$401,"16")</f>
        <v>0</v>
      </c>
      <c r="M18" s="70" t="s">
        <v>6</v>
      </c>
      <c r="N18" s="70">
        <f>SUMIFS($A$11:$A$401,$B$11:$B$401,"RT",$F$11:$F$401,"16")</f>
        <v>0</v>
      </c>
      <c r="O18" s="70" t="s">
        <v>13</v>
      </c>
      <c r="P18" s="65"/>
      <c r="Q18" s="65"/>
      <c r="R18" s="65"/>
      <c r="S18" s="65"/>
      <c r="T18" s="65"/>
    </row>
    <row r="19" spans="1:20" x14ac:dyDescent="0.3">
      <c r="A19" s="36">
        <v>0</v>
      </c>
      <c r="B19" s="55"/>
      <c r="C19" s="37"/>
      <c r="D19" s="37"/>
      <c r="E19" s="37"/>
      <c r="F19" s="37">
        <v>7</v>
      </c>
      <c r="G19" s="37"/>
      <c r="H19" s="37"/>
      <c r="I19" s="37"/>
      <c r="J19" s="39" t="s">
        <v>76</v>
      </c>
      <c r="K19" s="70" t="s">
        <v>95</v>
      </c>
      <c r="L19" s="70">
        <f>SUMIFS($A$11:$A$401,$B$11:$B$401,"CH",$F$11:$F$401,"17")</f>
        <v>0</v>
      </c>
      <c r="M19" s="70" t="s">
        <v>6</v>
      </c>
      <c r="N19" s="70">
        <f>SUMIFS($A$11:$A$401,$B$11:$B$401,"RT",$F$11:$F$401,"17")</f>
        <v>0</v>
      </c>
      <c r="O19" s="70" t="s">
        <v>13</v>
      </c>
      <c r="P19" s="65"/>
      <c r="Q19" s="65"/>
      <c r="R19" s="66"/>
      <c r="S19" s="65"/>
      <c r="T19" s="65"/>
    </row>
    <row r="20" spans="1:20" x14ac:dyDescent="0.3">
      <c r="A20" s="36"/>
      <c r="B20" s="55"/>
      <c r="C20" s="37"/>
      <c r="D20" s="37"/>
      <c r="E20" s="37"/>
      <c r="F20" s="37"/>
      <c r="G20" s="37"/>
      <c r="H20" s="37"/>
      <c r="I20" s="37"/>
      <c r="J20" s="39"/>
      <c r="K20" s="70" t="s">
        <v>96</v>
      </c>
      <c r="L20" s="70">
        <f>SUMIFS($A$11:$A$401,$B$11:$B$401,"CH",$F$11:$F$401,"18")</f>
        <v>0</v>
      </c>
      <c r="M20" s="70" t="s">
        <v>6</v>
      </c>
      <c r="N20" s="70">
        <f>SUMIFS($A$11:$A$401,$B$11:$B$401,"RT",$F$11:$F$401,"18")</f>
        <v>0</v>
      </c>
      <c r="O20" s="70" t="s">
        <v>13</v>
      </c>
      <c r="P20" s="65"/>
      <c r="Q20" s="65"/>
      <c r="R20" s="65"/>
      <c r="S20" s="65"/>
      <c r="T20" s="65"/>
    </row>
    <row r="21" spans="1:20" x14ac:dyDescent="0.3">
      <c r="A21" s="36"/>
      <c r="B21" s="55"/>
      <c r="C21" s="37"/>
      <c r="D21" s="37"/>
      <c r="E21" s="37"/>
      <c r="F21" s="37"/>
      <c r="G21" s="37"/>
      <c r="H21" s="37"/>
      <c r="I21" s="37"/>
      <c r="J21" s="39"/>
      <c r="K21" s="70" t="s">
        <v>97</v>
      </c>
      <c r="L21" s="70">
        <f>SUMIFS($A$11:$A$401,$B$11:$B$401,"CH",$F$11:$F$401,"19")</f>
        <v>0</v>
      </c>
      <c r="M21" s="70" t="s">
        <v>6</v>
      </c>
      <c r="N21" s="70">
        <f>SUMIFS($A$11:$A$401,$B$11:$B$401,"RT",$F$11:$F$401,"19")</f>
        <v>0</v>
      </c>
      <c r="O21" s="70" t="s">
        <v>13</v>
      </c>
      <c r="P21" s="65"/>
      <c r="Q21" s="65"/>
      <c r="R21" s="65"/>
      <c r="S21" s="65"/>
      <c r="T21" s="65"/>
    </row>
    <row r="22" spans="1:20" x14ac:dyDescent="0.3">
      <c r="A22" s="36"/>
      <c r="B22" s="55"/>
      <c r="C22" s="37"/>
      <c r="D22" s="37"/>
      <c r="E22" s="37"/>
      <c r="F22" s="37"/>
      <c r="G22" s="37"/>
      <c r="H22" s="37"/>
      <c r="I22" s="37"/>
      <c r="J22" s="39"/>
      <c r="K22" s="70" t="s">
        <v>98</v>
      </c>
      <c r="L22" s="70">
        <f>SUMIFS($A$11:$A$401,$B$11:$B$401,"CH",$F$11:$F$401,"20")</f>
        <v>0</v>
      </c>
      <c r="M22" s="70" t="s">
        <v>6</v>
      </c>
      <c r="N22" s="70">
        <f>SUMIFS($A$11:$A$401,$B$11:$B$401,"RT",$F$11:$F$401,"20")</f>
        <v>0</v>
      </c>
      <c r="O22" s="70" t="s">
        <v>13</v>
      </c>
    </row>
    <row r="23" spans="1:20" x14ac:dyDescent="0.3">
      <c r="A23" s="36"/>
      <c r="B23" s="55"/>
      <c r="C23" s="37"/>
      <c r="D23" s="37"/>
      <c r="E23" s="37"/>
      <c r="F23" s="37"/>
      <c r="G23" s="37"/>
      <c r="H23" s="37"/>
      <c r="I23" s="37"/>
      <c r="J23" s="39"/>
      <c r="K23" s="70" t="s">
        <v>99</v>
      </c>
      <c r="L23" s="70">
        <f>SUMIFS($A$11:$A$401,$B$11:$B$401,"CH",$F$11:$F$401,"21")</f>
        <v>0</v>
      </c>
      <c r="M23" s="70" t="s">
        <v>6</v>
      </c>
      <c r="N23" s="70">
        <f>SUMIFS($A$11:$A$401,$B$11:$B$401,"RT",$F$11:$F$401,"21")</f>
        <v>0</v>
      </c>
      <c r="O23" s="70" t="s">
        <v>13</v>
      </c>
    </row>
    <row r="24" spans="1:20" x14ac:dyDescent="0.3">
      <c r="A24" s="36"/>
      <c r="B24" s="55"/>
      <c r="C24" s="37"/>
      <c r="D24" s="37"/>
      <c r="E24" s="37"/>
      <c r="F24" s="37"/>
      <c r="G24" s="37"/>
      <c r="H24" s="37"/>
      <c r="I24" s="37"/>
      <c r="J24" s="39"/>
      <c r="K24" s="70" t="s">
        <v>100</v>
      </c>
      <c r="L24" s="70">
        <f>SUMIFS($A$11:$A$401,$B$11:$B$401,"CH",$F$11:$F$401,"22")</f>
        <v>0</v>
      </c>
      <c r="M24" s="70" t="s">
        <v>6</v>
      </c>
      <c r="N24" s="70">
        <f>SUMIFS($A$11:$A$401,$B$11:$B$401,"RT",$F$11:$F$401,"22")</f>
        <v>0</v>
      </c>
      <c r="O24" s="70" t="s">
        <v>13</v>
      </c>
    </row>
    <row r="25" spans="1:20" x14ac:dyDescent="0.3">
      <c r="A25" s="36"/>
      <c r="B25" s="55"/>
      <c r="C25" s="37"/>
      <c r="D25" s="37"/>
      <c r="E25" s="37"/>
      <c r="F25" s="37"/>
      <c r="G25" s="37"/>
      <c r="H25" s="37"/>
      <c r="I25" s="37"/>
      <c r="J25" s="39"/>
      <c r="K25" s="70" t="s">
        <v>101</v>
      </c>
      <c r="L25" s="70">
        <f>SUMIFS($A$11:$A$401,$B$11:$B$401,"CH",$F$11:$F$401,"23")</f>
        <v>0</v>
      </c>
      <c r="M25" s="70" t="s">
        <v>6</v>
      </c>
      <c r="N25" s="70">
        <f>SUMIFS($A$11:$A$401,$B$11:$B$401,"RT",$F$11:$F$401,"23")</f>
        <v>0</v>
      </c>
      <c r="O25" s="70" t="s">
        <v>13</v>
      </c>
    </row>
    <row r="26" spans="1:20" x14ac:dyDescent="0.3">
      <c r="A26" s="36"/>
      <c r="B26" s="55"/>
      <c r="C26" s="37"/>
      <c r="D26" s="37"/>
      <c r="E26" s="37"/>
      <c r="F26" s="37"/>
      <c r="G26" s="37"/>
      <c r="H26" s="37"/>
      <c r="I26" s="37"/>
      <c r="J26" s="39"/>
      <c r="K26" s="70" t="s">
        <v>102</v>
      </c>
      <c r="L26" s="70">
        <f>SUMIFS($A$11:$A$401,$B$11:$B$401,"CH",$F$11:$F$401,"24")</f>
        <v>0</v>
      </c>
      <c r="M26" s="70" t="s">
        <v>6</v>
      </c>
      <c r="N26" s="70">
        <f>SUMIFS($A$11:$A$401,$B$11:$B$401,"RT",$F$11:$F$401,"24")</f>
        <v>0</v>
      </c>
      <c r="O26" s="70" t="s">
        <v>13</v>
      </c>
    </row>
    <row r="27" spans="1:20" x14ac:dyDescent="0.3">
      <c r="A27" s="36"/>
      <c r="B27" s="55"/>
      <c r="C27" s="37"/>
      <c r="D27" s="37"/>
      <c r="E27" s="37"/>
      <c r="F27" s="37"/>
      <c r="G27" s="37"/>
      <c r="H27" s="37"/>
      <c r="I27" s="37"/>
      <c r="J27" s="39"/>
      <c r="K27" s="70" t="s">
        <v>103</v>
      </c>
      <c r="L27" s="70">
        <f>SUMIFS($A$11:$A$401,$B$11:$B$401,"CH",$F$11:$F$401,"25")</f>
        <v>0</v>
      </c>
      <c r="M27" s="70" t="s">
        <v>6</v>
      </c>
      <c r="N27" s="70">
        <f>SUMIFS($A$11:$A$401,$B$11:$B$401,"RT",$F$11:$F$401,"25")</f>
        <v>0</v>
      </c>
      <c r="O27" s="70" t="s">
        <v>13</v>
      </c>
    </row>
    <row r="28" spans="1:20" x14ac:dyDescent="0.3">
      <c r="A28" s="36"/>
      <c r="B28" s="55"/>
      <c r="C28" s="37"/>
      <c r="D28" s="37"/>
      <c r="E28" s="37"/>
      <c r="F28" s="37"/>
      <c r="G28" s="37"/>
      <c r="H28" s="37"/>
      <c r="I28" s="37"/>
      <c r="J28" s="39"/>
      <c r="K28" s="70" t="s">
        <v>104</v>
      </c>
      <c r="L28" s="70">
        <f>SUMIFS($A$11:$A$401,$B$11:$B$401,"CH",$F$11:$F$401,"26")</f>
        <v>0</v>
      </c>
      <c r="M28" s="70" t="s">
        <v>6</v>
      </c>
      <c r="N28" s="70">
        <f>SUMIFS($A$11:$A$401,$B$11:$B$401,"RT",$F$11:$F$401,"26")</f>
        <v>0</v>
      </c>
      <c r="O28" s="70" t="s">
        <v>13</v>
      </c>
    </row>
    <row r="29" spans="1:20" x14ac:dyDescent="0.3">
      <c r="A29" s="36"/>
      <c r="B29" s="55"/>
      <c r="C29" s="37"/>
      <c r="D29" s="37"/>
      <c r="E29" s="37"/>
      <c r="F29" s="37"/>
      <c r="G29" s="37"/>
      <c r="H29" s="37"/>
      <c r="I29" s="37"/>
      <c r="J29" s="39"/>
      <c r="K29" s="70" t="s">
        <v>105</v>
      </c>
      <c r="L29" s="70">
        <f>SUMIFS($A$11:$A$401,$B$11:$B$401,"CH",$F$11:$F$401,"27")</f>
        <v>0</v>
      </c>
      <c r="M29" s="70" t="s">
        <v>6</v>
      </c>
      <c r="N29" s="70">
        <f>SUMIFS($A$11:$A$401,$B$11:$B$401,"RT",$F$11:$F$401,"27")</f>
        <v>0</v>
      </c>
      <c r="O29" s="70" t="s">
        <v>13</v>
      </c>
    </row>
    <row r="30" spans="1:20" x14ac:dyDescent="0.3">
      <c r="A30" s="36"/>
      <c r="B30" s="55"/>
      <c r="C30" s="37"/>
      <c r="D30" s="37"/>
      <c r="E30" s="37"/>
      <c r="F30" s="37"/>
      <c r="G30" s="37"/>
      <c r="H30" s="37"/>
      <c r="I30" s="37"/>
      <c r="J30" s="39"/>
      <c r="K30" s="70" t="s">
        <v>106</v>
      </c>
      <c r="L30" s="70">
        <f>SUMIFS($A$11:$A$401,$B$11:$B$401,"CH",$F$11:$F$401,"28")</f>
        <v>0</v>
      </c>
      <c r="M30" s="70" t="s">
        <v>6</v>
      </c>
      <c r="N30" s="70">
        <f>SUMIFS($A$11:$A$401,$B$11:$B$401,"RT",$F$11:$F$401,"28")</f>
        <v>0</v>
      </c>
      <c r="O30" s="70" t="s">
        <v>13</v>
      </c>
    </row>
    <row r="31" spans="1:20" x14ac:dyDescent="0.3">
      <c r="A31" s="36"/>
      <c r="B31" s="55"/>
      <c r="C31" s="37"/>
      <c r="D31" s="37"/>
      <c r="E31" s="37"/>
      <c r="F31" s="37"/>
      <c r="G31" s="37"/>
      <c r="H31" s="37"/>
      <c r="I31" s="37"/>
      <c r="J31" s="39"/>
      <c r="K31" s="70" t="s">
        <v>107</v>
      </c>
      <c r="L31" s="70">
        <f>SUMIFS($A$11:$A$401,$B$11:$B$401,"CH",$F$11:$F$401,"29")</f>
        <v>0</v>
      </c>
      <c r="M31" s="70" t="s">
        <v>6</v>
      </c>
      <c r="N31" s="70">
        <f>SUMIFS($A$11:$A$401,$B$11:$B$401,"RT",$F$11:$F$401,"29")</f>
        <v>0</v>
      </c>
      <c r="O31" s="70" t="s">
        <v>13</v>
      </c>
    </row>
    <row r="32" spans="1:20" ht="15" thickBot="1" x14ac:dyDescent="0.35">
      <c r="A32" s="40"/>
      <c r="B32" s="56"/>
      <c r="C32" s="41"/>
      <c r="D32" s="41"/>
      <c r="E32" s="41"/>
      <c r="F32" s="41"/>
      <c r="G32" s="41"/>
      <c r="H32" s="41"/>
      <c r="I32" s="42"/>
      <c r="J32" s="19"/>
      <c r="K32" s="70" t="s">
        <v>108</v>
      </c>
      <c r="L32" s="70">
        <f>SUMIFS($A$11:$A$401,$B$11:$B$401,"CH",$F$11:$F$401,"30")</f>
        <v>0</v>
      </c>
      <c r="M32" s="70" t="s">
        <v>6</v>
      </c>
      <c r="N32" s="70">
        <f>SUMIFS($A$11:$A$401,$B$11:$B$401,"RT",$F$11:$F$401,"30")</f>
        <v>0</v>
      </c>
      <c r="O32" s="70" t="s">
        <v>13</v>
      </c>
    </row>
    <row r="33" spans="11:15" ht="15" thickTop="1" x14ac:dyDescent="0.3">
      <c r="K33" s="70" t="s">
        <v>109</v>
      </c>
      <c r="L33" s="70">
        <f>SUMIFS($A$11:$A$401,$B$11:$B$401,"CH",$F$11:$F$401,"31")</f>
        <v>0</v>
      </c>
      <c r="M33" s="70" t="s">
        <v>6</v>
      </c>
      <c r="N33" s="70">
        <f>SUMIFS($A$11:$A$401,$B$11:$B$401,"RT",$F$11:$F$401,"31")</f>
        <v>0</v>
      </c>
      <c r="O33" s="70" t="s">
        <v>13</v>
      </c>
    </row>
    <row r="34" spans="11:15" x14ac:dyDescent="0.3">
      <c r="K34" s="70" t="s">
        <v>110</v>
      </c>
      <c r="L34" s="70">
        <f>SUMIFS($A$11:$A$401,$B$11:$B$401,"CH",$F$11:$F$401,"32")</f>
        <v>0</v>
      </c>
      <c r="M34" s="70" t="s">
        <v>6</v>
      </c>
      <c r="N34" s="70">
        <f>SUMIFS($A$11:$A$401,$B$11:$B$401,"RT",$F$11:$F$401,"32")</f>
        <v>0</v>
      </c>
      <c r="O34" s="70" t="s">
        <v>13</v>
      </c>
    </row>
    <row r="35" spans="11:15" x14ac:dyDescent="0.3">
      <c r="K35" s="70" t="s">
        <v>111</v>
      </c>
      <c r="L35" s="70">
        <f>SUMIFS($A$11:$A$401,$B$11:$B$401,"CH",$F$11:$F$401,"33")</f>
        <v>0</v>
      </c>
      <c r="M35" s="70" t="s">
        <v>6</v>
      </c>
      <c r="N35" s="70">
        <f>SUMIFS($A$11:$A$401,$B$11:$B$401,"RT",$F$11:$F$401,"33")</f>
        <v>0</v>
      </c>
      <c r="O35" s="70" t="s">
        <v>13</v>
      </c>
    </row>
    <row r="36" spans="11:15" x14ac:dyDescent="0.3">
      <c r="K36" s="70" t="s">
        <v>112</v>
      </c>
      <c r="L36" s="70">
        <f>SUMIFS($A$11:$A$401,$B$11:$B$401,"CH",$F$11:$F$401,"34")</f>
        <v>0</v>
      </c>
      <c r="M36" s="70" t="s">
        <v>6</v>
      </c>
      <c r="N36" s="70">
        <f>SUMIFS($A$11:$A$401,$B$11:$B$401,"RT",$F$11:$F$401,"34")</f>
        <v>0</v>
      </c>
      <c r="O36" s="70" t="s">
        <v>13</v>
      </c>
    </row>
    <row r="37" spans="11:15" x14ac:dyDescent="0.3">
      <c r="K37" s="70" t="s">
        <v>113</v>
      </c>
      <c r="L37" s="70">
        <f>SUMIFS($A$11:$A$401,$B$11:$B$401,"CH",$F$11:$F$401,"35")</f>
        <v>0</v>
      </c>
      <c r="M37" s="70" t="s">
        <v>6</v>
      </c>
      <c r="N37" s="70">
        <f>SUMIFS($A$11:$A$401,$B$11:$B$401,"RT",$F$11:$F$401,"35")</f>
        <v>0</v>
      </c>
      <c r="O37" s="70" t="s">
        <v>13</v>
      </c>
    </row>
    <row r="38" spans="11:15" x14ac:dyDescent="0.3">
      <c r="K38" s="70" t="s">
        <v>114</v>
      </c>
      <c r="L38" s="70">
        <f>SUMIFS($A$11:$A$401,$B$11:$B$401,"CH",$F$11:$F$401,"36")</f>
        <v>0</v>
      </c>
      <c r="M38" s="70" t="s">
        <v>6</v>
      </c>
      <c r="N38" s="70">
        <f>SUMIFS($A$11:$A$401,$B$11:$B$401,"RT",$F$11:$F$401,"36")</f>
        <v>0</v>
      </c>
      <c r="O38" s="70" t="s">
        <v>13</v>
      </c>
    </row>
    <row r="39" spans="11:15" x14ac:dyDescent="0.3">
      <c r="K39" s="70" t="s">
        <v>115</v>
      </c>
      <c r="L39" s="70">
        <f>SUMIFS($A$11:$A$401,$B$11:$B$401,"CH",$F$11:$F$401,"37")</f>
        <v>0</v>
      </c>
      <c r="M39" s="70" t="s">
        <v>6</v>
      </c>
      <c r="N39" s="70">
        <f>SUMIFS($A$11:$A$401,$B$11:$B$401,"RT",$F$11:$F$401,"37")</f>
        <v>0</v>
      </c>
      <c r="O39" s="70" t="s">
        <v>13</v>
      </c>
    </row>
    <row r="40" spans="11:15" x14ac:dyDescent="0.3">
      <c r="K40" s="70" t="s">
        <v>116</v>
      </c>
      <c r="L40" s="70">
        <f>SUMIFS($A$11:$A$401,$B$11:$B$401,"CH",$F$11:$F$401,"38")</f>
        <v>0</v>
      </c>
      <c r="M40" s="70" t="s">
        <v>6</v>
      </c>
      <c r="N40" s="70">
        <f>SUMIFS($A$11:$A$401,$B$11:$B$401,"RT",$F$11:$F$401,"38")</f>
        <v>0</v>
      </c>
      <c r="O40" s="70" t="s">
        <v>13</v>
      </c>
    </row>
    <row r="41" spans="11:15" x14ac:dyDescent="0.3">
      <c r="K41" s="70" t="s">
        <v>117</v>
      </c>
      <c r="L41" s="70">
        <f>SUMIFS($A$11:$A$401,$B$11:$B$401,"CH",$F$11:$F$401,"39")</f>
        <v>0</v>
      </c>
      <c r="M41" s="70" t="s">
        <v>6</v>
      </c>
      <c r="N41" s="70">
        <f>SUMIFS($A$11:$A$401,$B$11:$B$401,"RT",$F$11:$F$401,"39")</f>
        <v>0</v>
      </c>
      <c r="O41" s="70" t="s">
        <v>13</v>
      </c>
    </row>
    <row r="42" spans="11:15" x14ac:dyDescent="0.3">
      <c r="K42" s="70" t="s">
        <v>118</v>
      </c>
      <c r="L42" s="70">
        <f>SUMIFS($A$11:$A$401,$B$11:$B$401,"CH",$F$11:$F$401,"40")</f>
        <v>0</v>
      </c>
      <c r="M42" s="70" t="s">
        <v>6</v>
      </c>
      <c r="N42" s="70">
        <f>SUMIFS($A$11:$A$401,$B$11:$B$401,"RT",$F$11:$F$401,"40")</f>
        <v>0</v>
      </c>
      <c r="O42" s="70" t="s">
        <v>13</v>
      </c>
    </row>
    <row r="43" spans="11:15" x14ac:dyDescent="0.3">
      <c r="K43" s="70" t="s">
        <v>119</v>
      </c>
      <c r="L43" s="70">
        <f>SUMIFS($A$11:$A$401,$B$11:$B$401,"CH",$F$11:$F$401,"41")</f>
        <v>0</v>
      </c>
      <c r="M43" s="70" t="s">
        <v>6</v>
      </c>
      <c r="N43" s="70">
        <f>SUMIFS($A$11:$A$401,$B$11:$B$401,"RT",$F$11:$F$401,"41")</f>
        <v>0</v>
      </c>
      <c r="O43" s="70" t="s">
        <v>13</v>
      </c>
    </row>
    <row r="44" spans="11:15" x14ac:dyDescent="0.3">
      <c r="K44" s="70"/>
      <c r="L44" s="70">
        <f>SUMIFS($A$11:$A$401,$B$11:$B$401,"CH",$F$11:$F$401,"")</f>
        <v>0</v>
      </c>
      <c r="M44" s="70" t="s">
        <v>6</v>
      </c>
      <c r="N44" s="70">
        <f>SUMIFS($A$11:$A$401,$B$11:$B$401,"RT",$F$11:$F$401,"")</f>
        <v>0</v>
      </c>
      <c r="O44" s="70" t="s">
        <v>13</v>
      </c>
    </row>
    <row r="45" spans="11:15" x14ac:dyDescent="0.3">
      <c r="K45" s="70" t="s">
        <v>120</v>
      </c>
      <c r="L45" s="70">
        <f>SUM(L3:L44)</f>
        <v>0</v>
      </c>
      <c r="M45" s="70" t="s">
        <v>6</v>
      </c>
      <c r="N45" s="70">
        <f>SUM(N3:N44)</f>
        <v>0</v>
      </c>
      <c r="O45" s="70" t="s">
        <v>13</v>
      </c>
    </row>
    <row r="46" spans="11:15" x14ac:dyDescent="0.3">
      <c r="K46" s="70"/>
      <c r="L46" s="70"/>
      <c r="M46" s="70"/>
      <c r="N46" s="70"/>
    </row>
    <row r="47" spans="11:15" x14ac:dyDescent="0.3">
      <c r="K47" s="70"/>
      <c r="N47" s="70"/>
    </row>
    <row r="48" spans="11:15" x14ac:dyDescent="0.3">
      <c r="K48" s="70"/>
      <c r="N48" s="70"/>
    </row>
    <row r="49" spans="11:14" x14ac:dyDescent="0.3">
      <c r="K49" s="70"/>
      <c r="N49" s="70"/>
    </row>
    <row r="50" spans="11:14" x14ac:dyDescent="0.3">
      <c r="K50" s="70"/>
      <c r="N50" s="70"/>
    </row>
    <row r="51" spans="11:14" x14ac:dyDescent="0.3">
      <c r="K51" s="70"/>
      <c r="N51" s="70"/>
    </row>
    <row r="52" spans="11:14" x14ac:dyDescent="0.3">
      <c r="K52" s="70"/>
      <c r="N52" s="70"/>
    </row>
    <row r="53" spans="11:14" x14ac:dyDescent="0.3">
      <c r="K53" s="70"/>
      <c r="N53" s="70"/>
    </row>
    <row r="54" spans="11:14" x14ac:dyDescent="0.3">
      <c r="K54" s="70"/>
      <c r="N54" s="70"/>
    </row>
    <row r="55" spans="11:14" x14ac:dyDescent="0.3">
      <c r="K55" s="70"/>
      <c r="N55" s="70"/>
    </row>
    <row r="56" spans="11:14" x14ac:dyDescent="0.3">
      <c r="K56" s="70"/>
      <c r="N56" s="70"/>
    </row>
    <row r="57" spans="11:14" x14ac:dyDescent="0.3">
      <c r="K57" s="70"/>
      <c r="N57" s="70"/>
    </row>
    <row r="58" spans="11:14" x14ac:dyDescent="0.3">
      <c r="K58" s="70"/>
      <c r="N58" s="70"/>
    </row>
    <row r="59" spans="11:14" x14ac:dyDescent="0.3">
      <c r="K59" s="70"/>
      <c r="N59" s="70"/>
    </row>
    <row r="60" spans="11:14" x14ac:dyDescent="0.3">
      <c r="K60" s="70"/>
      <c r="N60" s="70"/>
    </row>
    <row r="61" spans="11:14" x14ac:dyDescent="0.3">
      <c r="K61" s="70"/>
      <c r="N61" s="70"/>
    </row>
    <row r="62" spans="11:14" x14ac:dyDescent="0.3">
      <c r="K62" s="70"/>
      <c r="N62" s="70"/>
    </row>
    <row r="63" spans="11:14" x14ac:dyDescent="0.3">
      <c r="K63" s="70"/>
      <c r="N63" s="70"/>
    </row>
    <row r="64" spans="11:14" x14ac:dyDescent="0.3">
      <c r="K64" s="70"/>
      <c r="N64" s="70"/>
    </row>
    <row r="65" spans="11:14" x14ac:dyDescent="0.3">
      <c r="K65" s="70"/>
      <c r="N65" s="70"/>
    </row>
    <row r="66" spans="11:14" x14ac:dyDescent="0.3">
      <c r="K66" s="70"/>
      <c r="N66" s="70"/>
    </row>
    <row r="67" spans="11:14" x14ac:dyDescent="0.3">
      <c r="K67" s="70"/>
      <c r="N67" s="70"/>
    </row>
    <row r="68" spans="11:14" x14ac:dyDescent="0.3">
      <c r="K68" s="70"/>
      <c r="N68" s="70"/>
    </row>
    <row r="69" spans="11:14" x14ac:dyDescent="0.3">
      <c r="K69" s="70"/>
      <c r="N69" s="70"/>
    </row>
    <row r="70" spans="11:14" x14ac:dyDescent="0.3">
      <c r="K70" s="70"/>
      <c r="N70" s="70"/>
    </row>
    <row r="71" spans="11:14" x14ac:dyDescent="0.3">
      <c r="K71" s="70"/>
      <c r="N71" s="70"/>
    </row>
    <row r="72" spans="11:14" x14ac:dyDescent="0.3">
      <c r="K72" s="70"/>
      <c r="N72" s="70"/>
    </row>
    <row r="73" spans="11:14" x14ac:dyDescent="0.3">
      <c r="K73" s="70"/>
      <c r="N73" s="70"/>
    </row>
    <row r="74" spans="11:14" x14ac:dyDescent="0.3">
      <c r="K74" s="70"/>
      <c r="N74" s="70"/>
    </row>
    <row r="75" spans="11:14" x14ac:dyDescent="0.3">
      <c r="K75" s="70"/>
      <c r="N75" s="70"/>
    </row>
    <row r="76" spans="11:14" x14ac:dyDescent="0.3">
      <c r="K76" s="70"/>
      <c r="N76" s="70"/>
    </row>
    <row r="77" spans="11:14" x14ac:dyDescent="0.3">
      <c r="K77" s="70"/>
      <c r="N77" s="70"/>
    </row>
    <row r="78" spans="11:14" x14ac:dyDescent="0.3">
      <c r="K78" s="70"/>
      <c r="N78" s="70"/>
    </row>
    <row r="79" spans="11:14" x14ac:dyDescent="0.3">
      <c r="K79" s="70"/>
      <c r="N79" s="70"/>
    </row>
    <row r="80" spans="11:14" x14ac:dyDescent="0.3">
      <c r="K80" s="70"/>
      <c r="N80" s="70"/>
    </row>
    <row r="81" spans="11:14" x14ac:dyDescent="0.3">
      <c r="K81" s="70"/>
      <c r="N81" s="70"/>
    </row>
    <row r="82" spans="11:14" x14ac:dyDescent="0.3">
      <c r="K82" s="70"/>
      <c r="N82" s="70"/>
    </row>
    <row r="83" spans="11:14" x14ac:dyDescent="0.3">
      <c r="K83" s="70"/>
      <c r="N83" s="70"/>
    </row>
    <row r="84" spans="11:14" x14ac:dyDescent="0.3">
      <c r="K84" s="70"/>
      <c r="N84" s="70"/>
    </row>
    <row r="85" spans="11:14" x14ac:dyDescent="0.3">
      <c r="K85" s="70"/>
      <c r="N85" s="70"/>
    </row>
    <row r="86" spans="11:14" x14ac:dyDescent="0.3">
      <c r="K86" s="70"/>
      <c r="N86" s="70"/>
    </row>
    <row r="87" spans="11:14" x14ac:dyDescent="0.3">
      <c r="K87" s="70"/>
      <c r="N87" s="70"/>
    </row>
    <row r="88" spans="11:14" x14ac:dyDescent="0.3">
      <c r="K88" s="70"/>
      <c r="N88" s="70"/>
    </row>
    <row r="89" spans="11:14" x14ac:dyDescent="0.3">
      <c r="K89" s="71"/>
      <c r="N89" s="7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0562-F25C-41C6-BE70-CD46927E072D}">
  <dimension ref="A1:T89"/>
  <sheetViews>
    <sheetView zoomScaleNormal="100" workbookViewId="0">
      <selection activeCell="G3" sqref="G3:H11"/>
    </sheetView>
  </sheetViews>
  <sheetFormatPr defaultRowHeight="14.4" x14ac:dyDescent="0.3"/>
  <cols>
    <col min="2" max="2" width="9.5546875" bestFit="1" customWidth="1"/>
    <col min="3" max="3" width="11.6640625" customWidth="1"/>
    <col min="7" max="7" width="16" customWidth="1"/>
    <col min="9" max="9" width="10.6640625" customWidth="1"/>
    <col min="10" max="10" width="10.88671875" customWidth="1"/>
    <col min="11" max="11" width="8.109375" customWidth="1"/>
    <col min="12" max="12" width="8.6640625" customWidth="1"/>
    <col min="13" max="15" width="8.44140625" customWidth="1"/>
  </cols>
  <sheetData>
    <row r="1" spans="1:20" ht="15.6" thickTop="1" thickBot="1" x14ac:dyDescent="0.35">
      <c r="A1" s="1"/>
      <c r="B1" s="2"/>
      <c r="C1" s="2"/>
      <c r="D1" s="3" t="s">
        <v>157</v>
      </c>
      <c r="E1" s="2"/>
      <c r="F1" s="2"/>
      <c r="G1" s="2"/>
      <c r="H1" s="4"/>
      <c r="I1" s="50" t="s">
        <v>71</v>
      </c>
      <c r="J1" s="68" t="s">
        <v>164</v>
      </c>
      <c r="K1" s="72" t="s">
        <v>121</v>
      </c>
      <c r="L1" s="45"/>
      <c r="M1" s="46"/>
      <c r="N1" s="46"/>
    </row>
    <row r="2" spans="1:20" ht="15.6" thickTop="1" thickBot="1" x14ac:dyDescent="0.35">
      <c r="A2" s="50" t="s">
        <v>52</v>
      </c>
      <c r="B2" s="2" t="s">
        <v>60</v>
      </c>
      <c r="C2" s="2"/>
      <c r="D2" s="3"/>
      <c r="E2" s="2"/>
      <c r="F2" s="2"/>
      <c r="G2" s="6"/>
      <c r="H2" s="43"/>
      <c r="I2" s="50" t="s">
        <v>61</v>
      </c>
      <c r="J2" s="5" t="s">
        <v>62</v>
      </c>
      <c r="K2" s="45" t="s">
        <v>46</v>
      </c>
      <c r="L2" s="45" t="s">
        <v>41</v>
      </c>
      <c r="M2" s="45" t="s">
        <v>42</v>
      </c>
      <c r="N2" s="45" t="s">
        <v>46</v>
      </c>
      <c r="O2" s="45" t="s">
        <v>42</v>
      </c>
    </row>
    <row r="3" spans="1:20" ht="15.6" thickTop="1" thickBot="1" x14ac:dyDescent="0.35">
      <c r="A3" s="51" t="s">
        <v>4</v>
      </c>
      <c r="B3" s="45" t="s">
        <v>149</v>
      </c>
      <c r="C3" s="7" t="s">
        <v>1</v>
      </c>
      <c r="D3" s="8"/>
      <c r="E3" s="7" t="s">
        <v>2</v>
      </c>
      <c r="F3" s="9"/>
      <c r="G3" s="10" t="s">
        <v>3</v>
      </c>
      <c r="H3" s="8"/>
      <c r="I3" s="46" t="s">
        <v>60</v>
      </c>
      <c r="J3" s="9"/>
      <c r="K3" s="70" t="s">
        <v>79</v>
      </c>
      <c r="L3" s="70">
        <f>SUMIFS($A$11:$A$401,$B$11:$B$401,"CH",$F$11:$F$401,"1")</f>
        <v>0</v>
      </c>
      <c r="M3" s="70" t="s">
        <v>6</v>
      </c>
      <c r="N3" s="70">
        <f>SUMIFS($A$11:$A$401,$B$11:$B$401,"RT",$F$11:$F$401,"1")</f>
        <v>0</v>
      </c>
      <c r="O3" s="70" t="s">
        <v>13</v>
      </c>
    </row>
    <row r="4" spans="1:20" ht="15.6" thickTop="1" thickBot="1" x14ac:dyDescent="0.35">
      <c r="A4" s="50" t="s">
        <v>0</v>
      </c>
      <c r="B4" s="4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46" t="s">
        <v>73</v>
      </c>
      <c r="J4" s="9"/>
      <c r="K4" s="70" t="s">
        <v>80</v>
      </c>
      <c r="L4" s="70">
        <f>SUMIFS($A$11:$A$401,$B$11:$B$401,"CH",$F$11:$F$401,"2")</f>
        <v>0</v>
      </c>
      <c r="M4" s="70" t="s">
        <v>6</v>
      </c>
      <c r="N4" s="70">
        <f>SUMIFS($A$11:$A$401,$B$11:$B$401,"RT",$F$11:$F$401,"2")</f>
        <v>0</v>
      </c>
      <c r="O4" s="70" t="s">
        <v>13</v>
      </c>
    </row>
    <row r="5" spans="1:20" ht="15" thickTop="1" x14ac:dyDescent="0.3">
      <c r="A5" s="49" t="s">
        <v>11</v>
      </c>
      <c r="B5" s="111">
        <v>44097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68</v>
      </c>
      <c r="H5" s="15" t="s">
        <v>16</v>
      </c>
      <c r="I5" s="46" t="s">
        <v>159</v>
      </c>
      <c r="J5" s="9"/>
      <c r="K5" s="70" t="s">
        <v>81</v>
      </c>
      <c r="L5" s="70">
        <f>SUMIFS($A$11:$A$401,$B$11:$B$401,"CH",$F$11:$F$401,"3")</f>
        <v>0</v>
      </c>
      <c r="M5" s="70" t="s">
        <v>6</v>
      </c>
      <c r="N5" s="70">
        <f>SUMIFS($A$11:$A$401,$B$11:$B$401,"RT",$F$11:$F$401,"3")</f>
        <v>0</v>
      </c>
      <c r="O5" s="70" t="s">
        <v>13</v>
      </c>
    </row>
    <row r="6" spans="1:20" x14ac:dyDescent="0.3">
      <c r="A6" s="48" t="s">
        <v>57</v>
      </c>
      <c r="B6" s="93">
        <v>0.48958333333333331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46"/>
      <c r="J6" s="9"/>
      <c r="K6" s="70" t="s">
        <v>82</v>
      </c>
      <c r="L6" s="70">
        <f>SUMIFS($A$11:$A$401,$B$11:$B$401,"CH",$F$11:$F$401,"4")</f>
        <v>0</v>
      </c>
      <c r="M6" s="70" t="s">
        <v>6</v>
      </c>
      <c r="N6" s="70">
        <f>SUMIFS($A$11:$A$401,$B$11:$B$401,"RT",$F$11:$F$401,"4")</f>
        <v>0</v>
      </c>
      <c r="O6" s="70" t="s">
        <v>13</v>
      </c>
    </row>
    <row r="7" spans="1:20" x14ac:dyDescent="0.3">
      <c r="A7" s="69" t="s">
        <v>69</v>
      </c>
      <c r="B7" s="96"/>
      <c r="C7" s="11" t="s">
        <v>24</v>
      </c>
      <c r="D7" s="12" t="s">
        <v>25</v>
      </c>
      <c r="E7" s="11" t="s">
        <v>70</v>
      </c>
      <c r="F7" s="12" t="s">
        <v>63</v>
      </c>
      <c r="G7" s="18" t="s">
        <v>197</v>
      </c>
      <c r="H7" s="118" t="s">
        <v>198</v>
      </c>
      <c r="I7" s="46"/>
      <c r="J7" s="9"/>
      <c r="K7" s="70" t="s">
        <v>83</v>
      </c>
      <c r="L7" s="70">
        <f>SUMIFS($A$11:$A$401,$B$11:$B$401,"CH",$F$11:$F$401,"5")</f>
        <v>0</v>
      </c>
      <c r="M7" s="70" t="s">
        <v>6</v>
      </c>
      <c r="N7" s="70">
        <f>SUMIFS($A$11:$A$401,$B$11:$B$401,"RT",$F$11:$F$401,"5")</f>
        <v>0</v>
      </c>
      <c r="O7" s="70" t="s">
        <v>13</v>
      </c>
    </row>
    <row r="8" spans="1:20" x14ac:dyDescent="0.3">
      <c r="A8" s="16" t="s">
        <v>23</v>
      </c>
      <c r="B8" s="97">
        <v>3</v>
      </c>
      <c r="C8" s="13" t="s">
        <v>64</v>
      </c>
      <c r="D8" s="12" t="s">
        <v>65</v>
      </c>
      <c r="E8" s="13" t="s">
        <v>67</v>
      </c>
      <c r="F8" s="12" t="s">
        <v>59</v>
      </c>
      <c r="G8" s="18" t="s">
        <v>55</v>
      </c>
      <c r="H8" s="15" t="s">
        <v>53</v>
      </c>
      <c r="I8" s="46"/>
      <c r="J8" s="9"/>
      <c r="K8" s="70" t="s">
        <v>84</v>
      </c>
      <c r="L8" s="70">
        <f>SUMIFS($A$11:$A$401,$B$11:$B$401,"CH",$F$11:$F$401,"6")</f>
        <v>0</v>
      </c>
      <c r="M8" s="70" t="s">
        <v>6</v>
      </c>
      <c r="N8" s="70">
        <f>SUMIFS($A$11:$A$401,$B$11:$B$401,"RT",$F$11:$F$401,"6")</f>
        <v>0</v>
      </c>
      <c r="O8" s="70" t="s">
        <v>13</v>
      </c>
    </row>
    <row r="9" spans="1:20" ht="15" thickBot="1" x14ac:dyDescent="0.35">
      <c r="A9" s="16" t="s">
        <v>26</v>
      </c>
      <c r="B9" s="98">
        <v>1</v>
      </c>
      <c r="C9" s="11" t="s">
        <v>29</v>
      </c>
      <c r="D9" s="12" t="s">
        <v>27</v>
      </c>
      <c r="E9" s="22" t="s">
        <v>30</v>
      </c>
      <c r="F9" s="12" t="s">
        <v>31</v>
      </c>
      <c r="G9" s="20" t="s">
        <v>56</v>
      </c>
      <c r="H9" s="119" t="s">
        <v>54</v>
      </c>
      <c r="I9" s="99"/>
      <c r="J9" s="29"/>
      <c r="K9" s="70" t="s">
        <v>85</v>
      </c>
      <c r="L9" s="70">
        <f>SUMIFS($A$11:$A$401,$B$11:$B$401,"CH",$F$11:$F$401,"7")</f>
        <v>0</v>
      </c>
      <c r="M9" s="70" t="s">
        <v>6</v>
      </c>
      <c r="N9" s="70">
        <f>SUMIFS($A$11:$A$401,$B$11:$B$401,"RT",$F$11:$F$401,"7")</f>
        <v>0</v>
      </c>
      <c r="O9" s="70" t="s">
        <v>13</v>
      </c>
    </row>
    <row r="10" spans="1:20" ht="15" thickTop="1" x14ac:dyDescent="0.3">
      <c r="A10" s="53" t="s">
        <v>28</v>
      </c>
      <c r="B10" s="21"/>
      <c r="C10" s="11" t="s">
        <v>32</v>
      </c>
      <c r="D10" s="12" t="s">
        <v>33</v>
      </c>
      <c r="E10" s="24" t="s">
        <v>34</v>
      </c>
      <c r="F10" s="25" t="s">
        <v>35</v>
      </c>
      <c r="G10" s="23" t="s">
        <v>199</v>
      </c>
      <c r="H10" s="9"/>
      <c r="I10" s="47" t="s">
        <v>36</v>
      </c>
      <c r="J10" s="8" t="s">
        <v>168</v>
      </c>
      <c r="K10" s="70" t="s">
        <v>86</v>
      </c>
      <c r="L10" s="70">
        <f>SUMIFS($A$11:$A$401,$B$11:$B$401,"CH",$F$11:$F$401,"8")</f>
        <v>0</v>
      </c>
      <c r="M10" s="70" t="s">
        <v>6</v>
      </c>
      <c r="N10" s="70">
        <f>SUMIFS($A$11:$A$401,$B$11:$B$401,"RT",$F$11:$F$401,"8")</f>
        <v>0</v>
      </c>
      <c r="O10" s="70" t="s">
        <v>13</v>
      </c>
    </row>
    <row r="11" spans="1:20" ht="15" thickBot="1" x14ac:dyDescent="0.35">
      <c r="A11" s="26"/>
      <c r="B11" s="27"/>
      <c r="C11" s="26" t="s">
        <v>37</v>
      </c>
      <c r="D11" s="28" t="s">
        <v>38</v>
      </c>
      <c r="E11" s="24" t="s">
        <v>39</v>
      </c>
      <c r="F11" s="28" t="s">
        <v>58</v>
      </c>
      <c r="G11" t="s">
        <v>51</v>
      </c>
      <c r="H11" s="28" t="s">
        <v>40</v>
      </c>
      <c r="I11" s="67"/>
      <c r="J11" s="29"/>
      <c r="K11" s="70" t="s">
        <v>87</v>
      </c>
      <c r="L11" s="70">
        <f>SUMIFS($A$11:$A$401,$B$11:$B$401,"CH",$F$11:$F$401,"9")</f>
        <v>0</v>
      </c>
      <c r="M11" s="70" t="s">
        <v>6</v>
      </c>
      <c r="N11" s="70">
        <f>SUMIFS($A$11:$A$401,$B$11:$B$401,"RT",$F$11:$F$401,"9")</f>
        <v>0</v>
      </c>
      <c r="O11" s="70" t="s">
        <v>13</v>
      </c>
    </row>
    <row r="12" spans="1:20" ht="15.6" thickTop="1" thickBot="1" x14ac:dyDescent="0.35">
      <c r="A12" s="30" t="s">
        <v>41</v>
      </c>
      <c r="B12" s="31" t="s">
        <v>42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50</v>
      </c>
      <c r="K12" s="70" t="s">
        <v>88</v>
      </c>
      <c r="L12" s="70">
        <f>SUMIFS($A$11:$A$401,$B$11:$B$401,"CH",$F$11:$F$401,"10")</f>
        <v>0</v>
      </c>
      <c r="M12" s="70" t="s">
        <v>6</v>
      </c>
      <c r="N12" s="70">
        <f>SUMIFS($A$11:$A$401,$B$11:$B$401,"RT",$F$11:$F$401,"10")</f>
        <v>0</v>
      </c>
      <c r="O12" s="70" t="s">
        <v>13</v>
      </c>
      <c r="P12" s="65"/>
      <c r="Q12" s="65"/>
      <c r="R12" s="65"/>
      <c r="S12" s="65"/>
      <c r="T12" s="65"/>
    </row>
    <row r="13" spans="1:20" ht="15" thickTop="1" x14ac:dyDescent="0.3">
      <c r="A13" s="32">
        <v>0</v>
      </c>
      <c r="B13" s="54"/>
      <c r="C13" s="33"/>
      <c r="D13" s="34"/>
      <c r="E13" s="33"/>
      <c r="F13" s="33">
        <v>1</v>
      </c>
      <c r="G13" s="33" t="s">
        <v>35</v>
      </c>
      <c r="H13" s="33"/>
      <c r="I13" s="33"/>
      <c r="J13" s="35" t="s">
        <v>76</v>
      </c>
      <c r="K13" s="70" t="s">
        <v>89</v>
      </c>
      <c r="L13" s="70">
        <f>SUMIFS($A$11:$A$401,$B$11:$B$401,"CH",$F$11:$F$401,"11")</f>
        <v>0</v>
      </c>
      <c r="M13" s="70" t="s">
        <v>6</v>
      </c>
      <c r="N13" s="70">
        <f>SUMIFS($A$11:$A$401,$B$11:$B$401,"RT",$F$11:$F$401,"11")</f>
        <v>0</v>
      </c>
      <c r="O13" s="70" t="s">
        <v>13</v>
      </c>
      <c r="P13" s="65"/>
      <c r="Q13" s="65"/>
      <c r="R13" s="65"/>
      <c r="S13" s="65"/>
      <c r="T13" s="65"/>
    </row>
    <row r="14" spans="1:20" x14ac:dyDescent="0.3">
      <c r="A14" s="36">
        <v>0</v>
      </c>
      <c r="B14" s="55"/>
      <c r="C14" s="37"/>
      <c r="D14" s="38"/>
      <c r="E14" s="37"/>
      <c r="F14" s="33">
        <v>2</v>
      </c>
      <c r="G14" s="37" t="s">
        <v>58</v>
      </c>
      <c r="H14" s="37"/>
      <c r="I14" s="37"/>
      <c r="J14" s="35" t="s">
        <v>76</v>
      </c>
      <c r="K14" s="70" t="s">
        <v>90</v>
      </c>
      <c r="L14" s="70">
        <f>SUMIFS($A$11:$A$401,$B$11:$B$401,"CH",$F$11:$F$401,"12")</f>
        <v>0</v>
      </c>
      <c r="M14" s="70" t="s">
        <v>6</v>
      </c>
      <c r="N14" s="70">
        <f>SUMIFS($A$11:$A$401,$B$11:$B$401,"RT",$F$11:$F$401,"12")</f>
        <v>0</v>
      </c>
      <c r="O14" s="70" t="s">
        <v>13</v>
      </c>
      <c r="P14" s="65"/>
      <c r="Q14" s="65"/>
      <c r="R14" s="65"/>
      <c r="S14" s="65"/>
      <c r="T14" s="65"/>
    </row>
    <row r="15" spans="1:20" x14ac:dyDescent="0.3">
      <c r="A15" s="36">
        <v>0</v>
      </c>
      <c r="B15" s="55"/>
      <c r="C15" s="37"/>
      <c r="D15" s="37"/>
      <c r="E15" s="37"/>
      <c r="F15" s="33">
        <v>3</v>
      </c>
      <c r="G15" s="37" t="s">
        <v>161</v>
      </c>
      <c r="H15" s="37"/>
      <c r="I15" s="37"/>
      <c r="J15" s="35" t="s">
        <v>76</v>
      </c>
      <c r="K15" s="70" t="s">
        <v>91</v>
      </c>
      <c r="L15" s="70">
        <f>SUMIFS($A$11:$A$401,$B$11:$B$401,"CH",$F$11:$F$401,"13")</f>
        <v>0</v>
      </c>
      <c r="M15" s="70" t="s">
        <v>6</v>
      </c>
      <c r="N15" s="70">
        <f>SUMIFS($A$11:$A$401,$B$11:$B$401,"RT",$F$11:$F$401,"13")</f>
        <v>0</v>
      </c>
      <c r="O15" s="70" t="s">
        <v>13</v>
      </c>
      <c r="P15" s="65"/>
      <c r="Q15" s="65"/>
      <c r="R15" s="65"/>
      <c r="S15" s="65"/>
      <c r="T15" s="65"/>
    </row>
    <row r="16" spans="1:20" x14ac:dyDescent="0.3">
      <c r="A16" s="36">
        <v>0</v>
      </c>
      <c r="B16" s="55"/>
      <c r="C16" s="37"/>
      <c r="D16" s="37"/>
      <c r="E16" s="37"/>
      <c r="F16" s="33">
        <v>4</v>
      </c>
      <c r="G16" s="37" t="s">
        <v>20</v>
      </c>
      <c r="H16" s="37"/>
      <c r="I16" s="37"/>
      <c r="J16" s="35" t="s">
        <v>76</v>
      </c>
      <c r="K16" s="70" t="s">
        <v>92</v>
      </c>
      <c r="L16" s="70">
        <f>SUMIFS($A$11:$A$401,$B$11:$B$401,"CH",$F$11:$F$401,"14")</f>
        <v>0</v>
      </c>
      <c r="M16" s="70" t="s">
        <v>6</v>
      </c>
      <c r="N16" s="70">
        <f>SUMIFS($A$11:$A$401,$B$11:$B$401,"RT",$F$11:$F$401,"14")</f>
        <v>0</v>
      </c>
      <c r="O16" s="70" t="s">
        <v>13</v>
      </c>
      <c r="P16" s="65"/>
      <c r="Q16" s="65"/>
      <c r="R16" s="65"/>
      <c r="S16" s="65"/>
      <c r="T16" s="65"/>
    </row>
    <row r="17" spans="1:20" x14ac:dyDescent="0.3">
      <c r="A17" s="36">
        <v>0</v>
      </c>
      <c r="B17" s="55"/>
      <c r="C17" s="37"/>
      <c r="D17" s="37"/>
      <c r="E17" s="37"/>
      <c r="F17" s="33">
        <v>5</v>
      </c>
      <c r="G17" s="37" t="s">
        <v>20</v>
      </c>
      <c r="H17" s="37"/>
      <c r="I17" s="37"/>
      <c r="J17" s="35" t="s">
        <v>76</v>
      </c>
      <c r="K17" s="70" t="s">
        <v>93</v>
      </c>
      <c r="L17" s="70">
        <f>SUMIFS($A$11:$A$401,$B$11:$B$401,"CH",$F$11:$F$401,"15")</f>
        <v>0</v>
      </c>
      <c r="M17" s="70" t="s">
        <v>6</v>
      </c>
      <c r="N17" s="70">
        <f>SUMIFS($A$11:$A$401,$B$11:$B$401,"RT",$F$11:$F$401,"15")</f>
        <v>0</v>
      </c>
      <c r="O17" s="70" t="s">
        <v>13</v>
      </c>
      <c r="P17" s="65"/>
      <c r="Q17" s="65"/>
      <c r="R17" s="65"/>
      <c r="S17" s="65"/>
      <c r="T17" s="65"/>
    </row>
    <row r="18" spans="1:20" x14ac:dyDescent="0.3">
      <c r="A18" s="36">
        <v>0</v>
      </c>
      <c r="B18" s="55"/>
      <c r="C18" s="37"/>
      <c r="D18" s="37"/>
      <c r="E18" s="37"/>
      <c r="F18" s="33">
        <v>6</v>
      </c>
      <c r="G18" s="37" t="s">
        <v>35</v>
      </c>
      <c r="H18" s="37"/>
      <c r="I18" s="37"/>
      <c r="J18" s="35" t="s">
        <v>76</v>
      </c>
      <c r="K18" s="70" t="s">
        <v>94</v>
      </c>
      <c r="L18" s="70">
        <f>SUMIFS($A$11:$A$401,$B$11:$B$401,"CH",$F$11:$F$401,"16")</f>
        <v>0</v>
      </c>
      <c r="M18" s="70" t="s">
        <v>6</v>
      </c>
      <c r="N18" s="70">
        <f>SUMIFS($A$11:$A$401,$B$11:$B$401,"RT",$F$11:$F$401,"16")</f>
        <v>0</v>
      </c>
      <c r="O18" s="70" t="s">
        <v>13</v>
      </c>
      <c r="P18" s="65"/>
      <c r="Q18" s="65"/>
      <c r="R18" s="65"/>
      <c r="S18" s="65"/>
      <c r="T18" s="65"/>
    </row>
    <row r="19" spans="1:20" x14ac:dyDescent="0.3">
      <c r="A19" s="36">
        <v>0</v>
      </c>
      <c r="B19" s="55"/>
      <c r="C19" s="37"/>
      <c r="D19" s="37"/>
      <c r="E19" s="37"/>
      <c r="F19" s="33">
        <v>7</v>
      </c>
      <c r="G19" s="37" t="s">
        <v>58</v>
      </c>
      <c r="H19" s="37"/>
      <c r="I19" s="37"/>
      <c r="J19" s="35" t="s">
        <v>76</v>
      </c>
      <c r="K19" s="70" t="s">
        <v>95</v>
      </c>
      <c r="L19" s="70">
        <f>SUMIFS($A$11:$A$401,$B$11:$B$401,"CH",$F$11:$F$401,"17")</f>
        <v>0</v>
      </c>
      <c r="M19" s="70" t="s">
        <v>6</v>
      </c>
      <c r="N19" s="70">
        <f>SUMIFS($A$11:$A$401,$B$11:$B$401,"RT",$F$11:$F$401,"17")</f>
        <v>0</v>
      </c>
      <c r="O19" s="70" t="s">
        <v>13</v>
      </c>
      <c r="P19" s="65"/>
      <c r="Q19" s="65"/>
      <c r="R19" s="66"/>
      <c r="S19" s="65"/>
      <c r="T19" s="65"/>
    </row>
    <row r="20" spans="1:20" x14ac:dyDescent="0.3">
      <c r="A20" s="36">
        <v>0</v>
      </c>
      <c r="B20" s="55"/>
      <c r="C20" s="37"/>
      <c r="D20" s="37"/>
      <c r="E20" s="37"/>
      <c r="F20" s="33">
        <v>8</v>
      </c>
      <c r="G20" s="37" t="s">
        <v>20</v>
      </c>
      <c r="H20" s="37"/>
      <c r="I20" s="37"/>
      <c r="J20" s="35" t="s">
        <v>76</v>
      </c>
      <c r="K20" s="70" t="s">
        <v>96</v>
      </c>
      <c r="L20" s="70">
        <f>SUMIFS($A$11:$A$401,$B$11:$B$401,"CH",$F$11:$F$401,"18")</f>
        <v>0</v>
      </c>
      <c r="M20" s="70" t="s">
        <v>6</v>
      </c>
      <c r="N20" s="70">
        <f>SUMIFS($A$11:$A$401,$B$11:$B$401,"RT",$F$11:$F$401,"18")</f>
        <v>0</v>
      </c>
      <c r="O20" s="70" t="s">
        <v>13</v>
      </c>
      <c r="P20" s="65"/>
      <c r="Q20" s="65"/>
      <c r="R20" s="65"/>
      <c r="S20" s="65"/>
      <c r="T20" s="65"/>
    </row>
    <row r="21" spans="1:20" x14ac:dyDescent="0.3">
      <c r="A21" s="36">
        <v>0</v>
      </c>
      <c r="B21" s="55"/>
      <c r="C21" s="37"/>
      <c r="D21" s="37"/>
      <c r="E21" s="37"/>
      <c r="F21" s="33">
        <v>9</v>
      </c>
      <c r="G21" s="37" t="s">
        <v>58</v>
      </c>
      <c r="H21" s="37"/>
      <c r="I21" s="37"/>
      <c r="J21" s="35" t="s">
        <v>76</v>
      </c>
      <c r="K21" s="70" t="s">
        <v>97</v>
      </c>
      <c r="L21" s="70">
        <f>SUMIFS($A$11:$A$401,$B$11:$B$401,"CH",$F$11:$F$401,"19")</f>
        <v>0</v>
      </c>
      <c r="M21" s="70" t="s">
        <v>6</v>
      </c>
      <c r="N21" s="70">
        <f>SUMIFS($A$11:$A$401,$B$11:$B$401,"RT",$F$11:$F$401,"19")</f>
        <v>0</v>
      </c>
      <c r="O21" s="70" t="s">
        <v>13</v>
      </c>
      <c r="P21" s="65"/>
      <c r="Q21" s="65"/>
      <c r="R21" s="65"/>
      <c r="S21" s="65"/>
      <c r="T21" s="65"/>
    </row>
    <row r="22" spans="1:20" x14ac:dyDescent="0.3">
      <c r="A22" s="36">
        <v>0</v>
      </c>
      <c r="B22" s="55"/>
      <c r="C22" s="37"/>
      <c r="D22" s="37"/>
      <c r="E22" s="37"/>
      <c r="F22" s="33">
        <v>10</v>
      </c>
      <c r="G22" s="37" t="s">
        <v>20</v>
      </c>
      <c r="H22" s="37"/>
      <c r="I22" s="37"/>
      <c r="J22" s="35" t="s">
        <v>76</v>
      </c>
      <c r="K22" s="70" t="s">
        <v>98</v>
      </c>
      <c r="L22" s="70">
        <f>SUMIFS($A$11:$A$401,$B$11:$B$401,"CH",$F$11:$F$401,"20")</f>
        <v>0</v>
      </c>
      <c r="M22" s="70" t="s">
        <v>6</v>
      </c>
      <c r="N22" s="70">
        <f>SUMIFS($A$11:$A$401,$B$11:$B$401,"RT",$F$11:$F$401,"20")</f>
        <v>0</v>
      </c>
      <c r="O22" s="70" t="s">
        <v>13</v>
      </c>
    </row>
    <row r="23" spans="1:20" x14ac:dyDescent="0.3">
      <c r="A23" s="36">
        <v>0</v>
      </c>
      <c r="B23" s="55"/>
      <c r="C23" s="37"/>
      <c r="D23" s="37"/>
      <c r="E23" s="37"/>
      <c r="F23" s="33">
        <v>11</v>
      </c>
      <c r="G23" s="37" t="s">
        <v>58</v>
      </c>
      <c r="H23" s="37"/>
      <c r="I23" s="37"/>
      <c r="J23" s="35" t="s">
        <v>76</v>
      </c>
      <c r="K23" s="70" t="s">
        <v>99</v>
      </c>
      <c r="L23" s="70">
        <f>SUMIFS($A$11:$A$401,$B$11:$B$401,"CH",$F$11:$F$401,"21")</f>
        <v>0</v>
      </c>
      <c r="M23" s="70" t="s">
        <v>6</v>
      </c>
      <c r="N23" s="70">
        <f>SUMIFS($A$11:$A$401,$B$11:$B$401,"RT",$F$11:$F$401,"21")</f>
        <v>0</v>
      </c>
      <c r="O23" s="70" t="s">
        <v>13</v>
      </c>
    </row>
    <row r="24" spans="1:20" x14ac:dyDescent="0.3">
      <c r="A24" s="36">
        <v>0</v>
      </c>
      <c r="B24" s="55"/>
      <c r="C24" s="37"/>
      <c r="D24" s="37"/>
      <c r="E24" s="37"/>
      <c r="F24" s="33">
        <v>12</v>
      </c>
      <c r="G24" s="37" t="s">
        <v>35</v>
      </c>
      <c r="H24" s="37"/>
      <c r="I24" s="37"/>
      <c r="J24" s="35" t="s">
        <v>76</v>
      </c>
      <c r="K24" s="70" t="s">
        <v>100</v>
      </c>
      <c r="L24" s="70">
        <f>SUMIFS($A$11:$A$401,$B$11:$B$401,"CH",$F$11:$F$401,"22")</f>
        <v>0</v>
      </c>
      <c r="M24" s="70" t="s">
        <v>6</v>
      </c>
      <c r="N24" s="70">
        <f>SUMIFS($A$11:$A$401,$B$11:$B$401,"RT",$F$11:$F$401,"22")</f>
        <v>0</v>
      </c>
      <c r="O24" s="70" t="s">
        <v>13</v>
      </c>
    </row>
    <row r="25" spans="1:20" x14ac:dyDescent="0.3">
      <c r="A25" s="36">
        <v>0</v>
      </c>
      <c r="B25" s="55"/>
      <c r="C25" s="37"/>
      <c r="D25" s="37"/>
      <c r="E25" s="37"/>
      <c r="F25" s="33">
        <v>13</v>
      </c>
      <c r="G25" s="37" t="s">
        <v>58</v>
      </c>
      <c r="H25" s="37"/>
      <c r="I25" s="37"/>
      <c r="J25" s="35" t="s">
        <v>76</v>
      </c>
      <c r="K25" s="70" t="s">
        <v>101</v>
      </c>
      <c r="L25" s="70">
        <f>SUMIFS($A$11:$A$401,$B$11:$B$401,"CH",$F$11:$F$401,"23")</f>
        <v>0</v>
      </c>
      <c r="M25" s="70" t="s">
        <v>6</v>
      </c>
      <c r="N25" s="70">
        <f>SUMIFS($A$11:$A$401,$B$11:$B$401,"RT",$F$11:$F$401,"23")</f>
        <v>0</v>
      </c>
      <c r="O25" s="70" t="s">
        <v>13</v>
      </c>
    </row>
    <row r="26" spans="1:20" x14ac:dyDescent="0.3">
      <c r="A26" s="36">
        <v>0</v>
      </c>
      <c r="B26" s="55"/>
      <c r="C26" s="37"/>
      <c r="D26" s="37"/>
      <c r="E26" s="37"/>
      <c r="F26" s="33">
        <v>14</v>
      </c>
      <c r="G26" s="37" t="s">
        <v>172</v>
      </c>
      <c r="H26" s="37"/>
      <c r="I26" s="37"/>
      <c r="J26" s="35" t="s">
        <v>76</v>
      </c>
      <c r="K26" s="70" t="s">
        <v>102</v>
      </c>
      <c r="L26" s="70">
        <f>SUMIFS($A$11:$A$401,$B$11:$B$401,"CH",$F$11:$F$401,"24")</f>
        <v>0</v>
      </c>
      <c r="M26" s="70" t="s">
        <v>6</v>
      </c>
      <c r="N26" s="70">
        <f>SUMIFS($A$11:$A$401,$B$11:$B$401,"RT",$F$11:$F$401,"24")</f>
        <v>0</v>
      </c>
      <c r="O26" s="70" t="s">
        <v>13</v>
      </c>
    </row>
    <row r="27" spans="1:20" x14ac:dyDescent="0.3">
      <c r="A27" s="36">
        <v>0</v>
      </c>
      <c r="B27" s="55"/>
      <c r="C27" s="37"/>
      <c r="D27" s="37"/>
      <c r="E27" s="37"/>
      <c r="F27" s="33">
        <v>15</v>
      </c>
      <c r="G27" s="37" t="s">
        <v>20</v>
      </c>
      <c r="H27" s="37"/>
      <c r="I27" s="37"/>
      <c r="J27" s="35" t="s">
        <v>76</v>
      </c>
      <c r="K27" s="70" t="s">
        <v>103</v>
      </c>
      <c r="L27" s="70">
        <f>SUMIFS($A$11:$A$401,$B$11:$B$401,"CH",$F$11:$F$401,"25")</f>
        <v>0</v>
      </c>
      <c r="M27" s="70" t="s">
        <v>6</v>
      </c>
      <c r="N27" s="70">
        <f>SUMIFS($A$11:$A$401,$B$11:$B$401,"RT",$F$11:$F$401,"25")</f>
        <v>0</v>
      </c>
      <c r="O27" s="70" t="s">
        <v>13</v>
      </c>
    </row>
    <row r="28" spans="1:20" x14ac:dyDescent="0.3">
      <c r="A28" s="36">
        <v>0</v>
      </c>
      <c r="B28" s="55"/>
      <c r="C28" s="37"/>
      <c r="D28" s="37"/>
      <c r="E28" s="37"/>
      <c r="F28" s="33">
        <v>16</v>
      </c>
      <c r="G28" s="37" t="s">
        <v>35</v>
      </c>
      <c r="H28" s="37"/>
      <c r="I28" s="37"/>
      <c r="J28" s="35" t="s">
        <v>76</v>
      </c>
      <c r="K28" s="70" t="s">
        <v>104</v>
      </c>
      <c r="L28" s="70">
        <f>SUMIFS($A$11:$A$401,$B$11:$B$401,"CH",$F$11:$F$401,"26")</f>
        <v>0</v>
      </c>
      <c r="M28" s="70" t="s">
        <v>6</v>
      </c>
      <c r="N28" s="70">
        <f>SUMIFS($A$11:$A$401,$B$11:$B$401,"RT",$F$11:$F$401,"26")</f>
        <v>0</v>
      </c>
      <c r="O28" s="70" t="s">
        <v>13</v>
      </c>
    </row>
    <row r="29" spans="1:20" x14ac:dyDescent="0.3">
      <c r="A29" s="36">
        <v>0</v>
      </c>
      <c r="B29" s="55"/>
      <c r="C29" s="37"/>
      <c r="D29" s="37"/>
      <c r="E29" s="37"/>
      <c r="F29" s="33">
        <v>17</v>
      </c>
      <c r="G29" s="37" t="s">
        <v>58</v>
      </c>
      <c r="H29" s="37"/>
      <c r="I29" s="37"/>
      <c r="J29" s="35" t="s">
        <v>76</v>
      </c>
      <c r="K29" s="70" t="s">
        <v>105</v>
      </c>
      <c r="L29" s="70">
        <f>SUMIFS($A$11:$A$401,$B$11:$B$401,"CH",$F$11:$F$401,"27")</f>
        <v>0</v>
      </c>
      <c r="M29" s="70" t="s">
        <v>6</v>
      </c>
      <c r="N29" s="70">
        <f>SUMIFS($A$11:$A$401,$B$11:$B$401,"RT",$F$11:$F$401,"27")</f>
        <v>0</v>
      </c>
      <c r="O29" s="70" t="s">
        <v>13</v>
      </c>
    </row>
    <row r="30" spans="1:20" x14ac:dyDescent="0.3">
      <c r="A30" s="36">
        <v>0</v>
      </c>
      <c r="B30" s="55"/>
      <c r="C30" s="37"/>
      <c r="D30" s="37"/>
      <c r="E30" s="37"/>
      <c r="F30" s="33">
        <v>18</v>
      </c>
      <c r="G30" s="37" t="s">
        <v>35</v>
      </c>
      <c r="H30" s="37"/>
      <c r="I30" s="37"/>
      <c r="J30" s="35" t="s">
        <v>76</v>
      </c>
      <c r="K30" s="70" t="s">
        <v>106</v>
      </c>
      <c r="L30" s="70">
        <f>SUMIFS($A$11:$A$401,$B$11:$B$401,"CH",$F$11:$F$401,"28")</f>
        <v>0</v>
      </c>
      <c r="M30" s="70" t="s">
        <v>6</v>
      </c>
      <c r="N30" s="70">
        <f>SUMIFS($A$11:$A$401,$B$11:$B$401,"RT",$F$11:$F$401,"28")</f>
        <v>0</v>
      </c>
      <c r="O30" s="70" t="s">
        <v>13</v>
      </c>
    </row>
    <row r="31" spans="1:20" x14ac:dyDescent="0.3">
      <c r="A31" s="36">
        <v>0</v>
      </c>
      <c r="B31" s="55"/>
      <c r="C31" s="37"/>
      <c r="D31" s="37"/>
      <c r="E31" s="37"/>
      <c r="F31" s="33">
        <v>19</v>
      </c>
      <c r="G31" s="37" t="s">
        <v>58</v>
      </c>
      <c r="H31" s="37"/>
      <c r="I31" s="37"/>
      <c r="J31" s="35" t="s">
        <v>76</v>
      </c>
      <c r="K31" s="70" t="s">
        <v>107</v>
      </c>
      <c r="L31" s="70">
        <f>SUMIFS($A$11:$A$401,$B$11:$B$401,"CH",$F$11:$F$401,"29")</f>
        <v>0</v>
      </c>
      <c r="M31" s="70" t="s">
        <v>6</v>
      </c>
      <c r="N31" s="70">
        <f>SUMIFS($A$11:$A$401,$B$11:$B$401,"RT",$F$11:$F$401,"29")</f>
        <v>0</v>
      </c>
      <c r="O31" s="70" t="s">
        <v>13</v>
      </c>
    </row>
    <row r="32" spans="1:20" x14ac:dyDescent="0.3">
      <c r="A32" s="36">
        <v>0</v>
      </c>
      <c r="B32" s="59"/>
      <c r="C32" s="60"/>
      <c r="D32" s="60"/>
      <c r="E32" s="60"/>
      <c r="F32" s="60">
        <v>20</v>
      </c>
      <c r="G32" s="60" t="s">
        <v>172</v>
      </c>
      <c r="H32" s="60"/>
      <c r="I32" s="112"/>
      <c r="J32" s="35" t="s">
        <v>76</v>
      </c>
      <c r="K32" s="70" t="s">
        <v>108</v>
      </c>
      <c r="L32" s="70">
        <f>SUMIFS($A$11:$A$401,$B$11:$B$401,"CH",$F$11:$F$401,"30")</f>
        <v>0</v>
      </c>
      <c r="M32" s="70" t="s">
        <v>6</v>
      </c>
      <c r="N32" s="70">
        <f>SUMIFS($A$11:$A$401,$B$11:$B$401,"RT",$F$11:$F$401,"30")</f>
        <v>0</v>
      </c>
      <c r="O32" s="70" t="s">
        <v>13</v>
      </c>
    </row>
    <row r="33" spans="1:15" ht="15" thickBot="1" x14ac:dyDescent="0.35">
      <c r="A33" s="113">
        <v>0</v>
      </c>
      <c r="B33" s="114"/>
      <c r="C33" s="114"/>
      <c r="D33" s="114"/>
      <c r="E33" s="114"/>
      <c r="F33" s="56">
        <v>21</v>
      </c>
      <c r="G33" s="114" t="s">
        <v>35</v>
      </c>
      <c r="H33" s="114"/>
      <c r="I33" s="114"/>
      <c r="J33" s="35" t="s">
        <v>76</v>
      </c>
      <c r="K33" s="70" t="s">
        <v>109</v>
      </c>
      <c r="L33" s="70">
        <f>SUMIFS($A$11:$A$401,$B$11:$B$401,"CH",$F$11:$F$401,"31")</f>
        <v>0</v>
      </c>
      <c r="M33" s="70" t="s">
        <v>6</v>
      </c>
      <c r="N33" s="70">
        <f>SUMIFS($A$11:$A$401,$B$11:$B$401,"RT",$F$11:$F$401,"31")</f>
        <v>0</v>
      </c>
      <c r="O33" s="70" t="s">
        <v>13</v>
      </c>
    </row>
    <row r="34" spans="1:15" ht="15" thickTop="1" x14ac:dyDescent="0.3">
      <c r="K34" s="70" t="s">
        <v>110</v>
      </c>
      <c r="L34" s="70">
        <f>SUMIFS($A$11:$A$401,$B$11:$B$401,"CH",$F$11:$F$401,"32")</f>
        <v>0</v>
      </c>
      <c r="M34" s="70" t="s">
        <v>6</v>
      </c>
      <c r="N34" s="70">
        <f>SUMIFS($A$11:$A$401,$B$11:$B$401,"RT",$F$11:$F$401,"32")</f>
        <v>0</v>
      </c>
      <c r="O34" s="70" t="s">
        <v>13</v>
      </c>
    </row>
    <row r="35" spans="1:15" x14ac:dyDescent="0.3">
      <c r="K35" s="70" t="s">
        <v>111</v>
      </c>
      <c r="L35" s="70">
        <f>SUMIFS($A$11:$A$401,$B$11:$B$401,"CH",$F$11:$F$401,"33")</f>
        <v>0</v>
      </c>
      <c r="M35" s="70" t="s">
        <v>6</v>
      </c>
      <c r="N35" s="70">
        <f>SUMIFS($A$11:$A$401,$B$11:$B$401,"RT",$F$11:$F$401,"33")</f>
        <v>0</v>
      </c>
      <c r="O35" s="70" t="s">
        <v>13</v>
      </c>
    </row>
    <row r="36" spans="1:15" x14ac:dyDescent="0.3">
      <c r="K36" s="70" t="s">
        <v>112</v>
      </c>
      <c r="L36" s="70">
        <f>SUMIFS($A$11:$A$401,$B$11:$B$401,"CH",$F$11:$F$401,"34")</f>
        <v>0</v>
      </c>
      <c r="M36" s="70" t="s">
        <v>6</v>
      </c>
      <c r="N36" s="70">
        <f>SUMIFS($A$11:$A$401,$B$11:$B$401,"RT",$F$11:$F$401,"34")</f>
        <v>0</v>
      </c>
      <c r="O36" s="70" t="s">
        <v>13</v>
      </c>
    </row>
    <row r="37" spans="1:15" x14ac:dyDescent="0.3">
      <c r="K37" s="70" t="s">
        <v>113</v>
      </c>
      <c r="L37" s="70">
        <f>SUMIFS($A$11:$A$401,$B$11:$B$401,"CH",$F$11:$F$401,"35")</f>
        <v>0</v>
      </c>
      <c r="M37" s="70" t="s">
        <v>6</v>
      </c>
      <c r="N37" s="70">
        <f>SUMIFS($A$11:$A$401,$B$11:$B$401,"RT",$F$11:$F$401,"35")</f>
        <v>0</v>
      </c>
      <c r="O37" s="70" t="s">
        <v>13</v>
      </c>
    </row>
    <row r="38" spans="1:15" x14ac:dyDescent="0.3">
      <c r="K38" s="70" t="s">
        <v>114</v>
      </c>
      <c r="L38" s="70">
        <f>SUMIFS($A$11:$A$401,$B$11:$B$401,"CH",$F$11:$F$401,"36")</f>
        <v>0</v>
      </c>
      <c r="M38" s="70" t="s">
        <v>6</v>
      </c>
      <c r="N38" s="70">
        <f>SUMIFS($A$11:$A$401,$B$11:$B$401,"RT",$F$11:$F$401,"36")</f>
        <v>0</v>
      </c>
      <c r="O38" s="70" t="s">
        <v>13</v>
      </c>
    </row>
    <row r="39" spans="1:15" x14ac:dyDescent="0.3">
      <c r="K39" s="70" t="s">
        <v>115</v>
      </c>
      <c r="L39" s="70">
        <f>SUMIFS($A$11:$A$401,$B$11:$B$401,"CH",$F$11:$F$401,"37")</f>
        <v>0</v>
      </c>
      <c r="M39" s="70" t="s">
        <v>6</v>
      </c>
      <c r="N39" s="70">
        <f>SUMIFS($A$11:$A$401,$B$11:$B$401,"RT",$F$11:$F$401,"37")</f>
        <v>0</v>
      </c>
      <c r="O39" s="70" t="s">
        <v>13</v>
      </c>
    </row>
    <row r="40" spans="1:15" x14ac:dyDescent="0.3">
      <c r="K40" s="70" t="s">
        <v>116</v>
      </c>
      <c r="L40" s="70">
        <f>SUMIFS($A$11:$A$401,$B$11:$B$401,"CH",$F$11:$F$401,"38")</f>
        <v>0</v>
      </c>
      <c r="M40" s="70" t="s">
        <v>6</v>
      </c>
      <c r="N40" s="70">
        <f>SUMIFS($A$11:$A$401,$B$11:$B$401,"RT",$F$11:$F$401,"38")</f>
        <v>0</v>
      </c>
      <c r="O40" s="70" t="s">
        <v>13</v>
      </c>
    </row>
    <row r="41" spans="1:15" x14ac:dyDescent="0.3">
      <c r="K41" s="70" t="s">
        <v>117</v>
      </c>
      <c r="L41" s="70">
        <f>SUMIFS($A$11:$A$401,$B$11:$B$401,"CH",$F$11:$F$401,"39")</f>
        <v>0</v>
      </c>
      <c r="M41" s="70" t="s">
        <v>6</v>
      </c>
      <c r="N41" s="70">
        <f>SUMIFS($A$11:$A$401,$B$11:$B$401,"RT",$F$11:$F$401,"39")</f>
        <v>0</v>
      </c>
      <c r="O41" s="70" t="s">
        <v>13</v>
      </c>
    </row>
    <row r="42" spans="1:15" x14ac:dyDescent="0.3">
      <c r="K42" s="70" t="s">
        <v>118</v>
      </c>
      <c r="L42" s="70">
        <f>SUMIFS($A$11:$A$401,$B$11:$B$401,"CH",$F$11:$F$401,"40")</f>
        <v>0</v>
      </c>
      <c r="M42" s="70" t="s">
        <v>6</v>
      </c>
      <c r="N42" s="70">
        <f>SUMIFS($A$11:$A$401,$B$11:$B$401,"RT",$F$11:$F$401,"40")</f>
        <v>0</v>
      </c>
      <c r="O42" s="70" t="s">
        <v>13</v>
      </c>
    </row>
    <row r="43" spans="1:15" x14ac:dyDescent="0.3">
      <c r="K43" s="70" t="s">
        <v>119</v>
      </c>
      <c r="L43" s="70">
        <f>SUMIFS($A$11:$A$401,$B$11:$B$401,"CH",$F$11:$F$401,"41")</f>
        <v>0</v>
      </c>
      <c r="M43" s="70" t="s">
        <v>6</v>
      </c>
      <c r="N43" s="70">
        <f>SUMIFS($A$11:$A$401,$B$11:$B$401,"RT",$F$11:$F$401,"41")</f>
        <v>0</v>
      </c>
      <c r="O43" s="70" t="s">
        <v>13</v>
      </c>
    </row>
    <row r="44" spans="1:15" x14ac:dyDescent="0.3">
      <c r="K44" s="70"/>
      <c r="L44" s="70">
        <f>SUMIFS($A$11:$A$401,$B$11:$B$401,"CH",$F$11:$F$401,"")</f>
        <v>0</v>
      </c>
      <c r="M44" s="70" t="s">
        <v>6</v>
      </c>
      <c r="N44" s="70">
        <f>SUMIFS($A$11:$A$401,$B$11:$B$401,"RT",$F$11:$F$401,"")</f>
        <v>0</v>
      </c>
      <c r="O44" s="70" t="s">
        <v>13</v>
      </c>
    </row>
    <row r="45" spans="1:15" x14ac:dyDescent="0.3">
      <c r="K45" s="70" t="s">
        <v>120</v>
      </c>
      <c r="L45" s="70">
        <f>SUM(L3:L44)</f>
        <v>0</v>
      </c>
      <c r="M45" s="70" t="s">
        <v>6</v>
      </c>
      <c r="N45" s="70">
        <f>SUM(N3:N44)</f>
        <v>0</v>
      </c>
      <c r="O45" s="70" t="s">
        <v>13</v>
      </c>
    </row>
    <row r="46" spans="1:15" x14ac:dyDescent="0.3">
      <c r="K46" s="70"/>
      <c r="L46" s="70"/>
      <c r="M46" s="70"/>
      <c r="N46" s="70"/>
    </row>
    <row r="47" spans="1:15" x14ac:dyDescent="0.3">
      <c r="K47" s="70"/>
      <c r="N47" s="70"/>
    </row>
    <row r="48" spans="1:15" x14ac:dyDescent="0.3">
      <c r="K48" s="70"/>
      <c r="N48" s="70"/>
    </row>
    <row r="49" spans="11:14" x14ac:dyDescent="0.3">
      <c r="K49" s="70"/>
      <c r="N49" s="70"/>
    </row>
    <row r="50" spans="11:14" x14ac:dyDescent="0.3">
      <c r="K50" s="70"/>
      <c r="N50" s="70"/>
    </row>
    <row r="51" spans="11:14" x14ac:dyDescent="0.3">
      <c r="K51" s="70"/>
      <c r="N51" s="70"/>
    </row>
    <row r="52" spans="11:14" x14ac:dyDescent="0.3">
      <c r="K52" s="70"/>
      <c r="N52" s="70"/>
    </row>
    <row r="53" spans="11:14" x14ac:dyDescent="0.3">
      <c r="K53" s="70"/>
      <c r="N53" s="70"/>
    </row>
    <row r="54" spans="11:14" x14ac:dyDescent="0.3">
      <c r="K54" s="70"/>
      <c r="N54" s="70"/>
    </row>
    <row r="55" spans="11:14" x14ac:dyDescent="0.3">
      <c r="K55" s="70"/>
      <c r="N55" s="70"/>
    </row>
    <row r="56" spans="11:14" x14ac:dyDescent="0.3">
      <c r="K56" s="70"/>
      <c r="N56" s="70"/>
    </row>
    <row r="57" spans="11:14" x14ac:dyDescent="0.3">
      <c r="K57" s="70"/>
      <c r="N57" s="70"/>
    </row>
    <row r="58" spans="11:14" x14ac:dyDescent="0.3">
      <c r="K58" s="70"/>
      <c r="N58" s="70"/>
    </row>
    <row r="59" spans="11:14" x14ac:dyDescent="0.3">
      <c r="K59" s="70"/>
      <c r="N59" s="70"/>
    </row>
    <row r="60" spans="11:14" x14ac:dyDescent="0.3">
      <c r="K60" s="70"/>
      <c r="N60" s="70"/>
    </row>
    <row r="61" spans="11:14" x14ac:dyDescent="0.3">
      <c r="K61" s="70"/>
      <c r="N61" s="70"/>
    </row>
    <row r="62" spans="11:14" x14ac:dyDescent="0.3">
      <c r="K62" s="70"/>
      <c r="N62" s="70"/>
    </row>
    <row r="63" spans="11:14" x14ac:dyDescent="0.3">
      <c r="K63" s="70"/>
      <c r="N63" s="70"/>
    </row>
    <row r="64" spans="11:14" x14ac:dyDescent="0.3">
      <c r="K64" s="70"/>
      <c r="N64" s="70"/>
    </row>
    <row r="65" spans="11:14" x14ac:dyDescent="0.3">
      <c r="K65" s="70"/>
      <c r="N65" s="70"/>
    </row>
    <row r="66" spans="11:14" x14ac:dyDescent="0.3">
      <c r="K66" s="70"/>
      <c r="N66" s="70"/>
    </row>
    <row r="67" spans="11:14" x14ac:dyDescent="0.3">
      <c r="K67" s="70"/>
      <c r="N67" s="70"/>
    </row>
    <row r="68" spans="11:14" x14ac:dyDescent="0.3">
      <c r="K68" s="70"/>
      <c r="N68" s="70"/>
    </row>
    <row r="69" spans="11:14" x14ac:dyDescent="0.3">
      <c r="K69" s="70"/>
      <c r="N69" s="70"/>
    </row>
    <row r="70" spans="11:14" x14ac:dyDescent="0.3">
      <c r="K70" s="70"/>
      <c r="N70" s="70"/>
    </row>
    <row r="71" spans="11:14" x14ac:dyDescent="0.3">
      <c r="K71" s="70"/>
      <c r="N71" s="70"/>
    </row>
    <row r="72" spans="11:14" x14ac:dyDescent="0.3">
      <c r="K72" s="70"/>
      <c r="N72" s="70"/>
    </row>
    <row r="73" spans="11:14" x14ac:dyDescent="0.3">
      <c r="K73" s="70"/>
      <c r="N73" s="70"/>
    </row>
    <row r="74" spans="11:14" x14ac:dyDescent="0.3">
      <c r="K74" s="70"/>
      <c r="N74" s="70"/>
    </row>
    <row r="75" spans="11:14" x14ac:dyDescent="0.3">
      <c r="K75" s="70"/>
      <c r="N75" s="70"/>
    </row>
    <row r="76" spans="11:14" x14ac:dyDescent="0.3">
      <c r="K76" s="70"/>
      <c r="N76" s="70"/>
    </row>
    <row r="77" spans="11:14" x14ac:dyDescent="0.3">
      <c r="K77" s="70"/>
      <c r="N77" s="70"/>
    </row>
    <row r="78" spans="11:14" x14ac:dyDescent="0.3">
      <c r="K78" s="70"/>
      <c r="N78" s="70"/>
    </row>
    <row r="79" spans="11:14" x14ac:dyDescent="0.3">
      <c r="K79" s="70"/>
      <c r="N79" s="70"/>
    </row>
    <row r="80" spans="11:14" x14ac:dyDescent="0.3">
      <c r="K80" s="70"/>
      <c r="N80" s="70"/>
    </row>
    <row r="81" spans="11:14" x14ac:dyDescent="0.3">
      <c r="K81" s="70"/>
      <c r="N81" s="70"/>
    </row>
    <row r="82" spans="11:14" x14ac:dyDescent="0.3">
      <c r="K82" s="70"/>
      <c r="N82" s="70"/>
    </row>
    <row r="83" spans="11:14" x14ac:dyDescent="0.3">
      <c r="K83" s="70"/>
      <c r="N83" s="70"/>
    </row>
    <row r="84" spans="11:14" x14ac:dyDescent="0.3">
      <c r="K84" s="70"/>
      <c r="N84" s="70"/>
    </row>
    <row r="85" spans="11:14" x14ac:dyDescent="0.3">
      <c r="K85" s="70"/>
      <c r="N85" s="70"/>
    </row>
    <row r="86" spans="11:14" x14ac:dyDescent="0.3">
      <c r="K86" s="70"/>
      <c r="N86" s="70"/>
    </row>
    <row r="87" spans="11:14" x14ac:dyDescent="0.3">
      <c r="K87" s="70"/>
      <c r="N87" s="70"/>
    </row>
    <row r="88" spans="11:14" x14ac:dyDescent="0.3">
      <c r="K88" s="70"/>
      <c r="N88" s="70"/>
    </row>
    <row r="89" spans="11:14" x14ac:dyDescent="0.3">
      <c r="K89" s="71"/>
      <c r="N89" s="7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0EEB-34CF-4822-B4DF-134F08A69214}">
  <dimension ref="A1:T120"/>
  <sheetViews>
    <sheetView zoomScaleNormal="100" workbookViewId="0">
      <selection activeCell="C119" sqref="C119"/>
    </sheetView>
  </sheetViews>
  <sheetFormatPr defaultRowHeight="14.4" x14ac:dyDescent="0.3"/>
  <cols>
    <col min="2" max="2" width="9.5546875" bestFit="1" customWidth="1"/>
    <col min="3" max="3" width="11.6640625" customWidth="1"/>
    <col min="7" max="7" width="16" customWidth="1"/>
    <col min="9" max="9" width="10.6640625" customWidth="1"/>
    <col min="10" max="10" width="10.88671875" customWidth="1"/>
    <col min="11" max="11" width="8.109375" customWidth="1"/>
    <col min="12" max="12" width="8.6640625" customWidth="1"/>
    <col min="13" max="15" width="8.44140625" customWidth="1"/>
  </cols>
  <sheetData>
    <row r="1" spans="1:20" ht="15.6" thickTop="1" thickBot="1" x14ac:dyDescent="0.35">
      <c r="A1" s="1"/>
      <c r="B1" s="2"/>
      <c r="C1" s="2"/>
      <c r="D1" s="3" t="s">
        <v>157</v>
      </c>
      <c r="E1" s="2"/>
      <c r="F1" s="2"/>
      <c r="G1" s="2"/>
      <c r="H1" s="4"/>
      <c r="I1" s="50" t="s">
        <v>71</v>
      </c>
      <c r="J1" s="68" t="s">
        <v>189</v>
      </c>
      <c r="K1" s="72" t="s">
        <v>121</v>
      </c>
      <c r="L1" s="45"/>
      <c r="M1" s="46"/>
      <c r="N1" s="46"/>
    </row>
    <row r="2" spans="1:20" ht="15.6" thickTop="1" thickBot="1" x14ac:dyDescent="0.35">
      <c r="A2" s="50" t="s">
        <v>52</v>
      </c>
      <c r="B2" s="2"/>
      <c r="C2" s="2"/>
      <c r="D2" s="3"/>
      <c r="E2" s="2"/>
      <c r="F2" s="2"/>
      <c r="G2" s="6"/>
      <c r="H2" s="43"/>
      <c r="I2" s="50" t="s">
        <v>61</v>
      </c>
      <c r="J2" s="5" t="s">
        <v>62</v>
      </c>
      <c r="K2" s="45" t="s">
        <v>46</v>
      </c>
      <c r="L2" s="45" t="s">
        <v>41</v>
      </c>
      <c r="M2" s="45" t="s">
        <v>42</v>
      </c>
      <c r="N2" s="45" t="s">
        <v>46</v>
      </c>
      <c r="O2" s="45" t="s">
        <v>42</v>
      </c>
    </row>
    <row r="3" spans="1:20" ht="15.6" thickTop="1" thickBot="1" x14ac:dyDescent="0.35">
      <c r="A3" s="51" t="s">
        <v>4</v>
      </c>
      <c r="B3" s="45">
        <v>1709</v>
      </c>
      <c r="C3" s="7" t="s">
        <v>1</v>
      </c>
      <c r="D3" s="8"/>
      <c r="E3" s="7" t="s">
        <v>2</v>
      </c>
      <c r="F3" s="9"/>
      <c r="G3" s="10" t="s">
        <v>3</v>
      </c>
      <c r="H3" s="8"/>
      <c r="I3" s="46" t="s">
        <v>173</v>
      </c>
      <c r="J3" s="9"/>
      <c r="K3" s="70" t="s">
        <v>79</v>
      </c>
      <c r="L3" s="70">
        <f>SUMIFS($A$11:$A$401,$B$11:$B$401,"CH",$F$11:$F$401,"1")</f>
        <v>0</v>
      </c>
      <c r="M3" s="70" t="s">
        <v>6</v>
      </c>
      <c r="N3" s="70">
        <f>SUMIFS($A$11:$A$401,$B$11:$B$401,"RT",$F$11:$F$401,"1")</f>
        <v>7</v>
      </c>
      <c r="O3" s="70" t="s">
        <v>13</v>
      </c>
    </row>
    <row r="4" spans="1:20" ht="15.6" thickTop="1" thickBot="1" x14ac:dyDescent="0.35">
      <c r="A4" s="50" t="s">
        <v>0</v>
      </c>
      <c r="B4" s="4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46" t="s">
        <v>170</v>
      </c>
      <c r="J4" s="9"/>
      <c r="K4" s="70" t="s">
        <v>80</v>
      </c>
      <c r="L4" s="70">
        <f>SUMIFS($A$11:$A$401,$B$11:$B$401,"CH",$F$11:$F$401,"2")</f>
        <v>11</v>
      </c>
      <c r="M4" s="70" t="s">
        <v>6</v>
      </c>
      <c r="N4" s="70">
        <f>SUMIFS($A$11:$A$401,$B$11:$B$401,"RT",$F$11:$F$401,"2")</f>
        <v>126</v>
      </c>
      <c r="O4" s="70" t="s">
        <v>13</v>
      </c>
    </row>
    <row r="5" spans="1:20" ht="15" thickTop="1" x14ac:dyDescent="0.3">
      <c r="A5" s="49" t="s">
        <v>11</v>
      </c>
      <c r="B5" s="111">
        <v>44084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68</v>
      </c>
      <c r="H5" s="15" t="s">
        <v>16</v>
      </c>
      <c r="I5" s="46" t="s">
        <v>174</v>
      </c>
      <c r="J5" s="9"/>
      <c r="K5" s="70" t="s">
        <v>81</v>
      </c>
      <c r="L5" s="70">
        <f>SUMIFS($A$11:$A$401,$B$11:$B$401,"CH",$F$11:$F$401,"3")</f>
        <v>0</v>
      </c>
      <c r="M5" s="70" t="s">
        <v>6</v>
      </c>
      <c r="N5" s="70">
        <f>SUMIFS($A$11:$A$401,$B$11:$B$401,"RT",$F$11:$F$401,"3")</f>
        <v>37</v>
      </c>
      <c r="O5" s="70" t="s">
        <v>13</v>
      </c>
    </row>
    <row r="6" spans="1:20" x14ac:dyDescent="0.3">
      <c r="A6" s="48" t="s">
        <v>57</v>
      </c>
      <c r="B6" s="93">
        <v>0.50624999999999998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46" t="s">
        <v>175</v>
      </c>
      <c r="J6" s="9"/>
      <c r="K6" s="70" t="s">
        <v>82</v>
      </c>
      <c r="L6" s="70">
        <f>SUMIFS($A$11:$A$401,$B$11:$B$401,"CH",$F$11:$F$401,"4")</f>
        <v>7</v>
      </c>
      <c r="M6" s="70" t="s">
        <v>6</v>
      </c>
      <c r="N6" s="70">
        <f>SUMIFS($A$11:$A$401,$B$11:$B$401,"RT",$F$11:$F$401,"4")</f>
        <v>26</v>
      </c>
      <c r="O6" s="70" t="s">
        <v>13</v>
      </c>
    </row>
    <row r="7" spans="1:20" x14ac:dyDescent="0.3">
      <c r="A7" s="69" t="s">
        <v>69</v>
      </c>
      <c r="B7" s="96" t="s">
        <v>176</v>
      </c>
      <c r="C7" s="11" t="s">
        <v>24</v>
      </c>
      <c r="D7" s="12" t="s">
        <v>25</v>
      </c>
      <c r="E7" s="11" t="s">
        <v>70</v>
      </c>
      <c r="F7" s="12" t="s">
        <v>63</v>
      </c>
      <c r="G7" s="18" t="s">
        <v>197</v>
      </c>
      <c r="H7" s="118" t="s">
        <v>198</v>
      </c>
      <c r="I7" s="46"/>
      <c r="J7" s="9"/>
      <c r="K7" s="70" t="s">
        <v>83</v>
      </c>
      <c r="L7" s="70">
        <f>SUMIFS($A$11:$A$401,$B$11:$B$401,"CH",$F$11:$F$401,"5")</f>
        <v>7</v>
      </c>
      <c r="M7" s="70" t="s">
        <v>6</v>
      </c>
      <c r="N7" s="70">
        <f>SUMIFS($A$11:$A$401,$B$11:$B$401,"RT",$F$11:$F$401,"5")</f>
        <v>12</v>
      </c>
      <c r="O7" s="70" t="s">
        <v>13</v>
      </c>
    </row>
    <row r="8" spans="1:20" x14ac:dyDescent="0.3">
      <c r="A8" s="16" t="s">
        <v>23</v>
      </c>
      <c r="B8" s="97">
        <v>3</v>
      </c>
      <c r="C8" s="13" t="s">
        <v>64</v>
      </c>
      <c r="D8" s="12" t="s">
        <v>65</v>
      </c>
      <c r="E8" s="13" t="s">
        <v>67</v>
      </c>
      <c r="F8" s="12" t="s">
        <v>59</v>
      </c>
      <c r="G8" s="18" t="s">
        <v>55</v>
      </c>
      <c r="H8" s="15" t="s">
        <v>53</v>
      </c>
      <c r="I8" s="46"/>
      <c r="J8" s="9"/>
      <c r="K8" s="70" t="s">
        <v>84</v>
      </c>
      <c r="L8" s="70">
        <f>SUMIFS($A$11:$A$401,$B$11:$B$401,"CH",$F$11:$F$401,"6")</f>
        <v>100</v>
      </c>
      <c r="M8" s="70" t="s">
        <v>6</v>
      </c>
      <c r="N8" s="70">
        <f>SUMIFS($A$11:$A$401,$B$11:$B$401,"RT",$F$11:$F$401,"6")</f>
        <v>5</v>
      </c>
      <c r="O8" s="70" t="s">
        <v>13</v>
      </c>
    </row>
    <row r="9" spans="1:20" ht="15" thickBot="1" x14ac:dyDescent="0.35">
      <c r="A9" s="16" t="s">
        <v>26</v>
      </c>
      <c r="B9" s="98">
        <v>1</v>
      </c>
      <c r="C9" s="11" t="s">
        <v>29</v>
      </c>
      <c r="D9" s="12" t="s">
        <v>27</v>
      </c>
      <c r="E9" s="22" t="s">
        <v>30</v>
      </c>
      <c r="F9" s="12" t="s">
        <v>31</v>
      </c>
      <c r="G9" s="20" t="s">
        <v>56</v>
      </c>
      <c r="H9" s="119" t="s">
        <v>54</v>
      </c>
      <c r="I9" s="99"/>
      <c r="J9" s="29"/>
      <c r="K9" s="70" t="s">
        <v>85</v>
      </c>
      <c r="L9" s="70">
        <f>SUMIFS($A$11:$A$401,$B$11:$B$401,"CH",$F$11:$F$401,"7")</f>
        <v>9</v>
      </c>
      <c r="M9" s="70" t="s">
        <v>6</v>
      </c>
      <c r="N9" s="70">
        <f>SUMIFS($A$11:$A$401,$B$11:$B$401,"RT",$F$11:$F$401,"7")</f>
        <v>11</v>
      </c>
      <c r="O9" s="70" t="s">
        <v>13</v>
      </c>
    </row>
    <row r="10" spans="1:20" ht="15" thickTop="1" x14ac:dyDescent="0.3">
      <c r="A10" s="53" t="s">
        <v>28</v>
      </c>
      <c r="B10" s="21"/>
      <c r="C10" s="11" t="s">
        <v>32</v>
      </c>
      <c r="D10" s="12" t="s">
        <v>33</v>
      </c>
      <c r="E10" s="24" t="s">
        <v>34</v>
      </c>
      <c r="F10" s="25" t="s">
        <v>35</v>
      </c>
      <c r="G10" s="23" t="s">
        <v>199</v>
      </c>
      <c r="H10" s="9"/>
      <c r="I10" s="47" t="s">
        <v>36</v>
      </c>
      <c r="J10" s="8" t="s">
        <v>167</v>
      </c>
      <c r="K10" s="70" t="s">
        <v>86</v>
      </c>
      <c r="L10" s="70">
        <f>SUMIFS($A$11:$A$401,$B$11:$B$401,"CH",$F$11:$F$401,"8")</f>
        <v>48</v>
      </c>
      <c r="M10" s="70" t="s">
        <v>6</v>
      </c>
      <c r="N10" s="70">
        <f>SUMIFS($A$11:$A$401,$B$11:$B$401,"RT",$F$11:$F$401,"8")</f>
        <v>82</v>
      </c>
      <c r="O10" s="70" t="s">
        <v>13</v>
      </c>
    </row>
    <row r="11" spans="1:20" ht="15" thickBot="1" x14ac:dyDescent="0.35">
      <c r="A11" s="26"/>
      <c r="B11" s="27"/>
      <c r="C11" s="26" t="s">
        <v>37</v>
      </c>
      <c r="D11" s="28" t="s">
        <v>38</v>
      </c>
      <c r="E11" s="24" t="s">
        <v>39</v>
      </c>
      <c r="F11" s="28" t="s">
        <v>58</v>
      </c>
      <c r="G11" t="s">
        <v>51</v>
      </c>
      <c r="H11" s="28" t="s">
        <v>40</v>
      </c>
      <c r="I11" s="67"/>
      <c r="J11" s="29"/>
      <c r="K11" s="70" t="s">
        <v>87</v>
      </c>
      <c r="L11" s="70">
        <f>SUMIFS($A$11:$A$401,$B$11:$B$401,"CH",$F$11:$F$401,"9")</f>
        <v>0</v>
      </c>
      <c r="M11" s="70" t="s">
        <v>6</v>
      </c>
      <c r="N11" s="70">
        <f>SUMIFS($A$11:$A$401,$B$11:$B$401,"RT",$F$11:$F$401,"9")</f>
        <v>0</v>
      </c>
      <c r="O11" s="70" t="s">
        <v>13</v>
      </c>
    </row>
    <row r="12" spans="1:20" ht="15.6" thickTop="1" thickBot="1" x14ac:dyDescent="0.35">
      <c r="A12" s="30" t="s">
        <v>41</v>
      </c>
      <c r="B12" s="31" t="s">
        <v>42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50</v>
      </c>
      <c r="K12" s="70" t="s">
        <v>88</v>
      </c>
      <c r="L12" s="70">
        <f>SUMIFS($A$11:$A$401,$B$11:$B$401,"CH",$F$11:$F$401,"10")</f>
        <v>0</v>
      </c>
      <c r="M12" s="70" t="s">
        <v>6</v>
      </c>
      <c r="N12" s="70">
        <f>SUMIFS($A$11:$A$401,$B$11:$B$401,"RT",$F$11:$F$401,"10")</f>
        <v>2</v>
      </c>
      <c r="O12" s="70" t="s">
        <v>13</v>
      </c>
      <c r="P12" s="65"/>
      <c r="Q12" s="65"/>
      <c r="R12" s="65"/>
      <c r="S12" s="65"/>
      <c r="T12" s="65"/>
    </row>
    <row r="13" spans="1:20" ht="15" thickTop="1" x14ac:dyDescent="0.3">
      <c r="A13" s="32">
        <v>4</v>
      </c>
      <c r="B13" s="54" t="s">
        <v>13</v>
      </c>
      <c r="C13" s="33">
        <v>60</v>
      </c>
      <c r="D13" s="64" t="s">
        <v>75</v>
      </c>
      <c r="E13" s="101" t="s">
        <v>78</v>
      </c>
      <c r="F13" s="101">
        <v>1</v>
      </c>
      <c r="G13" s="101" t="s">
        <v>63</v>
      </c>
      <c r="H13" s="101" t="s">
        <v>10</v>
      </c>
      <c r="I13" s="102">
        <v>0.50624999999999998</v>
      </c>
      <c r="J13" s="103" t="s">
        <v>187</v>
      </c>
      <c r="K13" s="70" t="s">
        <v>89</v>
      </c>
      <c r="L13" s="70">
        <f>SUMIFS($A$11:$A$401,$B$11:$B$401,"CH",$F$11:$F$401,"11")</f>
        <v>0</v>
      </c>
      <c r="M13" s="70" t="s">
        <v>6</v>
      </c>
      <c r="N13" s="70">
        <f>SUMIFS($A$11:$A$401,$B$11:$B$401,"RT",$F$11:$F$401,"11")</f>
        <v>8</v>
      </c>
      <c r="O13" s="70" t="s">
        <v>13</v>
      </c>
      <c r="P13" s="65"/>
      <c r="Q13" s="65"/>
      <c r="R13" s="65"/>
      <c r="S13" s="65"/>
      <c r="T13" s="65"/>
    </row>
    <row r="14" spans="1:20" x14ac:dyDescent="0.3">
      <c r="A14" s="36">
        <v>2</v>
      </c>
      <c r="B14" s="54" t="s">
        <v>13</v>
      </c>
      <c r="C14" s="37">
        <v>60</v>
      </c>
      <c r="D14" s="62" t="s">
        <v>75</v>
      </c>
      <c r="E14" s="105" t="s">
        <v>78</v>
      </c>
      <c r="F14" s="105">
        <v>1</v>
      </c>
      <c r="G14" s="105" t="s">
        <v>63</v>
      </c>
      <c r="H14" s="105" t="s">
        <v>10</v>
      </c>
      <c r="I14" s="105"/>
      <c r="J14" s="97"/>
      <c r="K14" s="70" t="s">
        <v>90</v>
      </c>
      <c r="L14" s="70">
        <f>SUMIFS($A$11:$A$401,$B$11:$B$401,"CH",$F$11:$F$401,"12")</f>
        <v>0</v>
      </c>
      <c r="M14" s="70" t="s">
        <v>6</v>
      </c>
      <c r="N14" s="70">
        <f>SUMIFS($A$11:$A$401,$B$11:$B$401,"RT",$F$11:$F$401,"12")</f>
        <v>0</v>
      </c>
      <c r="O14" s="70" t="s">
        <v>13</v>
      </c>
      <c r="P14" s="65"/>
      <c r="Q14" s="65"/>
      <c r="R14" s="65"/>
      <c r="S14" s="65"/>
      <c r="T14" s="65"/>
    </row>
    <row r="15" spans="1:20" x14ac:dyDescent="0.3">
      <c r="A15" s="36">
        <v>1</v>
      </c>
      <c r="B15" s="54" t="s">
        <v>13</v>
      </c>
      <c r="C15" s="37">
        <v>90</v>
      </c>
      <c r="D15" s="105" t="s">
        <v>73</v>
      </c>
      <c r="E15" s="105" t="s">
        <v>78</v>
      </c>
      <c r="F15" s="105">
        <v>1</v>
      </c>
      <c r="G15" s="105" t="s">
        <v>63</v>
      </c>
      <c r="H15" s="105" t="s">
        <v>185</v>
      </c>
      <c r="I15" s="105"/>
      <c r="J15" s="97"/>
      <c r="K15" s="70" t="s">
        <v>91</v>
      </c>
      <c r="L15" s="70">
        <f>SUMIFS($A$11:$A$401,$B$11:$B$401,"CH",$F$11:$F$401,"13")</f>
        <v>0</v>
      </c>
      <c r="M15" s="70" t="s">
        <v>6</v>
      </c>
      <c r="N15" s="70">
        <f>SUMIFS($A$11:$A$401,$B$11:$B$401,"RT",$F$11:$F$401,"13")</f>
        <v>0</v>
      </c>
      <c r="O15" s="70" t="s">
        <v>13</v>
      </c>
      <c r="P15" s="65"/>
      <c r="Q15" s="65"/>
      <c r="R15" s="65"/>
      <c r="S15" s="65"/>
      <c r="T15" s="65"/>
    </row>
    <row r="16" spans="1:20" x14ac:dyDescent="0.3">
      <c r="A16" s="36">
        <v>20</v>
      </c>
      <c r="B16" s="54" t="s">
        <v>13</v>
      </c>
      <c r="C16" s="37">
        <v>60</v>
      </c>
      <c r="D16" s="105" t="s">
        <v>75</v>
      </c>
      <c r="E16" s="105"/>
      <c r="F16" s="105">
        <v>2</v>
      </c>
      <c r="G16" s="105" t="s">
        <v>63</v>
      </c>
      <c r="H16" s="105" t="s">
        <v>186</v>
      </c>
      <c r="I16" s="105"/>
      <c r="J16" s="97" t="s">
        <v>188</v>
      </c>
      <c r="K16" s="70" t="s">
        <v>92</v>
      </c>
      <c r="L16" s="70">
        <f>SUMIFS($A$11:$A$401,$B$11:$B$401,"CH",$F$11:$F$401,"14")</f>
        <v>0</v>
      </c>
      <c r="M16" s="70" t="s">
        <v>6</v>
      </c>
      <c r="N16" s="70">
        <f>SUMIFS($A$11:$A$401,$B$11:$B$401,"RT",$F$11:$F$401,"14")</f>
        <v>0</v>
      </c>
      <c r="O16" s="70" t="s">
        <v>13</v>
      </c>
      <c r="P16" s="65"/>
      <c r="Q16" s="65"/>
      <c r="R16" s="65"/>
      <c r="S16" s="65"/>
      <c r="T16" s="65"/>
    </row>
    <row r="17" spans="1:20" x14ac:dyDescent="0.3">
      <c r="A17" s="36">
        <v>30</v>
      </c>
      <c r="B17" s="54" t="s">
        <v>13</v>
      </c>
      <c r="C17" s="37">
        <v>50</v>
      </c>
      <c r="D17" s="105" t="s">
        <v>75</v>
      </c>
      <c r="E17" s="105"/>
      <c r="F17" s="105">
        <v>2</v>
      </c>
      <c r="G17" s="105" t="s">
        <v>63</v>
      </c>
      <c r="H17" s="105" t="s">
        <v>186</v>
      </c>
      <c r="I17" s="105"/>
      <c r="J17" s="97"/>
      <c r="K17" s="70" t="s">
        <v>93</v>
      </c>
      <c r="L17" s="70">
        <f>SUMIFS($A$11:$A$401,$B$11:$B$401,"CH",$F$11:$F$401,"15")</f>
        <v>0</v>
      </c>
      <c r="M17" s="70" t="s">
        <v>6</v>
      </c>
      <c r="N17" s="70">
        <f>SUMIFS($A$11:$A$401,$B$11:$B$401,"RT",$F$11:$F$401,"15")</f>
        <v>0</v>
      </c>
      <c r="O17" s="70" t="s">
        <v>13</v>
      </c>
      <c r="P17" s="65"/>
      <c r="Q17" s="65"/>
      <c r="R17" s="65"/>
      <c r="S17" s="65"/>
      <c r="T17" s="65"/>
    </row>
    <row r="18" spans="1:20" x14ac:dyDescent="0.3">
      <c r="A18" s="36">
        <v>10</v>
      </c>
      <c r="B18" s="54" t="s">
        <v>13</v>
      </c>
      <c r="C18" s="37">
        <v>90</v>
      </c>
      <c r="D18" s="105" t="s">
        <v>75</v>
      </c>
      <c r="E18" s="105"/>
      <c r="F18" s="105">
        <v>2</v>
      </c>
      <c r="G18" s="105" t="s">
        <v>63</v>
      </c>
      <c r="H18" s="105" t="s">
        <v>186</v>
      </c>
      <c r="I18" s="105"/>
      <c r="J18" s="97"/>
      <c r="K18" s="70" t="s">
        <v>94</v>
      </c>
      <c r="L18" s="70">
        <f>SUMIFS($A$11:$A$401,$B$11:$B$401,"CH",$F$11:$F$401,"16")</f>
        <v>0</v>
      </c>
      <c r="M18" s="70" t="s">
        <v>6</v>
      </c>
      <c r="N18" s="70">
        <f>SUMIFS($A$11:$A$401,$B$11:$B$401,"RT",$F$11:$F$401,"16")</f>
        <v>0</v>
      </c>
      <c r="O18" s="70" t="s">
        <v>13</v>
      </c>
      <c r="P18" s="65"/>
      <c r="Q18" s="65"/>
      <c r="R18" s="65"/>
      <c r="S18" s="65"/>
      <c r="T18" s="65"/>
    </row>
    <row r="19" spans="1:20" x14ac:dyDescent="0.3">
      <c r="A19" s="36">
        <v>2</v>
      </c>
      <c r="B19" s="54" t="s">
        <v>13</v>
      </c>
      <c r="C19" s="37">
        <v>120</v>
      </c>
      <c r="D19" s="105" t="s">
        <v>75</v>
      </c>
      <c r="E19" s="105"/>
      <c r="F19" s="105">
        <v>2</v>
      </c>
      <c r="G19" s="105" t="s">
        <v>63</v>
      </c>
      <c r="H19" s="105" t="s">
        <v>186</v>
      </c>
      <c r="I19" s="105"/>
      <c r="J19" s="97"/>
      <c r="K19" s="70" t="s">
        <v>95</v>
      </c>
      <c r="L19" s="70">
        <f>SUMIFS($A$11:$A$401,$B$11:$B$401,"CH",$F$11:$F$401,"17")</f>
        <v>0</v>
      </c>
      <c r="M19" s="70" t="s">
        <v>6</v>
      </c>
      <c r="N19" s="70">
        <f>SUMIFS($A$11:$A$401,$B$11:$B$401,"RT",$F$11:$F$401,"17")</f>
        <v>0</v>
      </c>
      <c r="O19" s="70" t="s">
        <v>13</v>
      </c>
      <c r="P19" s="65"/>
      <c r="Q19" s="65"/>
      <c r="R19" s="66"/>
      <c r="S19" s="65"/>
      <c r="T19" s="65"/>
    </row>
    <row r="20" spans="1:20" x14ac:dyDescent="0.3">
      <c r="A20" s="36">
        <v>1</v>
      </c>
      <c r="B20" s="54" t="s">
        <v>13</v>
      </c>
      <c r="C20" s="37">
        <v>70</v>
      </c>
      <c r="D20" s="105" t="s">
        <v>73</v>
      </c>
      <c r="E20" s="105"/>
      <c r="F20" s="105">
        <v>2</v>
      </c>
      <c r="G20" s="105"/>
      <c r="H20" s="105" t="s">
        <v>184</v>
      </c>
      <c r="I20" s="105"/>
      <c r="J20" s="97"/>
      <c r="K20" s="70" t="s">
        <v>96</v>
      </c>
      <c r="L20" s="70">
        <f>SUMIFS($A$11:$A$401,$B$11:$B$401,"CH",$F$11:$F$401,"18")</f>
        <v>0</v>
      </c>
      <c r="M20" s="70" t="s">
        <v>6</v>
      </c>
      <c r="N20" s="70">
        <f>SUMIFS($A$11:$A$401,$B$11:$B$401,"RT",$F$11:$F$401,"18")</f>
        <v>0</v>
      </c>
      <c r="O20" s="70" t="s">
        <v>13</v>
      </c>
      <c r="P20" s="65"/>
      <c r="Q20" s="65"/>
      <c r="R20" s="65"/>
      <c r="S20" s="65"/>
      <c r="T20" s="65"/>
    </row>
    <row r="21" spans="1:20" x14ac:dyDescent="0.3">
      <c r="A21" s="36">
        <v>1</v>
      </c>
      <c r="B21" s="54" t="s">
        <v>13</v>
      </c>
      <c r="C21" s="37">
        <v>50</v>
      </c>
      <c r="D21" s="105" t="s">
        <v>73</v>
      </c>
      <c r="E21" s="105"/>
      <c r="F21" s="105">
        <v>2</v>
      </c>
      <c r="G21" s="105"/>
      <c r="H21" s="105" t="s">
        <v>184</v>
      </c>
      <c r="I21" s="105"/>
      <c r="J21" s="97"/>
      <c r="K21" s="70" t="s">
        <v>97</v>
      </c>
      <c r="L21" s="70">
        <f>SUMIFS($A$11:$A$401,$B$11:$B$401,"CH",$F$11:$F$401,"19")</f>
        <v>0</v>
      </c>
      <c r="M21" s="70" t="s">
        <v>6</v>
      </c>
      <c r="N21" s="70">
        <f>SUMIFS($A$11:$A$401,$B$11:$B$401,"RT",$F$11:$F$401,"19")</f>
        <v>0</v>
      </c>
      <c r="O21" s="70" t="s">
        <v>13</v>
      </c>
      <c r="P21" s="65"/>
      <c r="Q21" s="65"/>
      <c r="R21" s="65"/>
      <c r="S21" s="65"/>
      <c r="T21" s="65"/>
    </row>
    <row r="22" spans="1:20" x14ac:dyDescent="0.3">
      <c r="A22" s="36">
        <v>2</v>
      </c>
      <c r="B22" s="54" t="s">
        <v>13</v>
      </c>
      <c r="C22" s="37">
        <v>50</v>
      </c>
      <c r="D22" s="105" t="s">
        <v>73</v>
      </c>
      <c r="E22" s="105"/>
      <c r="F22" s="105">
        <v>2</v>
      </c>
      <c r="G22" s="105"/>
      <c r="H22" s="105" t="s">
        <v>184</v>
      </c>
      <c r="I22" s="105"/>
      <c r="J22" s="97"/>
      <c r="K22" s="70" t="s">
        <v>98</v>
      </c>
      <c r="L22" s="70">
        <f>SUMIFS($A$11:$A$401,$B$11:$B$401,"CH",$F$11:$F$401,"20")</f>
        <v>0</v>
      </c>
      <c r="M22" s="70" t="s">
        <v>6</v>
      </c>
      <c r="N22" s="70">
        <f>SUMIFS($A$11:$A$401,$B$11:$B$401,"RT",$F$11:$F$401,"20")</f>
        <v>0</v>
      </c>
      <c r="O22" s="70" t="s">
        <v>13</v>
      </c>
    </row>
    <row r="23" spans="1:20" x14ac:dyDescent="0.3">
      <c r="A23" s="36">
        <v>3</v>
      </c>
      <c r="B23" s="54" t="s">
        <v>13</v>
      </c>
      <c r="C23" s="37">
        <v>60</v>
      </c>
      <c r="D23" s="105" t="s">
        <v>73</v>
      </c>
      <c r="E23" s="105"/>
      <c r="F23" s="105">
        <v>2</v>
      </c>
      <c r="G23" s="105"/>
      <c r="H23" s="105" t="s">
        <v>184</v>
      </c>
      <c r="I23" s="105"/>
      <c r="J23" s="97"/>
      <c r="K23" s="70" t="s">
        <v>99</v>
      </c>
      <c r="L23" s="70">
        <f>SUMIFS($A$11:$A$401,$B$11:$B$401,"CH",$F$11:$F$401,"21")</f>
        <v>0</v>
      </c>
      <c r="M23" s="70" t="s">
        <v>6</v>
      </c>
      <c r="N23" s="70">
        <f>SUMIFS($A$11:$A$401,$B$11:$B$401,"RT",$F$11:$F$401,"21")</f>
        <v>0</v>
      </c>
      <c r="O23" s="70" t="s">
        <v>13</v>
      </c>
    </row>
    <row r="24" spans="1:20" x14ac:dyDescent="0.3">
      <c r="A24" s="36">
        <v>10</v>
      </c>
      <c r="B24" s="54" t="s">
        <v>13</v>
      </c>
      <c r="C24" s="37">
        <v>30</v>
      </c>
      <c r="D24" s="105" t="s">
        <v>75</v>
      </c>
      <c r="E24" s="105"/>
      <c r="F24" s="105">
        <v>3</v>
      </c>
      <c r="G24" s="105"/>
      <c r="H24" s="105" t="s">
        <v>184</v>
      </c>
      <c r="I24" s="105"/>
      <c r="J24" s="97"/>
      <c r="K24" s="70" t="s">
        <v>100</v>
      </c>
      <c r="L24" s="70">
        <f>SUMIFS($A$11:$A$401,$B$11:$B$401,"CH",$F$11:$F$401,"22")</f>
        <v>0</v>
      </c>
      <c r="M24" s="70" t="s">
        <v>6</v>
      </c>
      <c r="N24" s="70">
        <f>SUMIFS($A$11:$A$401,$B$11:$B$401,"RT",$F$11:$F$401,"22")</f>
        <v>0</v>
      </c>
      <c r="O24" s="70" t="s">
        <v>13</v>
      </c>
    </row>
    <row r="25" spans="1:20" x14ac:dyDescent="0.3">
      <c r="A25" s="36">
        <v>4</v>
      </c>
      <c r="B25" s="54" t="s">
        <v>13</v>
      </c>
      <c r="C25" s="37">
        <v>50</v>
      </c>
      <c r="D25" s="105" t="s">
        <v>73</v>
      </c>
      <c r="E25" s="105"/>
      <c r="F25" s="105">
        <v>3</v>
      </c>
      <c r="G25" s="105"/>
      <c r="H25" s="105" t="s">
        <v>184</v>
      </c>
      <c r="I25" s="105"/>
      <c r="J25" s="97"/>
      <c r="K25" s="70" t="s">
        <v>101</v>
      </c>
      <c r="L25" s="70">
        <f>SUMIFS($A$11:$A$401,$B$11:$B$401,"CH",$F$11:$F$401,"23")</f>
        <v>0</v>
      </c>
      <c r="M25" s="70" t="s">
        <v>6</v>
      </c>
      <c r="N25" s="70">
        <f>SUMIFS($A$11:$A$401,$B$11:$B$401,"RT",$F$11:$F$401,"23")</f>
        <v>0</v>
      </c>
      <c r="O25" s="70" t="s">
        <v>13</v>
      </c>
    </row>
    <row r="26" spans="1:20" x14ac:dyDescent="0.3">
      <c r="A26" s="36">
        <v>3</v>
      </c>
      <c r="B26" s="54" t="s">
        <v>13</v>
      </c>
      <c r="C26" s="37">
        <v>30</v>
      </c>
      <c r="D26" s="105" t="s">
        <v>75</v>
      </c>
      <c r="E26" s="105"/>
      <c r="F26" s="105">
        <v>3</v>
      </c>
      <c r="G26" s="105"/>
      <c r="H26" s="105" t="s">
        <v>184</v>
      </c>
      <c r="I26" s="105"/>
      <c r="J26" s="97"/>
      <c r="K26" s="70" t="s">
        <v>102</v>
      </c>
      <c r="L26" s="70">
        <f>SUMIFS($A$11:$A$401,$B$11:$B$401,"CH",$F$11:$F$401,"24")</f>
        <v>0</v>
      </c>
      <c r="M26" s="70" t="s">
        <v>6</v>
      </c>
      <c r="N26" s="70">
        <f>SUMIFS($A$11:$A$401,$B$11:$B$401,"RT",$F$11:$F$401,"24")</f>
        <v>0</v>
      </c>
      <c r="O26" s="70" t="s">
        <v>13</v>
      </c>
    </row>
    <row r="27" spans="1:20" x14ac:dyDescent="0.3">
      <c r="A27" s="36">
        <v>3</v>
      </c>
      <c r="B27" s="54" t="s">
        <v>13</v>
      </c>
      <c r="C27" s="37">
        <v>60</v>
      </c>
      <c r="D27" s="105" t="s">
        <v>75</v>
      </c>
      <c r="E27" s="105"/>
      <c r="F27" s="105">
        <v>3</v>
      </c>
      <c r="G27" s="105"/>
      <c r="H27" s="105" t="s">
        <v>184</v>
      </c>
      <c r="I27" s="105"/>
      <c r="J27" s="97"/>
      <c r="K27" s="70" t="s">
        <v>103</v>
      </c>
      <c r="L27" s="70">
        <f>SUMIFS($A$11:$A$401,$B$11:$B$401,"CH",$F$11:$F$401,"25")</f>
        <v>0</v>
      </c>
      <c r="M27" s="70" t="s">
        <v>6</v>
      </c>
      <c r="N27" s="70">
        <f>SUMIFS($A$11:$A$401,$B$11:$B$401,"RT",$F$11:$F$401,"25")</f>
        <v>0</v>
      </c>
      <c r="O27" s="70" t="s">
        <v>13</v>
      </c>
    </row>
    <row r="28" spans="1:20" x14ac:dyDescent="0.3">
      <c r="A28" s="36">
        <v>1</v>
      </c>
      <c r="B28" s="55" t="s">
        <v>27</v>
      </c>
      <c r="C28" s="37">
        <v>50</v>
      </c>
      <c r="D28" s="105" t="s">
        <v>73</v>
      </c>
      <c r="E28" s="105"/>
      <c r="F28" s="105">
        <v>3</v>
      </c>
      <c r="G28" s="105"/>
      <c r="H28" s="105" t="s">
        <v>184</v>
      </c>
      <c r="I28" s="105"/>
      <c r="J28" s="97"/>
      <c r="K28" s="70" t="s">
        <v>104</v>
      </c>
      <c r="L28" s="70">
        <f>SUMIFS($A$11:$A$401,$B$11:$B$401,"CH",$F$11:$F$401,"26")</f>
        <v>0</v>
      </c>
      <c r="M28" s="70" t="s">
        <v>6</v>
      </c>
      <c r="N28" s="70">
        <f>SUMIFS($A$11:$A$401,$B$11:$B$401,"RT",$F$11:$F$401,"26")</f>
        <v>0</v>
      </c>
      <c r="O28" s="70" t="s">
        <v>13</v>
      </c>
    </row>
    <row r="29" spans="1:20" x14ac:dyDescent="0.3">
      <c r="A29" s="36">
        <v>5</v>
      </c>
      <c r="B29" s="55" t="s">
        <v>13</v>
      </c>
      <c r="C29" s="37">
        <v>50</v>
      </c>
      <c r="D29" s="105" t="s">
        <v>73</v>
      </c>
      <c r="E29" s="105"/>
      <c r="F29" s="105">
        <v>3</v>
      </c>
      <c r="G29" s="105"/>
      <c r="H29" s="105" t="s">
        <v>184</v>
      </c>
      <c r="I29" s="105"/>
      <c r="J29" s="97"/>
      <c r="K29" s="70" t="s">
        <v>105</v>
      </c>
      <c r="L29" s="70">
        <f>SUMIFS($A$11:$A$401,$B$11:$B$401,"CH",$F$11:$F$401,"27")</f>
        <v>0</v>
      </c>
      <c r="M29" s="70" t="s">
        <v>6</v>
      </c>
      <c r="N29" s="70">
        <f>SUMIFS($A$11:$A$401,$B$11:$B$401,"RT",$F$11:$F$401,"27")</f>
        <v>0</v>
      </c>
      <c r="O29" s="70" t="s">
        <v>13</v>
      </c>
    </row>
    <row r="30" spans="1:20" x14ac:dyDescent="0.3">
      <c r="A30" s="36">
        <v>3</v>
      </c>
      <c r="B30" s="55" t="s">
        <v>13</v>
      </c>
      <c r="C30" s="37">
        <v>50</v>
      </c>
      <c r="D30" s="105" t="s">
        <v>73</v>
      </c>
      <c r="E30" s="105"/>
      <c r="F30" s="105">
        <v>3</v>
      </c>
      <c r="G30" s="105"/>
      <c r="H30" s="105" t="s">
        <v>184</v>
      </c>
      <c r="I30" s="105"/>
      <c r="J30" s="97"/>
      <c r="K30" s="70" t="s">
        <v>106</v>
      </c>
      <c r="L30" s="70">
        <f>SUMIFS($A$11:$A$401,$B$11:$B$401,"CH",$F$11:$F$401,"28")</f>
        <v>0</v>
      </c>
      <c r="M30" s="70" t="s">
        <v>6</v>
      </c>
      <c r="N30" s="70">
        <f>SUMIFS($A$11:$A$401,$B$11:$B$401,"RT",$F$11:$F$401,"28")</f>
        <v>0</v>
      </c>
      <c r="O30" s="70" t="s">
        <v>13</v>
      </c>
    </row>
    <row r="31" spans="1:20" x14ac:dyDescent="0.3">
      <c r="A31" s="36">
        <v>7</v>
      </c>
      <c r="B31" s="55" t="s">
        <v>13</v>
      </c>
      <c r="C31" s="37">
        <v>50</v>
      </c>
      <c r="D31" s="105" t="s">
        <v>75</v>
      </c>
      <c r="E31" s="105"/>
      <c r="F31" s="105">
        <v>3</v>
      </c>
      <c r="G31" s="105"/>
      <c r="H31" s="105" t="s">
        <v>184</v>
      </c>
      <c r="I31" s="105"/>
      <c r="J31" s="97"/>
      <c r="K31" s="70" t="s">
        <v>107</v>
      </c>
      <c r="L31" s="70">
        <f>SUMIFS($A$11:$A$401,$B$11:$B$401,"CH",$F$11:$F$401,"29")</f>
        <v>0</v>
      </c>
      <c r="M31" s="70" t="s">
        <v>6</v>
      </c>
      <c r="N31" s="70">
        <f>SUMIFS($A$11:$A$401,$B$11:$B$401,"RT",$F$11:$F$401,"29")</f>
        <v>0</v>
      </c>
      <c r="O31" s="70" t="s">
        <v>13</v>
      </c>
    </row>
    <row r="32" spans="1:20" x14ac:dyDescent="0.3">
      <c r="A32" s="36">
        <v>2</v>
      </c>
      <c r="B32" s="55" t="s">
        <v>13</v>
      </c>
      <c r="C32" s="37">
        <v>50</v>
      </c>
      <c r="D32" s="105" t="s">
        <v>75</v>
      </c>
      <c r="E32" s="105"/>
      <c r="F32" s="105">
        <v>3</v>
      </c>
      <c r="G32" s="105" t="s">
        <v>181</v>
      </c>
      <c r="H32" s="105"/>
      <c r="I32" s="115"/>
      <c r="J32" s="97"/>
      <c r="K32" s="70" t="s">
        <v>108</v>
      </c>
      <c r="L32" s="70">
        <f>SUMIFS($A$11:$A$401,$B$11:$B$401,"CH",$F$11:$F$401,"30")</f>
        <v>0</v>
      </c>
      <c r="M32" s="70" t="s">
        <v>6</v>
      </c>
      <c r="N32" s="70">
        <f>SUMIFS($A$11:$A$401,$B$11:$B$401,"RT",$F$11:$F$401,"30")</f>
        <v>0</v>
      </c>
      <c r="O32" s="70" t="s">
        <v>13</v>
      </c>
    </row>
    <row r="33" spans="1:15" x14ac:dyDescent="0.3">
      <c r="A33" s="123">
        <v>12</v>
      </c>
      <c r="B33" s="55" t="s">
        <v>13</v>
      </c>
      <c r="C33" s="55">
        <v>60</v>
      </c>
      <c r="D33" s="62" t="s">
        <v>75</v>
      </c>
      <c r="E33" s="116"/>
      <c r="F33" s="62">
        <v>2</v>
      </c>
      <c r="G33" s="116" t="s">
        <v>182</v>
      </c>
      <c r="H33" s="117"/>
      <c r="I33" s="117"/>
      <c r="J33" s="124"/>
      <c r="K33" s="70" t="s">
        <v>109</v>
      </c>
      <c r="L33" s="70">
        <f>SUMIFS($A$11:$A$401,$B$11:$B$401,"CH",$F$11:$F$401,"31")</f>
        <v>0</v>
      </c>
      <c r="M33" s="70" t="s">
        <v>6</v>
      </c>
      <c r="N33" s="70">
        <f>SUMIFS($A$11:$A$401,$B$11:$B$401,"RT",$F$11:$F$401,"31")</f>
        <v>0</v>
      </c>
      <c r="O33" s="70" t="s">
        <v>13</v>
      </c>
    </row>
    <row r="34" spans="1:15" x14ac:dyDescent="0.3">
      <c r="A34" s="123">
        <v>4</v>
      </c>
      <c r="B34" s="55" t="s">
        <v>13</v>
      </c>
      <c r="C34" s="55">
        <v>60</v>
      </c>
      <c r="D34" s="62" t="s">
        <v>73</v>
      </c>
      <c r="E34" s="116"/>
      <c r="F34" s="62">
        <v>2</v>
      </c>
      <c r="G34" s="116"/>
      <c r="H34" s="117"/>
      <c r="I34" s="117"/>
      <c r="J34" s="124"/>
      <c r="K34" s="70" t="s">
        <v>110</v>
      </c>
      <c r="L34" s="70">
        <f>SUMIFS($A$11:$A$401,$B$11:$B$401,"CH",$F$11:$F$401,"32")</f>
        <v>0</v>
      </c>
      <c r="M34" s="70" t="s">
        <v>6</v>
      </c>
      <c r="N34" s="70">
        <f>SUMIFS($A$11:$A$401,$B$11:$B$401,"RT",$F$11:$F$401,"32")</f>
        <v>0</v>
      </c>
      <c r="O34" s="70" t="s">
        <v>13</v>
      </c>
    </row>
    <row r="35" spans="1:15" x14ac:dyDescent="0.3">
      <c r="A35" s="123">
        <v>2</v>
      </c>
      <c r="B35" s="55" t="s">
        <v>13</v>
      </c>
      <c r="C35" s="55">
        <v>40</v>
      </c>
      <c r="D35" s="62" t="s">
        <v>75</v>
      </c>
      <c r="E35" s="116" t="s">
        <v>178</v>
      </c>
      <c r="F35" s="62">
        <v>2</v>
      </c>
      <c r="G35" s="116"/>
      <c r="H35" s="117"/>
      <c r="I35" s="117"/>
      <c r="J35" s="124"/>
      <c r="K35" s="70" t="s">
        <v>111</v>
      </c>
      <c r="L35" s="70">
        <f>SUMIFS($A$11:$A$401,$B$11:$B$401,"CH",$F$11:$F$401,"33")</f>
        <v>0</v>
      </c>
      <c r="M35" s="70" t="s">
        <v>6</v>
      </c>
      <c r="N35" s="70">
        <f>SUMIFS($A$11:$A$401,$B$11:$B$401,"RT",$F$11:$F$401,"33")</f>
        <v>0</v>
      </c>
      <c r="O35" s="70" t="s">
        <v>13</v>
      </c>
    </row>
    <row r="36" spans="1:15" x14ac:dyDescent="0.3">
      <c r="A36" s="123">
        <v>12</v>
      </c>
      <c r="B36" s="55" t="s">
        <v>13</v>
      </c>
      <c r="C36" s="55">
        <v>60</v>
      </c>
      <c r="D36" s="62" t="s">
        <v>75</v>
      </c>
      <c r="E36" s="116" t="s">
        <v>178</v>
      </c>
      <c r="F36" s="62">
        <v>2</v>
      </c>
      <c r="G36" s="62" t="s">
        <v>183</v>
      </c>
      <c r="H36" s="117"/>
      <c r="I36" s="117"/>
      <c r="J36" s="124"/>
      <c r="K36" s="70" t="s">
        <v>112</v>
      </c>
      <c r="L36" s="70">
        <f>SUMIFS($A$11:$A$401,$B$11:$B$401,"CH",$F$11:$F$401,"34")</f>
        <v>0</v>
      </c>
      <c r="M36" s="70" t="s">
        <v>6</v>
      </c>
      <c r="N36" s="70">
        <f>SUMIFS($A$11:$A$401,$B$11:$B$401,"RT",$F$11:$F$401,"34")</f>
        <v>0</v>
      </c>
      <c r="O36" s="70" t="s">
        <v>13</v>
      </c>
    </row>
    <row r="37" spans="1:15" x14ac:dyDescent="0.3">
      <c r="A37" s="123">
        <v>2</v>
      </c>
      <c r="B37" s="55" t="s">
        <v>13</v>
      </c>
      <c r="C37" s="55">
        <v>120</v>
      </c>
      <c r="D37" s="62" t="s">
        <v>75</v>
      </c>
      <c r="E37" s="116" t="s">
        <v>178</v>
      </c>
      <c r="F37" s="62">
        <v>2</v>
      </c>
      <c r="G37" s="116"/>
      <c r="H37" s="117"/>
      <c r="I37" s="117"/>
      <c r="J37" s="124"/>
      <c r="K37" s="70" t="s">
        <v>113</v>
      </c>
      <c r="L37" s="70">
        <f>SUMIFS($A$11:$A$401,$B$11:$B$401,"CH",$F$11:$F$401,"35")</f>
        <v>0</v>
      </c>
      <c r="M37" s="70" t="s">
        <v>6</v>
      </c>
      <c r="N37" s="70">
        <f>SUMIFS($A$11:$A$401,$B$11:$B$401,"RT",$F$11:$F$401,"35")</f>
        <v>0</v>
      </c>
      <c r="O37" s="70" t="s">
        <v>13</v>
      </c>
    </row>
    <row r="38" spans="1:15" x14ac:dyDescent="0.3">
      <c r="A38" s="123">
        <v>1</v>
      </c>
      <c r="B38" s="55" t="s">
        <v>13</v>
      </c>
      <c r="C38" s="55">
        <v>70</v>
      </c>
      <c r="D38" s="62" t="s">
        <v>73</v>
      </c>
      <c r="E38" s="116" t="s">
        <v>179</v>
      </c>
      <c r="F38" s="62">
        <v>2</v>
      </c>
      <c r="G38" s="62" t="s">
        <v>184</v>
      </c>
      <c r="H38" s="117"/>
      <c r="I38" s="117"/>
      <c r="J38" s="124"/>
      <c r="K38" s="70" t="s">
        <v>114</v>
      </c>
      <c r="L38" s="70">
        <f>SUMIFS($A$11:$A$401,$B$11:$B$401,"CH",$F$11:$F$401,"36")</f>
        <v>0</v>
      </c>
      <c r="M38" s="70" t="s">
        <v>6</v>
      </c>
      <c r="N38" s="70">
        <f>SUMIFS($A$11:$A$401,$B$11:$B$401,"RT",$F$11:$F$401,"36")</f>
        <v>0</v>
      </c>
      <c r="O38" s="70" t="s">
        <v>13</v>
      </c>
    </row>
    <row r="39" spans="1:15" x14ac:dyDescent="0.3">
      <c r="A39" s="123">
        <v>5</v>
      </c>
      <c r="B39" s="55" t="s">
        <v>13</v>
      </c>
      <c r="C39" s="55">
        <v>70</v>
      </c>
      <c r="D39" s="62" t="s">
        <v>75</v>
      </c>
      <c r="E39" s="116" t="s">
        <v>178</v>
      </c>
      <c r="F39" s="62">
        <v>2</v>
      </c>
      <c r="G39" s="116"/>
      <c r="H39" s="117"/>
      <c r="I39" s="117"/>
      <c r="J39" s="124"/>
      <c r="K39" s="70" t="s">
        <v>115</v>
      </c>
      <c r="L39" s="70">
        <f>SUMIFS($A$11:$A$401,$B$11:$B$401,"CH",$F$11:$F$401,"37")</f>
        <v>0</v>
      </c>
      <c r="M39" s="70" t="s">
        <v>6</v>
      </c>
      <c r="N39" s="70">
        <f>SUMIFS($A$11:$A$401,$B$11:$B$401,"RT",$F$11:$F$401,"37")</f>
        <v>0</v>
      </c>
      <c r="O39" s="70" t="s">
        <v>13</v>
      </c>
    </row>
    <row r="40" spans="1:15" x14ac:dyDescent="0.3">
      <c r="A40" s="123">
        <v>8</v>
      </c>
      <c r="B40" s="55" t="s">
        <v>13</v>
      </c>
      <c r="C40" s="55">
        <v>65</v>
      </c>
      <c r="D40" s="62" t="s">
        <v>73</v>
      </c>
      <c r="E40" s="116" t="s">
        <v>180</v>
      </c>
      <c r="F40" s="62">
        <v>2</v>
      </c>
      <c r="G40" s="116"/>
      <c r="H40" s="117"/>
      <c r="I40" s="117"/>
      <c r="J40" s="124"/>
      <c r="K40" s="70" t="s">
        <v>116</v>
      </c>
      <c r="L40" s="70">
        <f>SUMIFS($A$11:$A$401,$B$11:$B$401,"CH",$F$11:$F$401,"38")</f>
        <v>0</v>
      </c>
      <c r="M40" s="70" t="s">
        <v>6</v>
      </c>
      <c r="N40" s="70">
        <f>SUMIFS($A$11:$A$401,$B$11:$B$401,"RT",$F$11:$F$401,"38")</f>
        <v>0</v>
      </c>
      <c r="O40" s="70" t="s">
        <v>13</v>
      </c>
    </row>
    <row r="41" spans="1:15" x14ac:dyDescent="0.3">
      <c r="A41" s="123">
        <v>1</v>
      </c>
      <c r="B41" s="55" t="s">
        <v>27</v>
      </c>
      <c r="C41" s="55">
        <v>10</v>
      </c>
      <c r="D41" s="62" t="s">
        <v>60</v>
      </c>
      <c r="E41" s="57" t="s">
        <v>177</v>
      </c>
      <c r="F41" s="62">
        <v>2</v>
      </c>
      <c r="G41" s="57"/>
      <c r="H41" s="61"/>
      <c r="I41" s="61"/>
      <c r="J41" s="125"/>
      <c r="K41" s="70" t="s">
        <v>117</v>
      </c>
      <c r="L41" s="70">
        <f>SUMIFS($A$11:$A$401,$B$11:$B$401,"CH",$F$11:$F$401,"39")</f>
        <v>0</v>
      </c>
      <c r="M41" s="70" t="s">
        <v>6</v>
      </c>
      <c r="N41" s="70">
        <f>SUMIFS($A$11:$A$401,$B$11:$B$401,"RT",$F$11:$F$401,"39")</f>
        <v>0</v>
      </c>
      <c r="O41" s="70" t="s">
        <v>13</v>
      </c>
    </row>
    <row r="42" spans="1:15" x14ac:dyDescent="0.3">
      <c r="A42" s="123">
        <v>1</v>
      </c>
      <c r="B42" s="57" t="s">
        <v>13</v>
      </c>
      <c r="C42" s="57">
        <v>275</v>
      </c>
      <c r="D42" s="57" t="s">
        <v>73</v>
      </c>
      <c r="E42" s="57" t="s">
        <v>179</v>
      </c>
      <c r="F42" s="62">
        <v>2</v>
      </c>
      <c r="G42" s="57" t="s">
        <v>184</v>
      </c>
      <c r="H42" s="57" t="s">
        <v>192</v>
      </c>
      <c r="I42" s="57"/>
      <c r="J42" s="126"/>
      <c r="K42" s="70" t="s">
        <v>118</v>
      </c>
      <c r="L42" s="70">
        <f>SUMIFS($A$11:$A$401,$B$11:$B$401,"CH",$F$11:$F$401,"40")</f>
        <v>0</v>
      </c>
      <c r="M42" s="70" t="s">
        <v>6</v>
      </c>
      <c r="N42" s="70">
        <f>SUMIFS($A$11:$A$401,$B$11:$B$401,"RT",$F$11:$F$401,"40")</f>
        <v>0</v>
      </c>
      <c r="O42" s="70" t="s">
        <v>13</v>
      </c>
    </row>
    <row r="43" spans="1:15" x14ac:dyDescent="0.3">
      <c r="A43" s="123">
        <v>5</v>
      </c>
      <c r="B43" s="57" t="s">
        <v>6</v>
      </c>
      <c r="C43" s="57">
        <v>70</v>
      </c>
      <c r="D43" s="57" t="s">
        <v>72</v>
      </c>
      <c r="E43" s="57" t="s">
        <v>179</v>
      </c>
      <c r="F43" s="62">
        <v>2</v>
      </c>
      <c r="G43" s="57" t="s">
        <v>195</v>
      </c>
      <c r="H43" s="57" t="s">
        <v>192</v>
      </c>
      <c r="I43" s="57"/>
      <c r="J43" s="126"/>
      <c r="K43" s="70" t="s">
        <v>119</v>
      </c>
      <c r="L43" s="70">
        <f>SUMIFS($A$11:$A$401,$B$11:$B$401,"CH",$F$11:$F$401,"41")</f>
        <v>0</v>
      </c>
      <c r="M43" s="70" t="s">
        <v>6</v>
      </c>
      <c r="N43" s="70">
        <f>SUMIFS($A$11:$A$401,$B$11:$B$401,"RT",$F$11:$F$401,"41")</f>
        <v>0</v>
      </c>
      <c r="O43" s="70" t="s">
        <v>13</v>
      </c>
    </row>
    <row r="44" spans="1:15" x14ac:dyDescent="0.3">
      <c r="A44" s="123">
        <v>3</v>
      </c>
      <c r="B44" s="57" t="s">
        <v>6</v>
      </c>
      <c r="C44" s="57">
        <v>60</v>
      </c>
      <c r="D44" s="57" t="s">
        <v>72</v>
      </c>
      <c r="E44" s="57" t="s">
        <v>179</v>
      </c>
      <c r="F44" s="62">
        <v>2</v>
      </c>
      <c r="G44" s="57" t="s">
        <v>195</v>
      </c>
      <c r="H44" s="57" t="s">
        <v>192</v>
      </c>
      <c r="I44" s="57"/>
      <c r="J44" s="126"/>
      <c r="K44" s="70"/>
      <c r="L44" s="70">
        <f>SUMIFS($A$11:$A$401,$B$11:$B$401,"CH",$F$11:$F$401,"")</f>
        <v>0</v>
      </c>
      <c r="M44" s="70" t="s">
        <v>6</v>
      </c>
      <c r="N44" s="70">
        <f>SUMIFS($A$11:$A$401,$B$11:$B$401,"RT",$F$11:$F$401,"")</f>
        <v>0</v>
      </c>
      <c r="O44" s="70" t="s">
        <v>13</v>
      </c>
    </row>
    <row r="45" spans="1:15" x14ac:dyDescent="0.3">
      <c r="A45" s="123">
        <v>5</v>
      </c>
      <c r="B45" s="57" t="s">
        <v>65</v>
      </c>
      <c r="C45" s="57">
        <v>70</v>
      </c>
      <c r="D45" s="57" t="s">
        <v>72</v>
      </c>
      <c r="E45" s="57" t="s">
        <v>179</v>
      </c>
      <c r="F45" s="62">
        <v>2</v>
      </c>
      <c r="G45" s="57" t="s">
        <v>195</v>
      </c>
      <c r="H45" s="57" t="s">
        <v>192</v>
      </c>
      <c r="I45" s="57"/>
      <c r="J45" s="126"/>
      <c r="K45" s="70" t="s">
        <v>120</v>
      </c>
      <c r="L45" s="70">
        <f>SUM(L3:L44)</f>
        <v>182</v>
      </c>
      <c r="M45" s="70" t="s">
        <v>6</v>
      </c>
      <c r="N45" s="70">
        <f>SUM(N3:N44)</f>
        <v>316</v>
      </c>
      <c r="O45" s="70" t="s">
        <v>13</v>
      </c>
    </row>
    <row r="46" spans="1:15" x14ac:dyDescent="0.3">
      <c r="A46" s="123">
        <v>2</v>
      </c>
      <c r="B46" s="57" t="s">
        <v>6</v>
      </c>
      <c r="C46" s="57">
        <v>50</v>
      </c>
      <c r="D46" s="57" t="s">
        <v>72</v>
      </c>
      <c r="E46" s="57" t="s">
        <v>179</v>
      </c>
      <c r="F46" s="62">
        <v>2</v>
      </c>
      <c r="G46" s="57" t="s">
        <v>195</v>
      </c>
      <c r="H46" s="57"/>
      <c r="I46" s="57"/>
      <c r="J46" s="126"/>
      <c r="K46" s="70"/>
      <c r="L46" s="70"/>
      <c r="M46" s="70"/>
      <c r="N46" s="70"/>
    </row>
    <row r="47" spans="1:15" x14ac:dyDescent="0.3">
      <c r="A47" s="123">
        <v>1</v>
      </c>
      <c r="B47" s="57" t="s">
        <v>13</v>
      </c>
      <c r="C47" s="57">
        <v>50</v>
      </c>
      <c r="D47" s="57" t="s">
        <v>72</v>
      </c>
      <c r="E47" s="57" t="s">
        <v>179</v>
      </c>
      <c r="F47" s="62">
        <v>2</v>
      </c>
      <c r="G47" s="57" t="s">
        <v>195</v>
      </c>
      <c r="H47" s="57"/>
      <c r="I47" s="57"/>
      <c r="J47" s="126"/>
      <c r="K47" s="70"/>
      <c r="N47" s="70"/>
    </row>
    <row r="48" spans="1:15" x14ac:dyDescent="0.3">
      <c r="A48" s="123">
        <v>3</v>
      </c>
      <c r="B48" s="57" t="s">
        <v>13</v>
      </c>
      <c r="C48" s="57">
        <v>100</v>
      </c>
      <c r="D48" s="57" t="s">
        <v>72</v>
      </c>
      <c r="E48" s="57" t="s">
        <v>179</v>
      </c>
      <c r="F48" s="62">
        <v>2</v>
      </c>
      <c r="G48" s="57" t="s">
        <v>195</v>
      </c>
      <c r="H48" s="57"/>
      <c r="I48" s="57"/>
      <c r="J48" s="126"/>
      <c r="K48" s="70"/>
      <c r="N48" s="70"/>
    </row>
    <row r="49" spans="1:14" x14ac:dyDescent="0.3">
      <c r="A49" s="123">
        <v>1</v>
      </c>
      <c r="B49" s="57" t="s">
        <v>65</v>
      </c>
      <c r="C49" s="57">
        <v>80</v>
      </c>
      <c r="D49" s="57" t="s">
        <v>72</v>
      </c>
      <c r="E49" s="57" t="s">
        <v>179</v>
      </c>
      <c r="F49" s="62">
        <v>2</v>
      </c>
      <c r="G49" s="57" t="s">
        <v>195</v>
      </c>
      <c r="H49" s="57"/>
      <c r="I49" s="57"/>
      <c r="J49" s="126"/>
      <c r="K49" s="70"/>
      <c r="N49" s="70"/>
    </row>
    <row r="50" spans="1:14" x14ac:dyDescent="0.3">
      <c r="A50" s="123">
        <v>1</v>
      </c>
      <c r="B50" s="57" t="s">
        <v>25</v>
      </c>
      <c r="C50" s="57">
        <v>70</v>
      </c>
      <c r="D50" s="57" t="s">
        <v>72</v>
      </c>
      <c r="E50" s="57" t="s">
        <v>179</v>
      </c>
      <c r="F50" s="62">
        <v>2</v>
      </c>
      <c r="G50" s="57"/>
      <c r="H50" s="57"/>
      <c r="I50" s="57"/>
      <c r="J50" s="126"/>
      <c r="K50" s="70"/>
      <c r="N50" s="70"/>
    </row>
    <row r="51" spans="1:14" x14ac:dyDescent="0.3">
      <c r="A51" s="123">
        <v>1</v>
      </c>
      <c r="B51" s="57" t="s">
        <v>13</v>
      </c>
      <c r="C51" s="57">
        <v>90</v>
      </c>
      <c r="D51" s="57" t="s">
        <v>72</v>
      </c>
      <c r="E51" s="57" t="s">
        <v>179</v>
      </c>
      <c r="F51" s="62">
        <v>2</v>
      </c>
      <c r="G51" s="57"/>
      <c r="H51" s="57"/>
      <c r="I51" s="57"/>
      <c r="J51" s="126"/>
      <c r="K51" s="70"/>
      <c r="N51" s="70"/>
    </row>
    <row r="52" spans="1:14" x14ac:dyDescent="0.3">
      <c r="A52" s="123">
        <v>1</v>
      </c>
      <c r="B52" s="57" t="s">
        <v>6</v>
      </c>
      <c r="C52" s="57">
        <v>50</v>
      </c>
      <c r="D52" s="57" t="s">
        <v>72</v>
      </c>
      <c r="E52" s="57" t="s">
        <v>179</v>
      </c>
      <c r="F52" s="62">
        <v>2</v>
      </c>
      <c r="G52" s="57"/>
      <c r="H52" s="57"/>
      <c r="I52" s="57"/>
      <c r="J52" s="126"/>
      <c r="K52" s="70"/>
      <c r="N52" s="70"/>
    </row>
    <row r="53" spans="1:14" x14ac:dyDescent="0.3">
      <c r="A53" s="123">
        <v>2</v>
      </c>
      <c r="B53" s="57" t="s">
        <v>65</v>
      </c>
      <c r="C53" s="57">
        <v>60</v>
      </c>
      <c r="D53" s="57" t="s">
        <v>72</v>
      </c>
      <c r="E53" s="57" t="s">
        <v>179</v>
      </c>
      <c r="F53" s="62">
        <v>2</v>
      </c>
      <c r="G53" s="57"/>
      <c r="H53" s="57"/>
      <c r="I53" s="57"/>
      <c r="J53" s="126"/>
      <c r="K53" s="70"/>
      <c r="N53" s="70"/>
    </row>
    <row r="54" spans="1:14" x14ac:dyDescent="0.3">
      <c r="A54" s="123">
        <v>1</v>
      </c>
      <c r="B54" s="57" t="s">
        <v>13</v>
      </c>
      <c r="C54" s="57">
        <v>90</v>
      </c>
      <c r="D54" s="57" t="s">
        <v>72</v>
      </c>
      <c r="E54" s="57" t="s">
        <v>179</v>
      </c>
      <c r="F54" s="62">
        <v>2</v>
      </c>
      <c r="G54" s="57"/>
      <c r="H54" s="57"/>
      <c r="I54" s="57"/>
      <c r="J54" s="126"/>
      <c r="K54" s="70"/>
      <c r="N54" s="70"/>
    </row>
    <row r="55" spans="1:14" x14ac:dyDescent="0.3">
      <c r="A55" s="123">
        <v>1</v>
      </c>
      <c r="B55" s="57" t="s">
        <v>13</v>
      </c>
      <c r="C55" s="57">
        <v>120</v>
      </c>
      <c r="D55" s="57" t="s">
        <v>72</v>
      </c>
      <c r="E55" s="57" t="s">
        <v>179</v>
      </c>
      <c r="F55" s="62">
        <v>2</v>
      </c>
      <c r="G55" s="57" t="s">
        <v>193</v>
      </c>
      <c r="H55" s="57"/>
      <c r="I55" s="57"/>
      <c r="J55" s="126"/>
      <c r="K55" s="70"/>
      <c r="N55" s="70"/>
    </row>
    <row r="56" spans="1:14" x14ac:dyDescent="0.3">
      <c r="A56" s="123">
        <v>2</v>
      </c>
      <c r="B56" s="57" t="s">
        <v>13</v>
      </c>
      <c r="C56" s="57">
        <v>50</v>
      </c>
      <c r="D56" s="57" t="s">
        <v>60</v>
      </c>
      <c r="E56" s="57"/>
      <c r="F56" s="62">
        <v>2</v>
      </c>
      <c r="G56" s="57" t="s">
        <v>184</v>
      </c>
      <c r="H56" s="57"/>
      <c r="I56" s="57"/>
      <c r="J56" s="126"/>
      <c r="K56" s="70"/>
      <c r="N56" s="70"/>
    </row>
    <row r="57" spans="1:14" x14ac:dyDescent="0.3">
      <c r="A57" s="123">
        <v>1</v>
      </c>
      <c r="B57" s="57" t="s">
        <v>13</v>
      </c>
      <c r="C57" s="57">
        <v>40</v>
      </c>
      <c r="D57" s="57" t="s">
        <v>72</v>
      </c>
      <c r="E57" s="57" t="s">
        <v>179</v>
      </c>
      <c r="F57" s="62">
        <v>2</v>
      </c>
      <c r="G57" s="57" t="s">
        <v>193</v>
      </c>
      <c r="H57" s="57"/>
      <c r="I57" s="57"/>
      <c r="J57" s="126"/>
      <c r="K57" s="70"/>
      <c r="N57" s="70"/>
    </row>
    <row r="58" spans="1:14" x14ac:dyDescent="0.3">
      <c r="A58" s="123">
        <v>1</v>
      </c>
      <c r="B58" s="57" t="s">
        <v>6</v>
      </c>
      <c r="C58" s="57">
        <v>60</v>
      </c>
      <c r="D58" s="57" t="s">
        <v>72</v>
      </c>
      <c r="E58" s="57" t="s">
        <v>179</v>
      </c>
      <c r="F58" s="57">
        <v>4</v>
      </c>
      <c r="G58" s="57" t="s">
        <v>193</v>
      </c>
      <c r="H58" s="57"/>
      <c r="I58" s="57"/>
      <c r="J58" s="126"/>
      <c r="K58" s="70"/>
      <c r="N58" s="70"/>
    </row>
    <row r="59" spans="1:14" x14ac:dyDescent="0.3">
      <c r="A59" s="123">
        <v>2</v>
      </c>
      <c r="B59" s="57" t="s">
        <v>13</v>
      </c>
      <c r="C59" s="57">
        <v>50</v>
      </c>
      <c r="D59" s="57" t="s">
        <v>72</v>
      </c>
      <c r="E59" s="57" t="s">
        <v>179</v>
      </c>
      <c r="F59" s="57">
        <v>4</v>
      </c>
      <c r="G59" s="57" t="s">
        <v>184</v>
      </c>
      <c r="H59" s="57"/>
      <c r="I59" s="57"/>
      <c r="J59" s="126"/>
      <c r="K59" s="70"/>
      <c r="N59" s="70"/>
    </row>
    <row r="60" spans="1:14" x14ac:dyDescent="0.3">
      <c r="A60" s="123">
        <v>6</v>
      </c>
      <c r="B60" s="57" t="s">
        <v>6</v>
      </c>
      <c r="C60" s="57">
        <v>60</v>
      </c>
      <c r="D60" s="57" t="s">
        <v>72</v>
      </c>
      <c r="E60" s="57" t="s">
        <v>179</v>
      </c>
      <c r="F60" s="57">
        <v>4</v>
      </c>
      <c r="G60" s="57" t="s">
        <v>193</v>
      </c>
      <c r="H60" s="57"/>
      <c r="I60" s="57"/>
      <c r="J60" s="126"/>
      <c r="K60" s="70"/>
      <c r="N60" s="70"/>
    </row>
    <row r="61" spans="1:14" x14ac:dyDescent="0.3">
      <c r="A61" s="123">
        <v>2</v>
      </c>
      <c r="B61" s="57" t="s">
        <v>13</v>
      </c>
      <c r="C61" s="57">
        <v>50</v>
      </c>
      <c r="D61" s="57" t="s">
        <v>72</v>
      </c>
      <c r="E61" s="57" t="s">
        <v>179</v>
      </c>
      <c r="F61" s="57">
        <v>4</v>
      </c>
      <c r="G61" s="57" t="s">
        <v>184</v>
      </c>
      <c r="H61" s="57"/>
      <c r="I61" s="57"/>
      <c r="J61" s="126"/>
      <c r="K61" s="70"/>
      <c r="N61" s="70"/>
    </row>
    <row r="62" spans="1:14" x14ac:dyDescent="0.3">
      <c r="A62" s="123">
        <v>1</v>
      </c>
      <c r="B62" s="57" t="s">
        <v>38</v>
      </c>
      <c r="C62" s="57">
        <v>50</v>
      </c>
      <c r="D62" s="57" t="s">
        <v>72</v>
      </c>
      <c r="E62" s="57" t="s">
        <v>179</v>
      </c>
      <c r="F62" s="57">
        <v>4</v>
      </c>
      <c r="G62" s="57" t="s">
        <v>63</v>
      </c>
      <c r="H62" s="57"/>
      <c r="I62" s="57"/>
      <c r="J62" s="126"/>
      <c r="K62" s="70"/>
      <c r="N62" s="70"/>
    </row>
    <row r="63" spans="1:14" x14ac:dyDescent="0.3">
      <c r="A63" s="123">
        <v>3</v>
      </c>
      <c r="B63" s="57" t="s">
        <v>38</v>
      </c>
      <c r="C63" s="57">
        <v>30</v>
      </c>
      <c r="D63" s="57" t="s">
        <v>75</v>
      </c>
      <c r="E63" s="57"/>
      <c r="F63" s="57">
        <v>4</v>
      </c>
      <c r="G63" s="57" t="s">
        <v>184</v>
      </c>
      <c r="H63" s="57"/>
      <c r="I63" s="57"/>
      <c r="J63" s="126"/>
      <c r="K63" s="70"/>
      <c r="N63" s="70"/>
    </row>
    <row r="64" spans="1:14" x14ac:dyDescent="0.3">
      <c r="A64" s="123">
        <v>10</v>
      </c>
      <c r="B64" s="57" t="s">
        <v>13</v>
      </c>
      <c r="C64" s="57">
        <v>40</v>
      </c>
      <c r="D64" s="57" t="s">
        <v>60</v>
      </c>
      <c r="E64" s="57" t="s">
        <v>179</v>
      </c>
      <c r="F64" s="57">
        <v>4</v>
      </c>
      <c r="G64" s="57"/>
      <c r="H64" s="57"/>
      <c r="I64" s="57"/>
      <c r="J64" s="126"/>
      <c r="K64" s="70"/>
      <c r="N64" s="70"/>
    </row>
    <row r="65" spans="1:14" x14ac:dyDescent="0.3">
      <c r="A65" s="123">
        <v>2</v>
      </c>
      <c r="B65" s="57" t="s">
        <v>6</v>
      </c>
      <c r="C65" s="57">
        <v>70</v>
      </c>
      <c r="D65" s="57" t="s">
        <v>72</v>
      </c>
      <c r="E65" s="57" t="s">
        <v>179</v>
      </c>
      <c r="F65" s="57">
        <v>5</v>
      </c>
      <c r="G65" s="57" t="s">
        <v>63</v>
      </c>
      <c r="H65" s="57"/>
      <c r="I65" s="57"/>
      <c r="J65" s="126"/>
      <c r="K65" s="70"/>
      <c r="N65" s="70"/>
    </row>
    <row r="66" spans="1:14" x14ac:dyDescent="0.3">
      <c r="A66" s="123">
        <v>1</v>
      </c>
      <c r="B66" s="57" t="s">
        <v>6</v>
      </c>
      <c r="C66" s="57">
        <v>70</v>
      </c>
      <c r="D66" s="57" t="s">
        <v>72</v>
      </c>
      <c r="E66" s="57" t="s">
        <v>179</v>
      </c>
      <c r="F66" s="57">
        <v>5</v>
      </c>
      <c r="G66" s="57" t="s">
        <v>63</v>
      </c>
      <c r="H66" s="57"/>
      <c r="I66" s="57"/>
      <c r="J66" s="126"/>
      <c r="K66" s="70"/>
      <c r="N66" s="70"/>
    </row>
    <row r="67" spans="1:14" x14ac:dyDescent="0.3">
      <c r="A67" s="123">
        <v>3</v>
      </c>
      <c r="B67" s="57" t="s">
        <v>13</v>
      </c>
      <c r="C67" s="57">
        <v>60</v>
      </c>
      <c r="D67" s="57" t="s">
        <v>72</v>
      </c>
      <c r="E67" s="57" t="s">
        <v>179</v>
      </c>
      <c r="F67" s="57">
        <v>5</v>
      </c>
      <c r="G67" s="57" t="s">
        <v>63</v>
      </c>
      <c r="H67" s="57"/>
      <c r="I67" s="57"/>
      <c r="J67" s="126"/>
      <c r="K67" s="70"/>
      <c r="N67" s="70"/>
    </row>
    <row r="68" spans="1:14" x14ac:dyDescent="0.3">
      <c r="A68" s="123">
        <v>1</v>
      </c>
      <c r="B68" s="57" t="s">
        <v>13</v>
      </c>
      <c r="C68" s="57">
        <v>50</v>
      </c>
      <c r="D68" s="57" t="s">
        <v>72</v>
      </c>
      <c r="E68" s="57" t="s">
        <v>179</v>
      </c>
      <c r="F68" s="57">
        <v>5</v>
      </c>
      <c r="G68" s="57"/>
      <c r="H68" s="57"/>
      <c r="I68" s="57"/>
      <c r="J68" s="126"/>
      <c r="K68" s="70"/>
      <c r="N68" s="70"/>
    </row>
    <row r="69" spans="1:14" x14ac:dyDescent="0.3">
      <c r="A69" s="123">
        <v>1</v>
      </c>
      <c r="B69" s="57" t="s">
        <v>38</v>
      </c>
      <c r="C69" s="57">
        <v>70</v>
      </c>
      <c r="D69" s="57" t="s">
        <v>72</v>
      </c>
      <c r="E69" s="57" t="s">
        <v>179</v>
      </c>
      <c r="F69" s="57">
        <v>5</v>
      </c>
      <c r="G69" s="57" t="s">
        <v>63</v>
      </c>
      <c r="H69" s="57"/>
      <c r="I69" s="57"/>
      <c r="J69" s="126"/>
      <c r="K69" s="70"/>
      <c r="N69" s="70"/>
    </row>
    <row r="70" spans="1:14" x14ac:dyDescent="0.3">
      <c r="A70" s="123">
        <v>1</v>
      </c>
      <c r="B70" s="57" t="s">
        <v>13</v>
      </c>
      <c r="C70" s="57">
        <v>50</v>
      </c>
      <c r="D70" s="57" t="s">
        <v>72</v>
      </c>
      <c r="E70" s="57" t="s">
        <v>179</v>
      </c>
      <c r="F70" s="57">
        <v>5</v>
      </c>
      <c r="G70" s="57" t="s">
        <v>63</v>
      </c>
      <c r="H70" s="57"/>
      <c r="I70" s="57"/>
      <c r="J70" s="126"/>
      <c r="K70" s="70"/>
      <c r="N70" s="70"/>
    </row>
    <row r="71" spans="1:14" x14ac:dyDescent="0.3">
      <c r="A71" s="123">
        <v>70</v>
      </c>
      <c r="B71" s="57" t="s">
        <v>65</v>
      </c>
      <c r="C71" s="57">
        <v>50</v>
      </c>
      <c r="D71" s="57" t="s">
        <v>60</v>
      </c>
      <c r="E71" s="57" t="s">
        <v>190</v>
      </c>
      <c r="F71" s="57">
        <v>4</v>
      </c>
      <c r="G71" s="57" t="s">
        <v>184</v>
      </c>
      <c r="H71" s="57"/>
      <c r="I71" s="57"/>
      <c r="J71" s="126"/>
      <c r="K71" s="70"/>
      <c r="N71" s="70"/>
    </row>
    <row r="72" spans="1:14" x14ac:dyDescent="0.3">
      <c r="A72" s="123">
        <v>3</v>
      </c>
      <c r="B72" s="57" t="s">
        <v>13</v>
      </c>
      <c r="C72" s="57">
        <v>50</v>
      </c>
      <c r="D72" s="57" t="s">
        <v>60</v>
      </c>
      <c r="E72" s="57" t="s">
        <v>190</v>
      </c>
      <c r="F72" s="57">
        <v>4</v>
      </c>
      <c r="G72" s="57" t="s">
        <v>184</v>
      </c>
      <c r="H72" s="57"/>
      <c r="I72" s="57"/>
      <c r="J72" s="126"/>
      <c r="K72" s="70"/>
      <c r="N72" s="70"/>
    </row>
    <row r="73" spans="1:14" x14ac:dyDescent="0.3">
      <c r="A73" s="123">
        <v>6</v>
      </c>
      <c r="B73" s="57" t="s">
        <v>13</v>
      </c>
      <c r="C73" s="57">
        <v>30</v>
      </c>
      <c r="D73" s="57" t="s">
        <v>75</v>
      </c>
      <c r="E73" s="57" t="s">
        <v>191</v>
      </c>
      <c r="F73" s="57">
        <v>4</v>
      </c>
      <c r="G73" s="57" t="s">
        <v>184</v>
      </c>
      <c r="H73" s="57"/>
      <c r="I73" s="57"/>
      <c r="J73" s="126"/>
      <c r="K73" s="70"/>
      <c r="N73" s="70"/>
    </row>
    <row r="74" spans="1:14" x14ac:dyDescent="0.3">
      <c r="A74" s="123">
        <v>3</v>
      </c>
      <c r="B74" s="57" t="s">
        <v>13</v>
      </c>
      <c r="C74" s="57">
        <v>50</v>
      </c>
      <c r="D74" s="57" t="s">
        <v>72</v>
      </c>
      <c r="E74" s="57" t="s">
        <v>179</v>
      </c>
      <c r="F74" s="57">
        <v>5</v>
      </c>
      <c r="G74" s="57" t="s">
        <v>194</v>
      </c>
      <c r="H74" s="57"/>
      <c r="I74" s="57"/>
      <c r="J74" s="126"/>
      <c r="K74" s="70"/>
      <c r="N74" s="70"/>
    </row>
    <row r="75" spans="1:14" x14ac:dyDescent="0.3">
      <c r="A75" s="123">
        <v>1</v>
      </c>
      <c r="B75" s="57" t="s">
        <v>6</v>
      </c>
      <c r="C75" s="57">
        <v>60</v>
      </c>
      <c r="D75" s="57" t="s">
        <v>72</v>
      </c>
      <c r="E75" s="57" t="s">
        <v>179</v>
      </c>
      <c r="F75" s="57">
        <v>5</v>
      </c>
      <c r="G75" s="57"/>
      <c r="H75" s="57"/>
      <c r="I75" s="57"/>
      <c r="J75" s="126"/>
      <c r="K75" s="70"/>
      <c r="N75" s="70"/>
    </row>
    <row r="76" spans="1:14" x14ac:dyDescent="0.3">
      <c r="A76" s="123">
        <v>3</v>
      </c>
      <c r="B76" s="57" t="s">
        <v>13</v>
      </c>
      <c r="C76" s="57">
        <v>50</v>
      </c>
      <c r="D76" s="57" t="s">
        <v>72</v>
      </c>
      <c r="E76" s="57" t="s">
        <v>179</v>
      </c>
      <c r="F76" s="57">
        <v>5</v>
      </c>
      <c r="G76" s="57" t="s">
        <v>184</v>
      </c>
      <c r="H76" s="57"/>
      <c r="I76" s="57"/>
      <c r="J76" s="126"/>
      <c r="K76" s="70"/>
      <c r="N76" s="70"/>
    </row>
    <row r="77" spans="1:14" x14ac:dyDescent="0.3">
      <c r="A77" s="123">
        <v>3</v>
      </c>
      <c r="B77" s="57" t="s">
        <v>6</v>
      </c>
      <c r="C77" s="57">
        <v>70</v>
      </c>
      <c r="D77" s="57" t="s">
        <v>60</v>
      </c>
      <c r="E77" s="57" t="s">
        <v>179</v>
      </c>
      <c r="F77" s="57">
        <v>5</v>
      </c>
      <c r="G77" s="57"/>
      <c r="H77" s="57"/>
      <c r="I77" s="57"/>
      <c r="J77" s="126"/>
      <c r="K77" s="70"/>
      <c r="N77" s="70"/>
    </row>
    <row r="78" spans="1:14" x14ac:dyDescent="0.3">
      <c r="A78" s="123">
        <v>1</v>
      </c>
      <c r="B78" s="57" t="s">
        <v>13</v>
      </c>
      <c r="C78" s="57">
        <v>120</v>
      </c>
      <c r="D78" s="57" t="s">
        <v>72</v>
      </c>
      <c r="E78" s="57" t="s">
        <v>179</v>
      </c>
      <c r="F78" s="57">
        <v>5</v>
      </c>
      <c r="G78" s="57"/>
      <c r="H78" s="57"/>
      <c r="I78" s="57"/>
      <c r="J78" s="126"/>
      <c r="K78" s="70"/>
      <c r="N78" s="70"/>
    </row>
    <row r="79" spans="1:14" x14ac:dyDescent="0.3">
      <c r="A79" s="123">
        <v>1</v>
      </c>
      <c r="B79" s="120" t="s">
        <v>38</v>
      </c>
      <c r="C79" s="120">
        <v>30</v>
      </c>
      <c r="D79" s="120" t="s">
        <v>72</v>
      </c>
      <c r="E79" s="61"/>
      <c r="F79" s="120">
        <v>6</v>
      </c>
      <c r="G79" s="61"/>
      <c r="H79" s="61"/>
      <c r="I79" s="61"/>
      <c r="J79" s="125"/>
      <c r="K79" s="70"/>
      <c r="N79" s="70"/>
    </row>
    <row r="80" spans="1:14" x14ac:dyDescent="0.3">
      <c r="A80" s="123">
        <v>3</v>
      </c>
      <c r="B80" s="120" t="s">
        <v>13</v>
      </c>
      <c r="C80" s="120">
        <v>50</v>
      </c>
      <c r="D80" s="120" t="s">
        <v>60</v>
      </c>
      <c r="E80" s="120" t="s">
        <v>190</v>
      </c>
      <c r="F80" s="120">
        <v>4</v>
      </c>
      <c r="G80" s="120" t="s">
        <v>184</v>
      </c>
      <c r="H80" s="61"/>
      <c r="I80" s="61"/>
      <c r="J80" s="125"/>
      <c r="K80" s="70"/>
      <c r="N80" s="70"/>
    </row>
    <row r="81" spans="1:14" x14ac:dyDescent="0.3">
      <c r="A81" s="123">
        <v>8</v>
      </c>
      <c r="B81" s="120" t="s">
        <v>65</v>
      </c>
      <c r="C81" s="120">
        <v>70</v>
      </c>
      <c r="D81" s="120" t="s">
        <v>72</v>
      </c>
      <c r="E81" s="120" t="s">
        <v>179</v>
      </c>
      <c r="F81" s="120">
        <v>6</v>
      </c>
      <c r="G81" s="61"/>
      <c r="H81" s="61"/>
      <c r="I81" s="61"/>
      <c r="J81" s="125"/>
      <c r="K81" s="70"/>
      <c r="N81" s="70"/>
    </row>
    <row r="82" spans="1:14" x14ac:dyDescent="0.3">
      <c r="A82" s="123">
        <v>3</v>
      </c>
      <c r="B82" s="120" t="s">
        <v>6</v>
      </c>
      <c r="C82" s="120">
        <v>70</v>
      </c>
      <c r="D82" s="120" t="s">
        <v>72</v>
      </c>
      <c r="E82" s="120" t="s">
        <v>179</v>
      </c>
      <c r="F82" s="120">
        <v>6</v>
      </c>
      <c r="G82" s="61"/>
      <c r="H82" s="61"/>
      <c r="I82" s="61"/>
      <c r="J82" s="125"/>
      <c r="K82" s="70"/>
      <c r="N82" s="70"/>
    </row>
    <row r="83" spans="1:14" x14ac:dyDescent="0.3">
      <c r="A83" s="123">
        <v>3</v>
      </c>
      <c r="B83" s="120" t="s">
        <v>13</v>
      </c>
      <c r="C83" s="120">
        <v>60</v>
      </c>
      <c r="D83" s="120" t="s">
        <v>72</v>
      </c>
      <c r="E83" s="120" t="s">
        <v>179</v>
      </c>
      <c r="F83" s="120">
        <v>6</v>
      </c>
      <c r="G83" s="61"/>
      <c r="H83" s="61"/>
      <c r="I83" s="61"/>
      <c r="J83" s="125"/>
      <c r="K83" s="70"/>
      <c r="N83" s="70"/>
    </row>
    <row r="84" spans="1:14" x14ac:dyDescent="0.3">
      <c r="A84" s="123">
        <v>1</v>
      </c>
      <c r="B84" s="120" t="s">
        <v>13</v>
      </c>
      <c r="C84" s="120">
        <v>60</v>
      </c>
      <c r="D84" s="120" t="s">
        <v>72</v>
      </c>
      <c r="E84" s="120" t="s">
        <v>179</v>
      </c>
      <c r="F84" s="120">
        <v>6</v>
      </c>
      <c r="G84" s="61"/>
      <c r="H84" s="61"/>
      <c r="I84" s="61"/>
      <c r="J84" s="125"/>
      <c r="K84" s="70"/>
      <c r="N84" s="70"/>
    </row>
    <row r="85" spans="1:14" x14ac:dyDescent="0.3">
      <c r="A85" s="123">
        <v>5</v>
      </c>
      <c r="B85" s="120" t="s">
        <v>6</v>
      </c>
      <c r="C85" s="120">
        <v>70</v>
      </c>
      <c r="D85" s="120" t="s">
        <v>72</v>
      </c>
      <c r="E85" s="120" t="s">
        <v>179</v>
      </c>
      <c r="F85" s="120">
        <v>6</v>
      </c>
      <c r="G85" s="61"/>
      <c r="H85" s="61"/>
      <c r="I85" s="61"/>
      <c r="J85" s="125"/>
      <c r="K85" s="70"/>
      <c r="N85" s="70"/>
    </row>
    <row r="86" spans="1:14" x14ac:dyDescent="0.3">
      <c r="A86" s="123">
        <v>10</v>
      </c>
      <c r="B86" s="120" t="s">
        <v>6</v>
      </c>
      <c r="C86" s="120">
        <v>60</v>
      </c>
      <c r="D86" s="120" t="s">
        <v>72</v>
      </c>
      <c r="E86" s="120" t="s">
        <v>179</v>
      </c>
      <c r="F86" s="120">
        <v>6</v>
      </c>
      <c r="G86" s="61"/>
      <c r="H86" s="61"/>
      <c r="I86" s="61"/>
      <c r="J86" s="125"/>
      <c r="K86" s="70"/>
      <c r="N86" s="70"/>
    </row>
    <row r="87" spans="1:14" x14ac:dyDescent="0.3">
      <c r="A87" s="123">
        <v>80</v>
      </c>
      <c r="B87" s="120" t="s">
        <v>6</v>
      </c>
      <c r="C87" s="120">
        <v>70</v>
      </c>
      <c r="D87" s="120" t="s">
        <v>72</v>
      </c>
      <c r="E87" s="120" t="s">
        <v>179</v>
      </c>
      <c r="F87" s="120">
        <v>6</v>
      </c>
      <c r="G87" s="120" t="s">
        <v>196</v>
      </c>
      <c r="H87" s="61"/>
      <c r="I87" s="61"/>
      <c r="J87" s="125"/>
      <c r="K87" s="70"/>
      <c r="N87" s="70"/>
    </row>
    <row r="88" spans="1:14" x14ac:dyDescent="0.3">
      <c r="A88" s="123">
        <v>2</v>
      </c>
      <c r="B88" s="120" t="s">
        <v>6</v>
      </c>
      <c r="C88" s="120">
        <v>70</v>
      </c>
      <c r="D88" s="120" t="s">
        <v>72</v>
      </c>
      <c r="E88" s="120" t="s">
        <v>179</v>
      </c>
      <c r="F88" s="120">
        <v>6</v>
      </c>
      <c r="G88" s="120" t="s">
        <v>196</v>
      </c>
      <c r="H88" s="61"/>
      <c r="I88" s="61"/>
      <c r="J88" s="125"/>
      <c r="K88" s="70"/>
      <c r="N88" s="70"/>
    </row>
    <row r="89" spans="1:14" x14ac:dyDescent="0.3">
      <c r="A89" s="123">
        <v>1</v>
      </c>
      <c r="B89" s="120" t="s">
        <v>13</v>
      </c>
      <c r="C89" s="120">
        <v>50</v>
      </c>
      <c r="D89" s="120" t="s">
        <v>72</v>
      </c>
      <c r="E89" s="120" t="s">
        <v>179</v>
      </c>
      <c r="F89" s="120">
        <v>6</v>
      </c>
      <c r="G89" s="61"/>
      <c r="H89" s="61"/>
      <c r="I89" s="61"/>
      <c r="J89" s="125"/>
      <c r="K89" s="71"/>
      <c r="N89" s="71"/>
    </row>
    <row r="90" spans="1:14" x14ac:dyDescent="0.3">
      <c r="A90" s="123">
        <v>3</v>
      </c>
      <c r="B90" s="120" t="s">
        <v>38</v>
      </c>
      <c r="C90" s="120">
        <v>30</v>
      </c>
      <c r="D90" s="120" t="s">
        <v>75</v>
      </c>
      <c r="E90" s="120" t="s">
        <v>191</v>
      </c>
      <c r="F90" s="120">
        <v>9</v>
      </c>
      <c r="G90" s="120" t="s">
        <v>192</v>
      </c>
      <c r="H90" s="61"/>
      <c r="I90" s="61"/>
      <c r="J90" s="125" t="s">
        <v>200</v>
      </c>
    </row>
    <row r="91" spans="1:14" x14ac:dyDescent="0.3">
      <c r="A91" s="123">
        <v>4</v>
      </c>
      <c r="B91" s="120" t="s">
        <v>13</v>
      </c>
      <c r="C91" s="120">
        <v>60</v>
      </c>
      <c r="D91" s="120" t="s">
        <v>72</v>
      </c>
      <c r="E91" s="120" t="s">
        <v>179</v>
      </c>
      <c r="F91" s="120">
        <v>7</v>
      </c>
      <c r="G91" s="120" t="s">
        <v>63</v>
      </c>
      <c r="H91" s="61"/>
      <c r="I91" s="61"/>
      <c r="J91" s="125"/>
    </row>
    <row r="92" spans="1:14" x14ac:dyDescent="0.3">
      <c r="A92" s="123">
        <v>2</v>
      </c>
      <c r="B92" s="120" t="s">
        <v>13</v>
      </c>
      <c r="C92" s="120">
        <v>50</v>
      </c>
      <c r="D92" s="120" t="s">
        <v>60</v>
      </c>
      <c r="E92" s="120" t="s">
        <v>190</v>
      </c>
      <c r="F92" s="120">
        <v>7</v>
      </c>
      <c r="G92" s="120" t="s">
        <v>184</v>
      </c>
      <c r="H92" s="61"/>
      <c r="I92" s="61"/>
      <c r="J92" s="125"/>
    </row>
    <row r="93" spans="1:14" x14ac:dyDescent="0.3">
      <c r="A93" s="123">
        <v>1</v>
      </c>
      <c r="B93" s="120" t="s">
        <v>6</v>
      </c>
      <c r="C93" s="120">
        <v>60</v>
      </c>
      <c r="D93" s="120" t="s">
        <v>60</v>
      </c>
      <c r="E93" s="120" t="s">
        <v>190</v>
      </c>
      <c r="F93" s="120">
        <v>7</v>
      </c>
      <c r="G93" s="120" t="s">
        <v>184</v>
      </c>
      <c r="H93" s="61"/>
      <c r="I93" s="61"/>
      <c r="J93" s="125"/>
    </row>
    <row r="94" spans="1:14" x14ac:dyDescent="0.3">
      <c r="A94" s="123">
        <v>1</v>
      </c>
      <c r="B94" s="120" t="s">
        <v>13</v>
      </c>
      <c r="C94" s="120">
        <v>60</v>
      </c>
      <c r="D94" s="120" t="s">
        <v>60</v>
      </c>
      <c r="E94" s="120" t="s">
        <v>190</v>
      </c>
      <c r="F94" s="120">
        <v>7</v>
      </c>
      <c r="G94" s="120" t="s">
        <v>184</v>
      </c>
      <c r="H94" s="61"/>
      <c r="I94" s="61"/>
      <c r="J94" s="125"/>
    </row>
    <row r="95" spans="1:14" x14ac:dyDescent="0.3">
      <c r="A95" s="123">
        <v>1</v>
      </c>
      <c r="B95" s="120" t="s">
        <v>6</v>
      </c>
      <c r="C95" s="120">
        <v>60</v>
      </c>
      <c r="D95" s="120" t="s">
        <v>60</v>
      </c>
      <c r="E95" s="120" t="s">
        <v>190</v>
      </c>
      <c r="F95" s="120">
        <v>7</v>
      </c>
      <c r="G95" s="120" t="s">
        <v>184</v>
      </c>
      <c r="H95" s="61"/>
      <c r="I95" s="61"/>
      <c r="J95" s="125"/>
    </row>
    <row r="96" spans="1:14" x14ac:dyDescent="0.3">
      <c r="A96" s="123">
        <v>3</v>
      </c>
      <c r="B96" s="120" t="s">
        <v>65</v>
      </c>
      <c r="C96" s="120">
        <v>50</v>
      </c>
      <c r="D96" s="120" t="s">
        <v>60</v>
      </c>
      <c r="E96" s="120" t="s">
        <v>190</v>
      </c>
      <c r="F96" s="120">
        <v>7</v>
      </c>
      <c r="G96" s="120" t="s">
        <v>184</v>
      </c>
      <c r="H96" s="61"/>
      <c r="I96" s="61"/>
      <c r="J96" s="125"/>
    </row>
    <row r="97" spans="1:10" x14ac:dyDescent="0.3">
      <c r="A97" s="123">
        <v>5</v>
      </c>
      <c r="B97" s="120" t="s">
        <v>6</v>
      </c>
      <c r="C97" s="120">
        <v>70</v>
      </c>
      <c r="D97" s="120" t="s">
        <v>72</v>
      </c>
      <c r="E97" s="120" t="s">
        <v>179</v>
      </c>
      <c r="F97" s="120">
        <v>7</v>
      </c>
      <c r="G97" s="61"/>
      <c r="H97" s="61"/>
      <c r="I97" s="61"/>
      <c r="J97" s="125"/>
    </row>
    <row r="98" spans="1:10" x14ac:dyDescent="0.3">
      <c r="A98" s="123">
        <v>10</v>
      </c>
      <c r="B98" s="120" t="s">
        <v>65</v>
      </c>
      <c r="C98" s="120">
        <v>70</v>
      </c>
      <c r="D98" s="120" t="s">
        <v>72</v>
      </c>
      <c r="E98" s="120" t="s">
        <v>179</v>
      </c>
      <c r="F98" s="120">
        <v>7</v>
      </c>
      <c r="G98" s="120" t="s">
        <v>184</v>
      </c>
      <c r="H98" s="61"/>
      <c r="I98" s="61"/>
      <c r="J98" s="125"/>
    </row>
    <row r="99" spans="1:10" x14ac:dyDescent="0.3">
      <c r="A99" s="123">
        <v>2</v>
      </c>
      <c r="B99" s="120" t="s">
        <v>6</v>
      </c>
      <c r="C99" s="120">
        <v>70</v>
      </c>
      <c r="D99" s="120" t="s">
        <v>60</v>
      </c>
      <c r="E99" s="120" t="s">
        <v>190</v>
      </c>
      <c r="F99" s="120">
        <v>7</v>
      </c>
      <c r="G99" s="120" t="s">
        <v>63</v>
      </c>
      <c r="H99" s="61"/>
      <c r="I99" s="61"/>
      <c r="J99" s="125"/>
    </row>
    <row r="100" spans="1:10" x14ac:dyDescent="0.3">
      <c r="A100" s="123">
        <v>3</v>
      </c>
      <c r="B100" s="120" t="s">
        <v>13</v>
      </c>
      <c r="C100" s="120">
        <v>60</v>
      </c>
      <c r="D100" s="120" t="s">
        <v>60</v>
      </c>
      <c r="E100" s="120" t="s">
        <v>190</v>
      </c>
      <c r="F100" s="120">
        <v>7</v>
      </c>
      <c r="G100" s="120" t="s">
        <v>63</v>
      </c>
      <c r="H100" s="61"/>
      <c r="I100" s="61"/>
      <c r="J100" s="125"/>
    </row>
    <row r="101" spans="1:10" x14ac:dyDescent="0.3">
      <c r="A101" s="123">
        <v>1</v>
      </c>
      <c r="B101" s="120" t="s">
        <v>13</v>
      </c>
      <c r="C101" s="120">
        <v>100</v>
      </c>
      <c r="D101" s="120" t="s">
        <v>60</v>
      </c>
      <c r="E101" s="120" t="s">
        <v>190</v>
      </c>
      <c r="F101" s="120">
        <v>7</v>
      </c>
      <c r="G101" s="120" t="s">
        <v>63</v>
      </c>
      <c r="H101" s="61"/>
      <c r="I101" s="61"/>
      <c r="J101" s="125"/>
    </row>
    <row r="102" spans="1:10" x14ac:dyDescent="0.3">
      <c r="A102" s="123">
        <v>6</v>
      </c>
      <c r="B102" s="120" t="s">
        <v>6</v>
      </c>
      <c r="C102" s="120">
        <v>90</v>
      </c>
      <c r="D102" s="120" t="s">
        <v>72</v>
      </c>
      <c r="E102" s="120" t="s">
        <v>179</v>
      </c>
      <c r="F102" s="120">
        <v>8</v>
      </c>
      <c r="G102" s="120" t="s">
        <v>63</v>
      </c>
      <c r="H102" s="61"/>
      <c r="I102" s="61"/>
      <c r="J102" s="125"/>
    </row>
    <row r="103" spans="1:10" x14ac:dyDescent="0.3">
      <c r="A103" s="123">
        <v>6</v>
      </c>
      <c r="B103" s="120" t="s">
        <v>13</v>
      </c>
      <c r="C103" s="120">
        <v>50</v>
      </c>
      <c r="D103" s="120" t="s">
        <v>72</v>
      </c>
      <c r="E103" s="61"/>
      <c r="F103" s="120">
        <v>8</v>
      </c>
      <c r="G103" s="120" t="s">
        <v>63</v>
      </c>
      <c r="H103" s="61"/>
      <c r="I103" s="61"/>
      <c r="J103" s="125"/>
    </row>
    <row r="104" spans="1:10" x14ac:dyDescent="0.3">
      <c r="A104" s="123">
        <v>1</v>
      </c>
      <c r="B104" s="120" t="s">
        <v>13</v>
      </c>
      <c r="C104" s="120">
        <v>50</v>
      </c>
      <c r="D104" s="120" t="s">
        <v>60</v>
      </c>
      <c r="E104" s="61"/>
      <c r="F104" s="120">
        <v>8</v>
      </c>
      <c r="G104" s="120" t="s">
        <v>193</v>
      </c>
      <c r="H104" s="61"/>
      <c r="I104" s="61"/>
      <c r="J104" s="125"/>
    </row>
    <row r="105" spans="1:10" x14ac:dyDescent="0.3">
      <c r="A105" s="123">
        <v>1</v>
      </c>
      <c r="B105" s="120" t="s">
        <v>6</v>
      </c>
      <c r="C105" s="120">
        <v>50</v>
      </c>
      <c r="D105" s="120" t="s">
        <v>75</v>
      </c>
      <c r="E105" s="120" t="s">
        <v>179</v>
      </c>
      <c r="F105" s="120">
        <v>8</v>
      </c>
      <c r="G105" s="120" t="s">
        <v>193</v>
      </c>
      <c r="H105" s="61"/>
      <c r="I105" s="61"/>
      <c r="J105" s="125"/>
    </row>
    <row r="106" spans="1:10" x14ac:dyDescent="0.3">
      <c r="A106" s="123">
        <v>2</v>
      </c>
      <c r="B106" s="120" t="s">
        <v>13</v>
      </c>
      <c r="C106" s="120">
        <v>50</v>
      </c>
      <c r="D106" s="120" t="s">
        <v>60</v>
      </c>
      <c r="E106" s="61"/>
      <c r="F106" s="120">
        <v>8</v>
      </c>
      <c r="G106" s="120" t="s">
        <v>201</v>
      </c>
      <c r="H106" s="61"/>
      <c r="I106" s="61"/>
      <c r="J106" s="125"/>
    </row>
    <row r="107" spans="1:10" x14ac:dyDescent="0.3">
      <c r="A107" s="123">
        <v>1</v>
      </c>
      <c r="B107" s="120" t="s">
        <v>6</v>
      </c>
      <c r="C107" s="120">
        <v>70</v>
      </c>
      <c r="D107" s="120" t="s">
        <v>60</v>
      </c>
      <c r="E107" s="57" t="s">
        <v>191</v>
      </c>
      <c r="F107" s="120">
        <v>8</v>
      </c>
      <c r="G107" s="57" t="s">
        <v>184</v>
      </c>
      <c r="H107" s="57"/>
      <c r="I107" s="57"/>
      <c r="J107" s="126"/>
    </row>
    <row r="108" spans="1:10" x14ac:dyDescent="0.3">
      <c r="A108" s="123">
        <v>2</v>
      </c>
      <c r="B108" s="120" t="s">
        <v>13</v>
      </c>
      <c r="C108" s="120">
        <v>50</v>
      </c>
      <c r="D108" s="120" t="s">
        <v>60</v>
      </c>
      <c r="E108" s="57" t="s">
        <v>191</v>
      </c>
      <c r="F108" s="120">
        <v>8</v>
      </c>
      <c r="G108" s="57" t="s">
        <v>184</v>
      </c>
      <c r="H108" s="57"/>
      <c r="I108" s="57"/>
      <c r="J108" s="126"/>
    </row>
    <row r="109" spans="1:10" x14ac:dyDescent="0.3">
      <c r="A109" s="123">
        <v>1</v>
      </c>
      <c r="B109" s="120" t="s">
        <v>65</v>
      </c>
      <c r="C109" s="120">
        <v>50</v>
      </c>
      <c r="D109" s="120" t="s">
        <v>75</v>
      </c>
      <c r="E109" s="57" t="s">
        <v>179</v>
      </c>
      <c r="F109" s="120">
        <v>8</v>
      </c>
      <c r="G109" s="57" t="s">
        <v>204</v>
      </c>
      <c r="H109" s="57"/>
      <c r="I109" s="57"/>
      <c r="J109" s="126"/>
    </row>
    <row r="110" spans="1:10" x14ac:dyDescent="0.3">
      <c r="A110" s="123">
        <v>40</v>
      </c>
      <c r="B110" s="120" t="s">
        <v>6</v>
      </c>
      <c r="C110" s="120">
        <v>50</v>
      </c>
      <c r="D110" s="120" t="s">
        <v>75</v>
      </c>
      <c r="E110" s="57" t="s">
        <v>179</v>
      </c>
      <c r="F110" s="120">
        <v>8</v>
      </c>
      <c r="G110" s="57" t="s">
        <v>205</v>
      </c>
      <c r="H110" s="57"/>
      <c r="I110" s="57"/>
      <c r="J110" s="126"/>
    </row>
    <row r="111" spans="1:10" x14ac:dyDescent="0.3">
      <c r="A111" s="123">
        <v>1</v>
      </c>
      <c r="B111" s="120" t="s">
        <v>13</v>
      </c>
      <c r="C111" s="120">
        <v>50</v>
      </c>
      <c r="D111" s="120" t="s">
        <v>72</v>
      </c>
      <c r="E111" s="57" t="s">
        <v>190</v>
      </c>
      <c r="F111" s="120">
        <v>8</v>
      </c>
      <c r="G111" s="57" t="s">
        <v>184</v>
      </c>
      <c r="H111" s="57"/>
      <c r="I111" s="57"/>
      <c r="J111" s="126"/>
    </row>
    <row r="112" spans="1:10" x14ac:dyDescent="0.3">
      <c r="A112" s="123">
        <v>70</v>
      </c>
      <c r="B112" s="120" t="s">
        <v>13</v>
      </c>
      <c r="C112" s="120">
        <v>50</v>
      </c>
      <c r="D112" s="120" t="s">
        <v>75</v>
      </c>
      <c r="E112" s="57" t="s">
        <v>179</v>
      </c>
      <c r="F112" s="120">
        <v>8</v>
      </c>
      <c r="G112" s="57" t="s">
        <v>63</v>
      </c>
      <c r="H112" s="57"/>
      <c r="I112" s="57"/>
      <c r="J112" s="126"/>
    </row>
    <row r="113" spans="1:10" x14ac:dyDescent="0.3">
      <c r="A113" s="123">
        <v>1</v>
      </c>
      <c r="B113" s="120" t="s">
        <v>13</v>
      </c>
      <c r="C113" s="120">
        <v>60</v>
      </c>
      <c r="D113" s="120" t="s">
        <v>60</v>
      </c>
      <c r="E113" s="57" t="s">
        <v>191</v>
      </c>
      <c r="F113" s="120">
        <v>10</v>
      </c>
      <c r="G113" s="57" t="s">
        <v>206</v>
      </c>
      <c r="H113" s="57"/>
      <c r="I113" s="57"/>
      <c r="J113" s="126"/>
    </row>
    <row r="114" spans="1:10" x14ac:dyDescent="0.3">
      <c r="A114" s="123">
        <v>2</v>
      </c>
      <c r="B114" s="120" t="s">
        <v>65</v>
      </c>
      <c r="C114" s="120">
        <v>40</v>
      </c>
      <c r="D114" s="120" t="s">
        <v>60</v>
      </c>
      <c r="E114" s="57" t="s">
        <v>191</v>
      </c>
      <c r="F114" s="120">
        <v>10</v>
      </c>
      <c r="G114" s="57" t="s">
        <v>206</v>
      </c>
      <c r="H114" s="57"/>
      <c r="I114" s="57"/>
      <c r="J114" s="126"/>
    </row>
    <row r="115" spans="1:10" x14ac:dyDescent="0.3">
      <c r="A115" s="123">
        <v>1</v>
      </c>
      <c r="B115" s="120" t="s">
        <v>13</v>
      </c>
      <c r="C115" s="120">
        <v>70</v>
      </c>
      <c r="D115" s="120" t="s">
        <v>72</v>
      </c>
      <c r="E115" s="57" t="s">
        <v>202</v>
      </c>
      <c r="F115" s="120">
        <v>10</v>
      </c>
      <c r="G115" s="57" t="s">
        <v>206</v>
      </c>
      <c r="H115" s="57"/>
      <c r="I115" s="57"/>
      <c r="J115" s="126"/>
    </row>
    <row r="116" spans="1:10" x14ac:dyDescent="0.3">
      <c r="A116" s="123">
        <v>1</v>
      </c>
      <c r="B116" s="120" t="s">
        <v>13</v>
      </c>
      <c r="C116" s="120">
        <v>70</v>
      </c>
      <c r="D116" s="120" t="s">
        <v>60</v>
      </c>
      <c r="E116" s="57" t="s">
        <v>203</v>
      </c>
      <c r="F116" s="120">
        <v>11</v>
      </c>
      <c r="G116" s="57" t="s">
        <v>201</v>
      </c>
      <c r="H116" s="57"/>
      <c r="I116" s="57"/>
      <c r="J116" s="126"/>
    </row>
    <row r="117" spans="1:10" x14ac:dyDescent="0.3">
      <c r="A117" s="123">
        <v>1</v>
      </c>
      <c r="B117" s="120" t="s">
        <v>13</v>
      </c>
      <c r="C117" s="120">
        <v>50</v>
      </c>
      <c r="D117" s="120" t="s">
        <v>75</v>
      </c>
      <c r="E117" s="57" t="s">
        <v>179</v>
      </c>
      <c r="F117" s="120">
        <v>11</v>
      </c>
      <c r="G117" s="57" t="s">
        <v>181</v>
      </c>
      <c r="H117" s="57"/>
      <c r="I117" s="57"/>
      <c r="J117" s="126"/>
    </row>
    <row r="118" spans="1:10" x14ac:dyDescent="0.3">
      <c r="A118" s="123">
        <v>1</v>
      </c>
      <c r="B118" s="120" t="s">
        <v>13</v>
      </c>
      <c r="C118" s="120">
        <v>70</v>
      </c>
      <c r="D118" s="120" t="s">
        <v>75</v>
      </c>
      <c r="E118" s="57" t="s">
        <v>203</v>
      </c>
      <c r="F118" s="120">
        <v>11</v>
      </c>
      <c r="G118" s="57" t="s">
        <v>181</v>
      </c>
      <c r="H118" s="57"/>
      <c r="I118" s="57"/>
      <c r="J118" s="126"/>
    </row>
    <row r="119" spans="1:10" ht="15" thickBot="1" x14ac:dyDescent="0.35">
      <c r="A119" s="127">
        <v>5</v>
      </c>
      <c r="B119" s="128" t="s">
        <v>13</v>
      </c>
      <c r="C119" s="128">
        <v>70</v>
      </c>
      <c r="D119" s="128" t="s">
        <v>60</v>
      </c>
      <c r="E119" s="114" t="s">
        <v>203</v>
      </c>
      <c r="F119" s="128">
        <v>11</v>
      </c>
      <c r="G119" s="114" t="s">
        <v>181</v>
      </c>
      <c r="H119" s="114"/>
      <c r="I119" s="129">
        <v>0.56944444444444442</v>
      </c>
      <c r="J119" s="130"/>
    </row>
    <row r="120" spans="1:10" ht="15" thickTop="1" x14ac:dyDescent="0.3">
      <c r="I120" s="12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B2381-8CD6-4D22-A67E-377F00FD9A0A}">
  <dimension ref="A1:T89"/>
  <sheetViews>
    <sheetView zoomScaleNormal="100" workbookViewId="0">
      <selection activeCell="C44" sqref="C44"/>
    </sheetView>
  </sheetViews>
  <sheetFormatPr defaultRowHeight="14.4" x14ac:dyDescent="0.3"/>
  <cols>
    <col min="3" max="3" width="11.6640625" customWidth="1"/>
    <col min="7" max="7" width="16" customWidth="1"/>
    <col min="9" max="9" width="10.6640625" customWidth="1"/>
    <col min="10" max="10" width="10.88671875" customWidth="1"/>
    <col min="11" max="11" width="8.109375" customWidth="1"/>
    <col min="12" max="12" width="8.6640625" customWidth="1"/>
    <col min="13" max="15" width="8.44140625" customWidth="1"/>
  </cols>
  <sheetData>
    <row r="1" spans="1:20" ht="15.6" thickTop="1" thickBot="1" x14ac:dyDescent="0.35">
      <c r="A1" s="1"/>
      <c r="B1" s="2"/>
      <c r="C1" s="2"/>
      <c r="D1" s="3" t="s">
        <v>157</v>
      </c>
      <c r="E1" s="2"/>
      <c r="F1" s="2"/>
      <c r="G1" s="2"/>
      <c r="H1" s="4"/>
      <c r="I1" s="50" t="s">
        <v>71</v>
      </c>
      <c r="J1" s="68" t="s">
        <v>213</v>
      </c>
      <c r="K1" s="72" t="s">
        <v>121</v>
      </c>
      <c r="L1" s="45"/>
      <c r="M1" s="46"/>
      <c r="N1" s="46"/>
    </row>
    <row r="2" spans="1:20" ht="15.6" thickTop="1" thickBot="1" x14ac:dyDescent="0.35">
      <c r="A2" s="50" t="s">
        <v>52</v>
      </c>
      <c r="B2" s="2" t="s">
        <v>60</v>
      </c>
      <c r="C2" s="2"/>
      <c r="D2" s="3"/>
      <c r="E2" s="2"/>
      <c r="F2" s="2"/>
      <c r="G2" s="6"/>
      <c r="H2" s="43"/>
      <c r="I2" s="50" t="s">
        <v>61</v>
      </c>
      <c r="J2" s="5" t="s">
        <v>62</v>
      </c>
      <c r="K2" s="45" t="s">
        <v>46</v>
      </c>
      <c r="L2" s="45" t="s">
        <v>41</v>
      </c>
      <c r="M2" s="45" t="s">
        <v>42</v>
      </c>
      <c r="N2" s="45" t="s">
        <v>46</v>
      </c>
      <c r="O2" s="45" t="s">
        <v>42</v>
      </c>
    </row>
    <row r="3" spans="1:20" ht="15.6" thickTop="1" thickBot="1" x14ac:dyDescent="0.35">
      <c r="A3" s="51" t="s">
        <v>4</v>
      </c>
      <c r="B3" s="45">
        <v>1971</v>
      </c>
      <c r="C3" s="7" t="s">
        <v>1</v>
      </c>
      <c r="D3" s="8"/>
      <c r="E3" s="7" t="s">
        <v>2</v>
      </c>
      <c r="F3" s="9"/>
      <c r="G3" s="10" t="s">
        <v>3</v>
      </c>
      <c r="H3" s="8"/>
      <c r="I3" s="46" t="s">
        <v>75</v>
      </c>
      <c r="J3" s="9"/>
      <c r="K3" s="70" t="s">
        <v>79</v>
      </c>
      <c r="L3" s="70">
        <f>SUMIFS($A$11:$A$401,$B$11:$B$401,"CH",$F$11:$F$401,"1")</f>
        <v>0</v>
      </c>
      <c r="M3" s="70" t="s">
        <v>6</v>
      </c>
      <c r="N3" s="70">
        <f>SUMIFS($A$11:$A$401,$B$11:$B$401,"RT",$F$11:$F$401,"1")</f>
        <v>0</v>
      </c>
      <c r="O3" s="70" t="s">
        <v>13</v>
      </c>
    </row>
    <row r="4" spans="1:20" ht="15.6" thickTop="1" thickBot="1" x14ac:dyDescent="0.35">
      <c r="A4" s="50" t="s">
        <v>0</v>
      </c>
      <c r="B4" s="4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46" t="s">
        <v>73</v>
      </c>
      <c r="J4" s="9"/>
      <c r="K4" s="70" t="s">
        <v>80</v>
      </c>
      <c r="L4" s="70">
        <f>SUMIFS($A$11:$A$401,$B$11:$B$401,"CH",$F$11:$F$401,"2")</f>
        <v>0</v>
      </c>
      <c r="M4" s="70" t="s">
        <v>6</v>
      </c>
      <c r="N4" s="70">
        <f>SUMIFS($A$11:$A$401,$B$11:$B$401,"RT",$F$11:$F$401,"2")</f>
        <v>0</v>
      </c>
      <c r="O4" s="70" t="s">
        <v>13</v>
      </c>
    </row>
    <row r="5" spans="1:20" ht="15" thickTop="1" x14ac:dyDescent="0.3">
      <c r="A5" s="49" t="s">
        <v>11</v>
      </c>
      <c r="B5" s="94" t="s">
        <v>207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68</v>
      </c>
      <c r="H5" s="15" t="s">
        <v>16</v>
      </c>
      <c r="I5" s="46" t="s">
        <v>60</v>
      </c>
      <c r="J5" s="9"/>
      <c r="K5" s="70" t="s">
        <v>81</v>
      </c>
      <c r="L5" s="70">
        <f>SUMIFS($A$11:$A$401,$B$11:$B$401,"CH",$F$11:$F$401,"3")</f>
        <v>15</v>
      </c>
      <c r="M5" s="70" t="s">
        <v>6</v>
      </c>
      <c r="N5" s="70">
        <f>SUMIFS($A$11:$A$401,$B$11:$B$401,"RT",$F$11:$F$401,"3")</f>
        <v>99</v>
      </c>
      <c r="O5" s="70" t="s">
        <v>13</v>
      </c>
    </row>
    <row r="6" spans="1:20" x14ac:dyDescent="0.3">
      <c r="A6" s="48" t="s">
        <v>57</v>
      </c>
      <c r="B6" s="95" t="s">
        <v>209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46"/>
      <c r="J6" s="9"/>
      <c r="K6" s="70" t="s">
        <v>82</v>
      </c>
      <c r="L6" s="70">
        <f>SUMIFS($A$11:$A$401,$B$11:$B$401,"CH",$F$11:$F$401,"4")</f>
        <v>0</v>
      </c>
      <c r="M6" s="70" t="s">
        <v>6</v>
      </c>
      <c r="N6" s="70">
        <f>SUMIFS($A$11:$A$401,$B$11:$B$401,"RT",$F$11:$F$401,"4")</f>
        <v>0</v>
      </c>
      <c r="O6" s="70" t="s">
        <v>13</v>
      </c>
    </row>
    <row r="7" spans="1:20" x14ac:dyDescent="0.3">
      <c r="A7" s="69" t="s">
        <v>69</v>
      </c>
      <c r="B7" s="95" t="s">
        <v>208</v>
      </c>
      <c r="C7" s="11" t="s">
        <v>24</v>
      </c>
      <c r="D7" s="12" t="s">
        <v>25</v>
      </c>
      <c r="E7" s="11" t="s">
        <v>70</v>
      </c>
      <c r="F7" s="12" t="s">
        <v>63</v>
      </c>
      <c r="G7" s="18" t="s">
        <v>197</v>
      </c>
      <c r="H7" s="118" t="s">
        <v>198</v>
      </c>
      <c r="I7" s="46" t="s">
        <v>72</v>
      </c>
      <c r="J7" s="9" t="s">
        <v>212</v>
      </c>
      <c r="K7" s="70" t="s">
        <v>83</v>
      </c>
      <c r="L7" s="70">
        <f>SUMIFS($A$11:$A$401,$B$11:$B$401,"CH",$F$11:$F$401,"5")</f>
        <v>0</v>
      </c>
      <c r="M7" s="70" t="s">
        <v>6</v>
      </c>
      <c r="N7" s="70">
        <f>SUMIFS($A$11:$A$401,$B$11:$B$401,"RT",$F$11:$F$401,"5")</f>
        <v>0</v>
      </c>
      <c r="O7" s="70" t="s">
        <v>13</v>
      </c>
    </row>
    <row r="8" spans="1:20" x14ac:dyDescent="0.3">
      <c r="A8" s="16" t="s">
        <v>23</v>
      </c>
      <c r="B8" s="97">
        <v>3</v>
      </c>
      <c r="C8" s="13" t="s">
        <v>64</v>
      </c>
      <c r="D8" s="12" t="s">
        <v>65</v>
      </c>
      <c r="E8" s="13" t="s">
        <v>67</v>
      </c>
      <c r="F8" s="12" t="s">
        <v>59</v>
      </c>
      <c r="G8" s="18" t="s">
        <v>55</v>
      </c>
      <c r="H8" s="15" t="s">
        <v>53</v>
      </c>
      <c r="I8" s="46" t="s">
        <v>73</v>
      </c>
      <c r="J8" s="9" t="s">
        <v>166</v>
      </c>
      <c r="K8" s="70" t="s">
        <v>84</v>
      </c>
      <c r="L8" s="70">
        <f>SUMIFS($A$11:$A$401,$B$11:$B$401,"CH",$F$11:$F$401,"6")</f>
        <v>0</v>
      </c>
      <c r="M8" s="70" t="s">
        <v>6</v>
      </c>
      <c r="N8" s="70">
        <f>SUMIFS($A$11:$A$401,$B$11:$B$401,"RT",$F$11:$F$401,"6")</f>
        <v>0</v>
      </c>
      <c r="O8" s="70" t="s">
        <v>13</v>
      </c>
    </row>
    <row r="9" spans="1:20" ht="15" thickBot="1" x14ac:dyDescent="0.35">
      <c r="A9" s="16" t="s">
        <v>26</v>
      </c>
      <c r="B9" s="98">
        <v>1</v>
      </c>
      <c r="C9" s="11" t="s">
        <v>29</v>
      </c>
      <c r="D9" s="12" t="s">
        <v>27</v>
      </c>
      <c r="E9" s="22" t="s">
        <v>30</v>
      </c>
      <c r="F9" s="12" t="s">
        <v>31</v>
      </c>
      <c r="G9" s="20" t="s">
        <v>56</v>
      </c>
      <c r="H9" s="119" t="s">
        <v>54</v>
      </c>
      <c r="I9" s="99" t="s">
        <v>75</v>
      </c>
      <c r="J9" s="138" t="s">
        <v>180</v>
      </c>
      <c r="K9" s="70" t="s">
        <v>85</v>
      </c>
      <c r="L9" s="70">
        <f>SUMIFS($A$11:$A$401,$B$11:$B$401,"CH",$F$11:$F$401,"7")</f>
        <v>0</v>
      </c>
      <c r="M9" s="70" t="s">
        <v>6</v>
      </c>
      <c r="N9" s="70">
        <f>SUMIFS($A$11:$A$401,$B$11:$B$401,"RT",$F$11:$F$401,"7")</f>
        <v>0</v>
      </c>
      <c r="O9" s="70" t="s">
        <v>13</v>
      </c>
    </row>
    <row r="10" spans="1:20" ht="15" thickTop="1" x14ac:dyDescent="0.3">
      <c r="A10" s="53" t="s">
        <v>28</v>
      </c>
      <c r="B10" s="21"/>
      <c r="C10" s="11" t="s">
        <v>32</v>
      </c>
      <c r="D10" s="12" t="s">
        <v>33</v>
      </c>
      <c r="E10" s="24" t="s">
        <v>34</v>
      </c>
      <c r="F10" s="25" t="s">
        <v>35</v>
      </c>
      <c r="G10" s="23" t="s">
        <v>199</v>
      </c>
      <c r="H10" s="9"/>
      <c r="I10" s="47" t="s">
        <v>36</v>
      </c>
      <c r="J10" s="8" t="s">
        <v>210</v>
      </c>
      <c r="K10" s="70" t="s">
        <v>86</v>
      </c>
      <c r="L10" s="70">
        <f>SUMIFS($A$11:$A$401,$B$11:$B$401,"CH",$F$11:$F$401,"8")</f>
        <v>0</v>
      </c>
      <c r="M10" s="70" t="s">
        <v>6</v>
      </c>
      <c r="N10" s="70">
        <f>SUMIFS($A$11:$A$401,$B$11:$B$401,"RT",$F$11:$F$401,"8")</f>
        <v>0</v>
      </c>
      <c r="O10" s="70" t="s">
        <v>13</v>
      </c>
    </row>
    <row r="11" spans="1:20" ht="15" thickBot="1" x14ac:dyDescent="0.35">
      <c r="A11" s="26" t="s">
        <v>220</v>
      </c>
      <c r="B11" s="27"/>
      <c r="C11" s="26" t="s">
        <v>37</v>
      </c>
      <c r="D11" s="28" t="s">
        <v>38</v>
      </c>
      <c r="E11" s="24" t="s">
        <v>39</v>
      </c>
      <c r="F11" s="28" t="s">
        <v>58</v>
      </c>
      <c r="G11" t="s">
        <v>51</v>
      </c>
      <c r="H11" s="28" t="s">
        <v>40</v>
      </c>
      <c r="I11" s="67" t="s">
        <v>218</v>
      </c>
      <c r="J11" s="29" t="s">
        <v>219</v>
      </c>
      <c r="K11" s="70" t="s">
        <v>87</v>
      </c>
      <c r="L11" s="70">
        <f>SUMIFS($A$11:$A$401,$B$11:$B$401,"CH",$F$11:$F$401,"9")</f>
        <v>1</v>
      </c>
      <c r="M11" s="70" t="s">
        <v>6</v>
      </c>
      <c r="N11" s="70">
        <f>SUMIFS($A$11:$A$401,$B$11:$B$401,"RT",$F$11:$F$401,"9")</f>
        <v>0</v>
      </c>
      <c r="O11" s="70" t="s">
        <v>13</v>
      </c>
    </row>
    <row r="12" spans="1:20" ht="15.6" thickTop="1" thickBot="1" x14ac:dyDescent="0.35">
      <c r="A12" s="30" t="s">
        <v>41</v>
      </c>
      <c r="B12" s="31" t="s">
        <v>42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50</v>
      </c>
      <c r="K12" s="70" t="s">
        <v>88</v>
      </c>
      <c r="L12" s="70">
        <f>SUMIFS($A$11:$A$401,$B$11:$B$401,"CH",$F$11:$F$401,"10")</f>
        <v>0</v>
      </c>
      <c r="M12" s="70" t="s">
        <v>6</v>
      </c>
      <c r="N12" s="70">
        <f>SUMIFS($A$11:$A$401,$B$11:$B$401,"RT",$F$11:$F$401,"10")</f>
        <v>0</v>
      </c>
      <c r="O12" s="70" t="s">
        <v>13</v>
      </c>
      <c r="P12" s="65"/>
      <c r="Q12" s="65"/>
      <c r="R12" s="65"/>
      <c r="S12" s="65"/>
      <c r="T12" s="65"/>
    </row>
    <row r="13" spans="1:20" ht="15" thickTop="1" x14ac:dyDescent="0.3">
      <c r="A13" s="32">
        <v>1</v>
      </c>
      <c r="B13" s="54" t="s">
        <v>38</v>
      </c>
      <c r="C13" s="33">
        <v>30</v>
      </c>
      <c r="D13" s="64" t="s">
        <v>75</v>
      </c>
      <c r="E13" s="33"/>
      <c r="F13" s="33">
        <v>3</v>
      </c>
      <c r="G13" s="33" t="s">
        <v>211</v>
      </c>
      <c r="H13" s="33" t="s">
        <v>58</v>
      </c>
      <c r="I13" s="58">
        <v>0.66666666666666663</v>
      </c>
      <c r="J13" s="131">
        <v>44083</v>
      </c>
      <c r="K13" s="70" t="s">
        <v>89</v>
      </c>
      <c r="L13" s="70">
        <f>SUMIFS($A$11:$A$401,$B$11:$B$401,"CH",$F$11:$F$401,"11")</f>
        <v>0</v>
      </c>
      <c r="M13" s="70" t="s">
        <v>6</v>
      </c>
      <c r="N13" s="70">
        <f>SUMIFS($A$11:$A$401,$B$11:$B$401,"RT",$F$11:$F$401,"11")</f>
        <v>0</v>
      </c>
      <c r="O13" s="70" t="s">
        <v>13</v>
      </c>
      <c r="P13" s="65"/>
      <c r="Q13" s="65"/>
      <c r="R13" s="65"/>
      <c r="S13" s="65"/>
      <c r="T13" s="65"/>
    </row>
    <row r="14" spans="1:20" x14ac:dyDescent="0.3">
      <c r="A14" s="36">
        <v>4</v>
      </c>
      <c r="B14" s="55" t="s">
        <v>13</v>
      </c>
      <c r="C14" s="37">
        <v>30</v>
      </c>
      <c r="D14" s="62" t="s">
        <v>73</v>
      </c>
      <c r="E14" s="37"/>
      <c r="F14" s="33">
        <v>3</v>
      </c>
      <c r="G14" s="33" t="s">
        <v>211</v>
      </c>
      <c r="H14" s="37" t="s">
        <v>58</v>
      </c>
      <c r="I14" s="37"/>
      <c r="J14" s="39"/>
      <c r="K14" s="70" t="s">
        <v>90</v>
      </c>
      <c r="L14" s="70">
        <f>SUMIFS($A$11:$A$401,$B$11:$B$401,"CH",$F$11:$F$401,"12")</f>
        <v>7</v>
      </c>
      <c r="M14" s="70" t="s">
        <v>6</v>
      </c>
      <c r="N14" s="70">
        <f>SUMIFS($A$11:$A$401,$B$11:$B$401,"RT",$F$11:$F$401,"12")</f>
        <v>1</v>
      </c>
      <c r="O14" s="70" t="s">
        <v>13</v>
      </c>
      <c r="P14" s="65"/>
      <c r="Q14" s="65"/>
      <c r="R14" s="65"/>
      <c r="S14" s="65"/>
      <c r="T14" s="65"/>
    </row>
    <row r="15" spans="1:20" x14ac:dyDescent="0.3">
      <c r="A15" s="36">
        <v>20</v>
      </c>
      <c r="B15" s="55" t="s">
        <v>38</v>
      </c>
      <c r="C15" s="37">
        <v>60</v>
      </c>
      <c r="D15" s="37" t="s">
        <v>60</v>
      </c>
      <c r="E15" s="37"/>
      <c r="F15" s="33">
        <v>3</v>
      </c>
      <c r="G15" s="33" t="s">
        <v>211</v>
      </c>
      <c r="H15" s="37" t="s">
        <v>10</v>
      </c>
      <c r="I15" s="37"/>
      <c r="J15" s="39"/>
      <c r="K15" s="70" t="s">
        <v>91</v>
      </c>
      <c r="L15" s="70">
        <f>SUMIFS($A$11:$A$401,$B$11:$B$401,"CH",$F$11:$F$401,"13")</f>
        <v>0</v>
      </c>
      <c r="M15" s="70" t="s">
        <v>6</v>
      </c>
      <c r="N15" s="70">
        <f>SUMIFS($A$11:$A$401,$B$11:$B$401,"RT",$F$11:$F$401,"13")</f>
        <v>0</v>
      </c>
      <c r="O15" s="70" t="s">
        <v>13</v>
      </c>
      <c r="P15" s="65"/>
      <c r="Q15" s="65"/>
      <c r="R15" s="65"/>
      <c r="S15" s="65"/>
      <c r="T15" s="65"/>
    </row>
    <row r="16" spans="1:20" x14ac:dyDescent="0.3">
      <c r="A16" s="36">
        <v>50</v>
      </c>
      <c r="B16" s="55" t="s">
        <v>65</v>
      </c>
      <c r="C16" s="37">
        <v>50</v>
      </c>
      <c r="D16" s="37" t="s">
        <v>60</v>
      </c>
      <c r="E16" s="37"/>
      <c r="F16" s="33">
        <v>3</v>
      </c>
      <c r="G16" s="33" t="s">
        <v>211</v>
      </c>
      <c r="H16" s="37" t="s">
        <v>162</v>
      </c>
      <c r="I16" s="37"/>
      <c r="J16" s="39"/>
      <c r="K16" s="70" t="s">
        <v>92</v>
      </c>
      <c r="L16" s="70">
        <f>SUMIFS($A$11:$A$401,$B$11:$B$401,"CH",$F$11:$F$401,"14")</f>
        <v>0</v>
      </c>
      <c r="M16" s="70" t="s">
        <v>6</v>
      </c>
      <c r="N16" s="70">
        <f>SUMIFS($A$11:$A$401,$B$11:$B$401,"RT",$F$11:$F$401,"14")</f>
        <v>0</v>
      </c>
      <c r="O16" s="70" t="s">
        <v>13</v>
      </c>
      <c r="P16" s="65"/>
      <c r="Q16" s="65"/>
      <c r="R16" s="65"/>
      <c r="S16" s="65"/>
      <c r="T16" s="65"/>
    </row>
    <row r="17" spans="1:20" x14ac:dyDescent="0.3">
      <c r="A17" s="36">
        <v>15</v>
      </c>
      <c r="B17" s="55" t="s">
        <v>13</v>
      </c>
      <c r="C17" s="37">
        <v>70</v>
      </c>
      <c r="D17" s="37" t="s">
        <v>60</v>
      </c>
      <c r="E17" s="37"/>
      <c r="F17" s="33">
        <v>3</v>
      </c>
      <c r="G17" s="33" t="s">
        <v>211</v>
      </c>
      <c r="H17" s="37" t="s">
        <v>162</v>
      </c>
      <c r="I17" s="37"/>
      <c r="J17" s="39"/>
      <c r="K17" s="70" t="s">
        <v>93</v>
      </c>
      <c r="L17" s="70">
        <f>SUMIFS($A$11:$A$401,$B$11:$B$401,"CH",$F$11:$F$401,"15")</f>
        <v>0</v>
      </c>
      <c r="M17" s="70" t="s">
        <v>6</v>
      </c>
      <c r="N17" s="70">
        <f>SUMIFS($A$11:$A$401,$B$11:$B$401,"RT",$F$11:$F$401,"15")</f>
        <v>0</v>
      </c>
      <c r="O17" s="70" t="s">
        <v>13</v>
      </c>
      <c r="P17" s="65"/>
      <c r="Q17" s="65"/>
      <c r="R17" s="65"/>
      <c r="S17" s="65"/>
      <c r="T17" s="65"/>
    </row>
    <row r="18" spans="1:20" x14ac:dyDescent="0.3">
      <c r="A18" s="36">
        <v>30</v>
      </c>
      <c r="B18" s="55" t="s">
        <v>13</v>
      </c>
      <c r="C18" s="37">
        <v>50</v>
      </c>
      <c r="D18" s="37" t="s">
        <v>60</v>
      </c>
      <c r="E18" s="37"/>
      <c r="F18" s="33">
        <v>3</v>
      </c>
      <c r="G18" s="33" t="s">
        <v>211</v>
      </c>
      <c r="H18" s="37" t="s">
        <v>162</v>
      </c>
      <c r="I18" s="37"/>
      <c r="J18" s="39"/>
      <c r="K18" s="70" t="s">
        <v>94</v>
      </c>
      <c r="L18" s="70">
        <f>SUMIFS($A$11:$A$401,$B$11:$B$401,"CH",$F$11:$F$401,"16")</f>
        <v>0</v>
      </c>
      <c r="M18" s="70" t="s">
        <v>6</v>
      </c>
      <c r="N18" s="70">
        <f>SUMIFS($A$11:$A$401,$B$11:$B$401,"RT",$F$11:$F$401,"16")</f>
        <v>1</v>
      </c>
      <c r="O18" s="70" t="s">
        <v>13</v>
      </c>
      <c r="P18" s="65"/>
      <c r="Q18" s="65"/>
      <c r="R18" s="65"/>
      <c r="S18" s="65"/>
      <c r="T18" s="65"/>
    </row>
    <row r="19" spans="1:20" x14ac:dyDescent="0.3">
      <c r="A19" s="36">
        <v>30</v>
      </c>
      <c r="B19" s="55" t="s">
        <v>13</v>
      </c>
      <c r="C19" s="37">
        <v>40</v>
      </c>
      <c r="D19" s="37" t="s">
        <v>60</v>
      </c>
      <c r="E19" s="37"/>
      <c r="F19" s="33">
        <v>3</v>
      </c>
      <c r="G19" s="33" t="s">
        <v>211</v>
      </c>
      <c r="H19" s="37" t="s">
        <v>162</v>
      </c>
      <c r="I19" s="37"/>
      <c r="J19" s="39"/>
      <c r="K19" s="70" t="s">
        <v>95</v>
      </c>
      <c r="L19" s="70">
        <f>SUMIFS($A$11:$A$401,$B$11:$B$401,"CH",$F$11:$F$401,"17")</f>
        <v>0</v>
      </c>
      <c r="M19" s="70" t="s">
        <v>6</v>
      </c>
      <c r="N19" s="70">
        <f>SUMIFS($A$11:$A$401,$B$11:$B$401,"RT",$F$11:$F$401,"17")</f>
        <v>0</v>
      </c>
      <c r="O19" s="70" t="s">
        <v>13</v>
      </c>
      <c r="P19" s="65"/>
      <c r="Q19" s="65"/>
      <c r="R19" s="66"/>
      <c r="S19" s="65"/>
      <c r="T19" s="65"/>
    </row>
    <row r="20" spans="1:20" x14ac:dyDescent="0.3">
      <c r="A20" s="36">
        <v>15</v>
      </c>
      <c r="B20" s="55" t="s">
        <v>6</v>
      </c>
      <c r="C20" s="37">
        <v>40</v>
      </c>
      <c r="D20" s="37" t="s">
        <v>60</v>
      </c>
      <c r="E20" s="37"/>
      <c r="F20" s="33">
        <v>3</v>
      </c>
      <c r="G20" s="33" t="s">
        <v>211</v>
      </c>
      <c r="H20" s="37" t="s">
        <v>162</v>
      </c>
      <c r="I20" s="37"/>
      <c r="J20" s="39"/>
      <c r="K20" s="70" t="s">
        <v>96</v>
      </c>
      <c r="L20" s="70">
        <f>SUMIFS($A$11:$A$401,$B$11:$B$401,"CH",$F$11:$F$401,"18")</f>
        <v>0</v>
      </c>
      <c r="M20" s="70" t="s">
        <v>6</v>
      </c>
      <c r="N20" s="70">
        <f>SUMIFS($A$11:$A$401,$B$11:$B$401,"RT",$F$11:$F$401,"18")</f>
        <v>0</v>
      </c>
      <c r="O20" s="70" t="s">
        <v>13</v>
      </c>
      <c r="P20" s="65"/>
      <c r="Q20" s="65"/>
      <c r="R20" s="65"/>
      <c r="S20" s="65"/>
      <c r="T20" s="65"/>
    </row>
    <row r="21" spans="1:20" x14ac:dyDescent="0.3">
      <c r="A21" s="36">
        <v>20</v>
      </c>
      <c r="B21" s="55" t="s">
        <v>13</v>
      </c>
      <c r="C21" s="37">
        <v>45</v>
      </c>
      <c r="D21" s="37" t="s">
        <v>73</v>
      </c>
      <c r="E21" s="37"/>
      <c r="F21" s="33">
        <v>3</v>
      </c>
      <c r="G21" s="33" t="s">
        <v>211</v>
      </c>
      <c r="H21" s="37" t="s">
        <v>162</v>
      </c>
      <c r="I21" s="63">
        <v>0.70833333333333337</v>
      </c>
      <c r="J21" s="132">
        <v>44083</v>
      </c>
      <c r="K21" s="70" t="s">
        <v>97</v>
      </c>
      <c r="L21" s="70">
        <f>SUMIFS($A$11:$A$401,$B$11:$B$401,"CH",$F$11:$F$401,"19")</f>
        <v>0</v>
      </c>
      <c r="M21" s="70" t="s">
        <v>6</v>
      </c>
      <c r="N21" s="70">
        <f>SUMIFS($A$11:$A$401,$B$11:$B$401,"RT",$F$11:$F$401,"19")</f>
        <v>0</v>
      </c>
      <c r="O21" s="70" t="s">
        <v>13</v>
      </c>
      <c r="P21" s="65"/>
      <c r="Q21" s="65"/>
      <c r="R21" s="65"/>
      <c r="S21" s="65"/>
      <c r="T21" s="65"/>
    </row>
    <row r="22" spans="1:20" x14ac:dyDescent="0.3">
      <c r="A22" s="36">
        <v>0</v>
      </c>
      <c r="B22" s="55"/>
      <c r="C22" s="37"/>
      <c r="D22" s="37"/>
      <c r="E22" s="37"/>
      <c r="F22" s="37">
        <v>1</v>
      </c>
      <c r="G22" s="37" t="s">
        <v>20</v>
      </c>
      <c r="H22" s="37"/>
      <c r="I22" s="63">
        <v>0.60763888888888895</v>
      </c>
      <c r="J22" s="137" t="s">
        <v>217</v>
      </c>
      <c r="K22" s="70" t="s">
        <v>98</v>
      </c>
      <c r="L22" s="70">
        <f>SUMIFS($A$11:$A$401,$B$11:$B$401,"CH",$F$11:$F$401,"20")</f>
        <v>0</v>
      </c>
      <c r="M22" s="70" t="s">
        <v>6</v>
      </c>
      <c r="N22" s="70">
        <f>SUMIFS($A$11:$A$401,$B$11:$B$401,"RT",$F$11:$F$401,"20")</f>
        <v>0</v>
      </c>
      <c r="O22" s="70" t="s">
        <v>13</v>
      </c>
    </row>
    <row r="23" spans="1:20" x14ac:dyDescent="0.3">
      <c r="A23" s="36">
        <v>4</v>
      </c>
      <c r="B23" s="55" t="s">
        <v>65</v>
      </c>
      <c r="C23" s="37">
        <v>100</v>
      </c>
      <c r="D23" s="37" t="s">
        <v>73</v>
      </c>
      <c r="E23" s="37" t="s">
        <v>166</v>
      </c>
      <c r="F23" s="37">
        <v>2</v>
      </c>
      <c r="G23" s="37" t="s">
        <v>35</v>
      </c>
      <c r="H23" s="37" t="s">
        <v>184</v>
      </c>
      <c r="I23" s="37"/>
      <c r="J23" s="39"/>
      <c r="K23" s="70" t="s">
        <v>99</v>
      </c>
      <c r="L23" s="70">
        <f>SUMIFS($A$11:$A$401,$B$11:$B$401,"CH",$F$11:$F$401,"21")</f>
        <v>0</v>
      </c>
      <c r="M23" s="70" t="s">
        <v>6</v>
      </c>
      <c r="N23" s="70">
        <f>SUMIFS($A$11:$A$401,$B$11:$B$401,"RT",$F$11:$F$401,"21")</f>
        <v>0</v>
      </c>
      <c r="O23" s="70" t="s">
        <v>13</v>
      </c>
    </row>
    <row r="24" spans="1:20" x14ac:dyDescent="0.3">
      <c r="A24" s="36">
        <v>2</v>
      </c>
      <c r="B24" s="55" t="s">
        <v>65</v>
      </c>
      <c r="C24" s="37">
        <v>200</v>
      </c>
      <c r="D24" s="37" t="s">
        <v>73</v>
      </c>
      <c r="E24" s="37" t="s">
        <v>166</v>
      </c>
      <c r="F24" s="37">
        <v>2</v>
      </c>
      <c r="G24" s="37" t="s">
        <v>35</v>
      </c>
      <c r="H24" s="37" t="s">
        <v>184</v>
      </c>
      <c r="I24" s="37"/>
      <c r="J24" s="39"/>
      <c r="K24" s="70" t="s">
        <v>100</v>
      </c>
      <c r="L24" s="70">
        <f>SUMIFS($A$11:$A$401,$B$11:$B$401,"CH",$F$11:$F$401,"22")</f>
        <v>0</v>
      </c>
      <c r="M24" s="70" t="s">
        <v>6</v>
      </c>
      <c r="N24" s="70">
        <f>SUMIFS($A$11:$A$401,$B$11:$B$401,"RT",$F$11:$F$401,"22")</f>
        <v>0</v>
      </c>
      <c r="O24" s="70" t="s">
        <v>13</v>
      </c>
    </row>
    <row r="25" spans="1:20" x14ac:dyDescent="0.3">
      <c r="A25" s="36">
        <v>7</v>
      </c>
      <c r="B25" s="55" t="s">
        <v>65</v>
      </c>
      <c r="C25" s="37">
        <v>70</v>
      </c>
      <c r="D25" s="37" t="s">
        <v>72</v>
      </c>
      <c r="E25" s="37" t="s">
        <v>179</v>
      </c>
      <c r="F25" s="37">
        <v>2</v>
      </c>
      <c r="G25" s="37" t="s">
        <v>35</v>
      </c>
      <c r="H25" s="37" t="s">
        <v>184</v>
      </c>
      <c r="I25" s="37"/>
      <c r="J25" s="39"/>
      <c r="K25" s="70" t="s">
        <v>101</v>
      </c>
      <c r="L25" s="70">
        <f>SUMIFS($A$11:$A$401,$B$11:$B$401,"CH",$F$11:$F$401,"23")</f>
        <v>0</v>
      </c>
      <c r="M25" s="70" t="s">
        <v>6</v>
      </c>
      <c r="N25" s="70">
        <f>SUMIFS($A$11:$A$401,$B$11:$B$401,"RT",$F$11:$F$401,"23")</f>
        <v>0</v>
      </c>
      <c r="O25" s="70" t="s">
        <v>13</v>
      </c>
    </row>
    <row r="26" spans="1:20" x14ac:dyDescent="0.3">
      <c r="A26" s="133">
        <v>1</v>
      </c>
      <c r="B26" s="120" t="s">
        <v>27</v>
      </c>
      <c r="C26" s="57">
        <v>60</v>
      </c>
      <c r="D26" s="57" t="s">
        <v>73</v>
      </c>
      <c r="E26" s="57" t="s">
        <v>191</v>
      </c>
      <c r="F26" s="57">
        <v>2</v>
      </c>
      <c r="G26" s="57" t="s">
        <v>35</v>
      </c>
      <c r="H26" s="57" t="s">
        <v>184</v>
      </c>
      <c r="I26" s="57"/>
      <c r="J26" s="126"/>
      <c r="K26" s="70" t="s">
        <v>102</v>
      </c>
      <c r="L26" s="70">
        <f>SUMIFS($A$11:$A$401,$B$11:$B$401,"CH",$F$11:$F$401,"24")</f>
        <v>0</v>
      </c>
      <c r="M26" s="70" t="s">
        <v>6</v>
      </c>
      <c r="N26" s="70">
        <f>SUMIFS($A$11:$A$401,$B$11:$B$401,"RT",$F$11:$F$401,"24")</f>
        <v>0</v>
      </c>
      <c r="O26" s="70" t="s">
        <v>13</v>
      </c>
    </row>
    <row r="27" spans="1:20" x14ac:dyDescent="0.3">
      <c r="A27" s="133">
        <v>0</v>
      </c>
      <c r="B27" s="120"/>
      <c r="C27" s="57"/>
      <c r="D27" s="57"/>
      <c r="E27" s="57"/>
      <c r="F27" s="57">
        <v>4</v>
      </c>
      <c r="G27" s="57" t="s">
        <v>20</v>
      </c>
      <c r="H27" s="57"/>
      <c r="I27" s="57"/>
      <c r="J27" s="126" t="s">
        <v>76</v>
      </c>
      <c r="K27" s="70" t="s">
        <v>103</v>
      </c>
      <c r="L27" s="70">
        <f>SUMIFS($A$11:$A$401,$B$11:$B$401,"CH",$F$11:$F$401,"25")</f>
        <v>0</v>
      </c>
      <c r="M27" s="70" t="s">
        <v>6</v>
      </c>
      <c r="N27" s="70">
        <f>SUMIFS($A$11:$A$401,$B$11:$B$401,"RT",$F$11:$F$401,"25")</f>
        <v>0</v>
      </c>
      <c r="O27" s="70" t="s">
        <v>13</v>
      </c>
    </row>
    <row r="28" spans="1:20" x14ac:dyDescent="0.3">
      <c r="A28" s="133">
        <v>0</v>
      </c>
      <c r="B28" s="120"/>
      <c r="C28" s="57"/>
      <c r="D28" s="57"/>
      <c r="E28" s="57"/>
      <c r="F28" s="57">
        <v>5</v>
      </c>
      <c r="G28" s="57" t="s">
        <v>20</v>
      </c>
      <c r="H28" s="57"/>
      <c r="I28" s="57"/>
      <c r="J28" s="126" t="s">
        <v>76</v>
      </c>
      <c r="K28" s="70" t="s">
        <v>104</v>
      </c>
      <c r="L28" s="70">
        <f>SUMIFS($A$11:$A$401,$B$11:$B$401,"CH",$F$11:$F$401,"26")</f>
        <v>0</v>
      </c>
      <c r="M28" s="70" t="s">
        <v>6</v>
      </c>
      <c r="N28" s="70">
        <f>SUMIFS($A$11:$A$401,$B$11:$B$401,"RT",$F$11:$F$401,"26")</f>
        <v>0</v>
      </c>
      <c r="O28" s="70" t="s">
        <v>13</v>
      </c>
    </row>
    <row r="29" spans="1:20" x14ac:dyDescent="0.3">
      <c r="A29" s="133">
        <v>0</v>
      </c>
      <c r="B29" s="120"/>
      <c r="C29" s="57"/>
      <c r="D29" s="57"/>
      <c r="E29" s="57"/>
      <c r="F29" s="57">
        <v>6</v>
      </c>
      <c r="G29" s="57" t="s">
        <v>35</v>
      </c>
      <c r="H29" s="57"/>
      <c r="I29" s="57"/>
      <c r="J29" s="126" t="s">
        <v>76</v>
      </c>
      <c r="K29" s="70" t="s">
        <v>105</v>
      </c>
      <c r="L29" s="70">
        <f>SUMIFS($A$11:$A$401,$B$11:$B$401,"CH",$F$11:$F$401,"27")</f>
        <v>0</v>
      </c>
      <c r="M29" s="70" t="s">
        <v>6</v>
      </c>
      <c r="N29" s="70">
        <f>SUMIFS($A$11:$A$401,$B$11:$B$401,"RT",$F$11:$F$401,"27")</f>
        <v>0</v>
      </c>
      <c r="O29" s="70" t="s">
        <v>13</v>
      </c>
    </row>
    <row r="30" spans="1:20" x14ac:dyDescent="0.3">
      <c r="A30" s="133">
        <v>0</v>
      </c>
      <c r="B30" s="120"/>
      <c r="C30" s="57"/>
      <c r="D30" s="57"/>
      <c r="E30" s="57"/>
      <c r="F30" s="57">
        <v>7</v>
      </c>
      <c r="G30" s="57" t="s">
        <v>20</v>
      </c>
      <c r="H30" s="57"/>
      <c r="I30" s="57"/>
      <c r="J30" s="126" t="s">
        <v>76</v>
      </c>
      <c r="K30" s="70" t="s">
        <v>106</v>
      </c>
      <c r="L30" s="70">
        <f>SUMIFS($A$11:$A$401,$B$11:$B$401,"CH",$F$11:$F$401,"28")</f>
        <v>0</v>
      </c>
      <c r="M30" s="70" t="s">
        <v>6</v>
      </c>
      <c r="N30" s="70">
        <f>SUMIFS($A$11:$A$401,$B$11:$B$401,"RT",$F$11:$F$401,"28")</f>
        <v>0</v>
      </c>
      <c r="O30" s="70" t="s">
        <v>13</v>
      </c>
    </row>
    <row r="31" spans="1:20" x14ac:dyDescent="0.3">
      <c r="A31" s="133">
        <v>0</v>
      </c>
      <c r="B31" s="120"/>
      <c r="C31" s="57"/>
      <c r="D31" s="57"/>
      <c r="E31" s="57"/>
      <c r="F31" s="57">
        <v>8</v>
      </c>
      <c r="G31" s="57" t="s">
        <v>214</v>
      </c>
      <c r="H31" s="57"/>
      <c r="I31" s="57"/>
      <c r="J31" s="126" t="s">
        <v>76</v>
      </c>
      <c r="K31" s="70" t="s">
        <v>107</v>
      </c>
      <c r="L31" s="70">
        <f>SUMIFS($A$11:$A$401,$B$11:$B$401,"CH",$F$11:$F$401,"29")</f>
        <v>0</v>
      </c>
      <c r="M31" s="70" t="s">
        <v>6</v>
      </c>
      <c r="N31" s="70">
        <f>SUMIFS($A$11:$A$401,$B$11:$B$401,"RT",$F$11:$F$401,"29")</f>
        <v>0</v>
      </c>
      <c r="O31" s="70" t="s">
        <v>13</v>
      </c>
    </row>
    <row r="32" spans="1:20" x14ac:dyDescent="0.3">
      <c r="A32" s="133">
        <v>1</v>
      </c>
      <c r="B32" s="120" t="s">
        <v>25</v>
      </c>
      <c r="C32" s="57">
        <v>60</v>
      </c>
      <c r="D32" s="57" t="s">
        <v>72</v>
      </c>
      <c r="E32" s="57" t="s">
        <v>190</v>
      </c>
      <c r="F32" s="57">
        <v>9</v>
      </c>
      <c r="G32" s="57" t="s">
        <v>35</v>
      </c>
      <c r="H32" s="57" t="s">
        <v>215</v>
      </c>
      <c r="I32" s="134"/>
      <c r="J32" s="126"/>
      <c r="K32" s="70" t="s">
        <v>108</v>
      </c>
      <c r="L32" s="70">
        <f>SUMIFS($A$11:$A$401,$B$11:$B$401,"CH",$F$11:$F$401,"30")</f>
        <v>0</v>
      </c>
      <c r="M32" s="70" t="s">
        <v>6</v>
      </c>
      <c r="N32" s="70">
        <f>SUMIFS($A$11:$A$401,$B$11:$B$401,"RT",$F$11:$F$401,"30")</f>
        <v>0</v>
      </c>
      <c r="O32" s="70" t="s">
        <v>13</v>
      </c>
    </row>
    <row r="33" spans="1:15" x14ac:dyDescent="0.3">
      <c r="A33" s="135">
        <v>1</v>
      </c>
      <c r="B33" s="57" t="s">
        <v>6</v>
      </c>
      <c r="C33" s="57">
        <v>50</v>
      </c>
      <c r="D33" s="57" t="s">
        <v>72</v>
      </c>
      <c r="E33" s="57" t="s">
        <v>190</v>
      </c>
      <c r="F33" s="57">
        <v>9</v>
      </c>
      <c r="G33" s="57" t="s">
        <v>35</v>
      </c>
      <c r="H33" s="57" t="s">
        <v>216</v>
      </c>
      <c r="I33" s="57"/>
      <c r="J33" s="126"/>
      <c r="K33" s="70" t="s">
        <v>109</v>
      </c>
      <c r="L33" s="70">
        <f>SUMIFS($A$11:$A$401,$B$11:$B$401,"CH",$F$11:$F$401,"31")</f>
        <v>0</v>
      </c>
      <c r="M33" s="70" t="s">
        <v>6</v>
      </c>
      <c r="N33" s="70">
        <f>SUMIFS($A$11:$A$401,$B$11:$B$401,"RT",$F$11:$F$401,"31")</f>
        <v>0</v>
      </c>
      <c r="O33" s="70" t="s">
        <v>13</v>
      </c>
    </row>
    <row r="34" spans="1:15" x14ac:dyDescent="0.3">
      <c r="A34" s="135">
        <v>0</v>
      </c>
      <c r="B34" s="57"/>
      <c r="C34" s="57"/>
      <c r="D34" s="57"/>
      <c r="E34" s="57"/>
      <c r="F34" s="57">
        <v>10</v>
      </c>
      <c r="G34" s="57" t="s">
        <v>20</v>
      </c>
      <c r="H34" s="57"/>
      <c r="I34" s="57"/>
      <c r="J34" s="126" t="s">
        <v>76</v>
      </c>
      <c r="K34" s="70" t="s">
        <v>110</v>
      </c>
      <c r="L34" s="70">
        <f>SUMIFS($A$11:$A$401,$B$11:$B$401,"CH",$F$11:$F$401,"32")</f>
        <v>0</v>
      </c>
      <c r="M34" s="70" t="s">
        <v>6</v>
      </c>
      <c r="N34" s="70">
        <f>SUMIFS($A$11:$A$401,$B$11:$B$401,"RT",$F$11:$F$401,"32")</f>
        <v>0</v>
      </c>
      <c r="O34" s="70" t="s">
        <v>13</v>
      </c>
    </row>
    <row r="35" spans="1:15" x14ac:dyDescent="0.3">
      <c r="A35" s="135">
        <v>0</v>
      </c>
      <c r="B35" s="57"/>
      <c r="C35" s="57"/>
      <c r="D35" s="57"/>
      <c r="E35" s="57"/>
      <c r="F35" s="57">
        <v>11</v>
      </c>
      <c r="G35" s="57" t="s">
        <v>35</v>
      </c>
      <c r="H35" s="57"/>
      <c r="I35" s="57"/>
      <c r="J35" s="126" t="s">
        <v>76</v>
      </c>
      <c r="K35" s="70" t="s">
        <v>111</v>
      </c>
      <c r="L35" s="70">
        <f>SUMIFS($A$11:$A$401,$B$11:$B$401,"CH",$F$11:$F$401,"33")</f>
        <v>0</v>
      </c>
      <c r="M35" s="70" t="s">
        <v>6</v>
      </c>
      <c r="N35" s="70">
        <f>SUMIFS($A$11:$A$401,$B$11:$B$401,"RT",$F$11:$F$401,"33")</f>
        <v>0</v>
      </c>
      <c r="O35" s="70" t="s">
        <v>13</v>
      </c>
    </row>
    <row r="36" spans="1:15" x14ac:dyDescent="0.3">
      <c r="A36" s="135">
        <v>5</v>
      </c>
      <c r="B36" s="57" t="s">
        <v>6</v>
      </c>
      <c r="C36" s="57">
        <v>60</v>
      </c>
      <c r="D36" s="57" t="s">
        <v>72</v>
      </c>
      <c r="E36" s="57" t="s">
        <v>190</v>
      </c>
      <c r="F36" s="57">
        <v>12</v>
      </c>
      <c r="G36" s="57" t="s">
        <v>20</v>
      </c>
      <c r="H36" s="57" t="s">
        <v>215</v>
      </c>
      <c r="I36" s="57"/>
      <c r="J36" s="126"/>
      <c r="K36" s="70" t="s">
        <v>112</v>
      </c>
      <c r="L36" s="70">
        <f>SUMIFS($A$11:$A$401,$B$11:$B$401,"CH",$F$11:$F$401,"34")</f>
        <v>0</v>
      </c>
      <c r="M36" s="70" t="s">
        <v>6</v>
      </c>
      <c r="N36" s="70">
        <f>SUMIFS($A$11:$A$401,$B$11:$B$401,"RT",$F$11:$F$401,"34")</f>
        <v>0</v>
      </c>
      <c r="O36" s="70" t="s">
        <v>13</v>
      </c>
    </row>
    <row r="37" spans="1:15" x14ac:dyDescent="0.3">
      <c r="A37" s="135">
        <v>1</v>
      </c>
      <c r="B37" s="57" t="s">
        <v>13</v>
      </c>
      <c r="C37" s="57">
        <v>50</v>
      </c>
      <c r="D37" s="57" t="s">
        <v>72</v>
      </c>
      <c r="E37" s="57" t="s">
        <v>190</v>
      </c>
      <c r="F37" s="57">
        <v>12</v>
      </c>
      <c r="G37" s="57" t="s">
        <v>20</v>
      </c>
      <c r="H37" s="57" t="s">
        <v>215</v>
      </c>
      <c r="I37" s="57"/>
      <c r="J37" s="126"/>
      <c r="K37" s="70" t="s">
        <v>113</v>
      </c>
      <c r="L37" s="70">
        <f>SUMIFS($A$11:$A$401,$B$11:$B$401,"CH",$F$11:$F$401,"35")</f>
        <v>0</v>
      </c>
      <c r="M37" s="70" t="s">
        <v>6</v>
      </c>
      <c r="N37" s="70">
        <f>SUMIFS($A$11:$A$401,$B$11:$B$401,"RT",$F$11:$F$401,"35")</f>
        <v>0</v>
      </c>
      <c r="O37" s="70" t="s">
        <v>13</v>
      </c>
    </row>
    <row r="38" spans="1:15" x14ac:dyDescent="0.3">
      <c r="A38" s="135">
        <v>2</v>
      </c>
      <c r="B38" s="57" t="s">
        <v>6</v>
      </c>
      <c r="C38" s="57">
        <v>50</v>
      </c>
      <c r="D38" s="57" t="s">
        <v>72</v>
      </c>
      <c r="E38" s="57" t="s">
        <v>190</v>
      </c>
      <c r="F38" s="57">
        <v>12</v>
      </c>
      <c r="G38" s="57" t="s">
        <v>20</v>
      </c>
      <c r="H38" s="57" t="s">
        <v>215</v>
      </c>
      <c r="I38" s="122">
        <v>0.64583333333333337</v>
      </c>
      <c r="J38" s="126"/>
      <c r="K38" s="70" t="s">
        <v>114</v>
      </c>
      <c r="L38" s="70">
        <f>SUMIFS($A$11:$A$401,$B$11:$B$401,"CH",$F$11:$F$401,"36")</f>
        <v>0</v>
      </c>
      <c r="M38" s="70" t="s">
        <v>6</v>
      </c>
      <c r="N38" s="70">
        <f>SUMIFS($A$11:$A$401,$B$11:$B$401,"RT",$F$11:$F$401,"36")</f>
        <v>0</v>
      </c>
      <c r="O38" s="70" t="s">
        <v>13</v>
      </c>
    </row>
    <row r="39" spans="1:15" x14ac:dyDescent="0.3">
      <c r="A39" s="135">
        <v>1</v>
      </c>
      <c r="B39" s="57" t="s">
        <v>65</v>
      </c>
      <c r="C39" s="57">
        <v>60</v>
      </c>
      <c r="D39" s="57" t="s">
        <v>73</v>
      </c>
      <c r="E39" s="57" t="s">
        <v>191</v>
      </c>
      <c r="F39" s="57">
        <v>13</v>
      </c>
      <c r="G39" s="57" t="s">
        <v>20</v>
      </c>
      <c r="H39" s="57" t="s">
        <v>184</v>
      </c>
      <c r="I39" s="57"/>
      <c r="J39" s="126"/>
      <c r="K39" s="70" t="s">
        <v>115</v>
      </c>
      <c r="L39" s="70">
        <f>SUMIFS($A$11:$A$401,$B$11:$B$401,"CH",$F$11:$F$401,"37")</f>
        <v>0</v>
      </c>
      <c r="M39" s="70" t="s">
        <v>6</v>
      </c>
      <c r="N39" s="70">
        <f>SUMIFS($A$11:$A$401,$B$11:$B$401,"RT",$F$11:$F$401,"37")</f>
        <v>0</v>
      </c>
      <c r="O39" s="70" t="s">
        <v>13</v>
      </c>
    </row>
    <row r="40" spans="1:15" x14ac:dyDescent="0.3">
      <c r="A40" s="135">
        <v>0</v>
      </c>
      <c r="B40" s="57"/>
      <c r="C40" s="57"/>
      <c r="D40" s="57"/>
      <c r="E40" s="57"/>
      <c r="F40" s="57">
        <v>14</v>
      </c>
      <c r="G40" s="57" t="s">
        <v>35</v>
      </c>
      <c r="H40" s="57"/>
      <c r="I40" s="57"/>
      <c r="J40" s="126" t="s">
        <v>76</v>
      </c>
      <c r="K40" s="70" t="s">
        <v>116</v>
      </c>
      <c r="L40" s="70">
        <f>SUMIFS($A$11:$A$401,$B$11:$B$401,"CH",$F$11:$F$401,"38")</f>
        <v>0</v>
      </c>
      <c r="M40" s="70" t="s">
        <v>6</v>
      </c>
      <c r="N40" s="70">
        <f>SUMIFS($A$11:$A$401,$B$11:$B$401,"RT",$F$11:$F$401,"38")</f>
        <v>0</v>
      </c>
      <c r="O40" s="70" t="s">
        <v>13</v>
      </c>
    </row>
    <row r="41" spans="1:15" x14ac:dyDescent="0.3">
      <c r="A41" s="135">
        <v>0</v>
      </c>
      <c r="B41" s="57"/>
      <c r="C41" s="57"/>
      <c r="D41" s="57"/>
      <c r="E41" s="57"/>
      <c r="F41" s="57">
        <v>15</v>
      </c>
      <c r="G41" s="57" t="s">
        <v>58</v>
      </c>
      <c r="H41" s="57"/>
      <c r="I41" s="57"/>
      <c r="J41" s="126" t="s">
        <v>76</v>
      </c>
      <c r="K41" s="70" t="s">
        <v>117</v>
      </c>
      <c r="L41" s="70">
        <f>SUMIFS($A$11:$A$401,$B$11:$B$401,"CH",$F$11:$F$401,"39")</f>
        <v>0</v>
      </c>
      <c r="M41" s="70" t="s">
        <v>6</v>
      </c>
      <c r="N41" s="70">
        <f>SUMIFS($A$11:$A$401,$B$11:$B$401,"RT",$F$11:$F$401,"39")</f>
        <v>0</v>
      </c>
      <c r="O41" s="70" t="s">
        <v>13</v>
      </c>
    </row>
    <row r="42" spans="1:15" x14ac:dyDescent="0.3">
      <c r="A42" s="135">
        <v>40</v>
      </c>
      <c r="B42" s="57" t="s">
        <v>65</v>
      </c>
      <c r="C42" s="57">
        <v>120</v>
      </c>
      <c r="D42" s="57" t="s">
        <v>75</v>
      </c>
      <c r="E42" s="57" t="s">
        <v>191</v>
      </c>
      <c r="F42" s="57">
        <v>16</v>
      </c>
      <c r="G42" s="57" t="s">
        <v>35</v>
      </c>
      <c r="H42" s="57"/>
      <c r="I42" s="57"/>
      <c r="J42" s="126"/>
      <c r="K42" s="70" t="s">
        <v>118</v>
      </c>
      <c r="L42" s="70">
        <f>SUMIFS($A$11:$A$401,$B$11:$B$401,"CH",$F$11:$F$401,"40")</f>
        <v>0</v>
      </c>
      <c r="M42" s="70" t="s">
        <v>6</v>
      </c>
      <c r="N42" s="70">
        <f>SUMIFS($A$11:$A$401,$B$11:$B$401,"RT",$F$11:$F$401,"40")</f>
        <v>0</v>
      </c>
      <c r="O42" s="70" t="s">
        <v>13</v>
      </c>
    </row>
    <row r="43" spans="1:15" x14ac:dyDescent="0.3">
      <c r="A43" s="135">
        <v>1</v>
      </c>
      <c r="B43" s="57" t="s">
        <v>18</v>
      </c>
      <c r="C43" s="57">
        <v>450</v>
      </c>
      <c r="D43" s="57" t="s">
        <v>72</v>
      </c>
      <c r="E43" s="57" t="s">
        <v>191</v>
      </c>
      <c r="F43" s="57">
        <v>16</v>
      </c>
      <c r="G43" s="57" t="s">
        <v>35</v>
      </c>
      <c r="H43" s="57"/>
      <c r="I43" s="122">
        <v>0.65625</v>
      </c>
      <c r="J43" s="126"/>
      <c r="K43" s="70" t="s">
        <v>119</v>
      </c>
      <c r="L43" s="70">
        <f>SUMIFS($A$11:$A$401,$B$11:$B$401,"CH",$F$11:$F$401,"41")</f>
        <v>0</v>
      </c>
      <c r="M43" s="70" t="s">
        <v>6</v>
      </c>
      <c r="N43" s="70">
        <f>SUMIFS($A$11:$A$401,$B$11:$B$401,"RT",$F$11:$F$401,"41")</f>
        <v>0</v>
      </c>
      <c r="O43" s="70" t="s">
        <v>13</v>
      </c>
    </row>
    <row r="44" spans="1:15" ht="15" thickBot="1" x14ac:dyDescent="0.35">
      <c r="A44" s="136">
        <v>1</v>
      </c>
      <c r="B44" s="114" t="s">
        <v>13</v>
      </c>
      <c r="C44" s="114">
        <v>250</v>
      </c>
      <c r="D44" s="114" t="s">
        <v>75</v>
      </c>
      <c r="E44" s="114" t="s">
        <v>191</v>
      </c>
      <c r="F44" s="114">
        <v>16</v>
      </c>
      <c r="G44" s="114" t="s">
        <v>35</v>
      </c>
      <c r="H44" s="114"/>
      <c r="I44" s="114"/>
      <c r="J44" s="130"/>
      <c r="K44" s="70"/>
      <c r="L44" s="70">
        <f>SUMIFS($A$11:$A$401,$B$11:$B$401,"CH",$F$11:$F$401,"")</f>
        <v>0</v>
      </c>
      <c r="M44" s="70" t="s">
        <v>6</v>
      </c>
      <c r="N44" s="70">
        <f>SUMIFS($A$11:$A$401,$B$11:$B$401,"RT",$F$11:$F$401,"")</f>
        <v>0</v>
      </c>
      <c r="O44" s="70" t="s">
        <v>13</v>
      </c>
    </row>
    <row r="45" spans="1:15" ht="15" thickTop="1" x14ac:dyDescent="0.3">
      <c r="K45" s="70" t="s">
        <v>120</v>
      </c>
      <c r="L45" s="70">
        <f>SUM(L3:L44)</f>
        <v>23</v>
      </c>
      <c r="M45" s="70" t="s">
        <v>6</v>
      </c>
      <c r="N45" s="70">
        <f>SUM(N3:N44)</f>
        <v>101</v>
      </c>
      <c r="O45" s="70" t="s">
        <v>13</v>
      </c>
    </row>
    <row r="46" spans="1:15" x14ac:dyDescent="0.3">
      <c r="K46" s="70"/>
      <c r="L46" s="70"/>
      <c r="M46" s="70"/>
      <c r="N46" s="70"/>
    </row>
    <row r="47" spans="1:15" x14ac:dyDescent="0.3">
      <c r="K47" s="70"/>
      <c r="N47" s="70"/>
    </row>
    <row r="48" spans="1:15" x14ac:dyDescent="0.3">
      <c r="K48" s="70"/>
      <c r="N48" s="70"/>
    </row>
    <row r="49" spans="11:14" x14ac:dyDescent="0.3">
      <c r="K49" s="70"/>
      <c r="N49" s="70"/>
    </row>
    <row r="50" spans="11:14" x14ac:dyDescent="0.3">
      <c r="K50" s="70"/>
      <c r="N50" s="70"/>
    </row>
    <row r="51" spans="11:14" x14ac:dyDescent="0.3">
      <c r="K51" s="70"/>
      <c r="N51" s="70"/>
    </row>
    <row r="52" spans="11:14" x14ac:dyDescent="0.3">
      <c r="K52" s="70"/>
      <c r="N52" s="70"/>
    </row>
    <row r="53" spans="11:14" x14ac:dyDescent="0.3">
      <c r="K53" s="70"/>
      <c r="N53" s="70"/>
    </row>
    <row r="54" spans="11:14" x14ac:dyDescent="0.3">
      <c r="K54" s="70"/>
      <c r="N54" s="70"/>
    </row>
    <row r="55" spans="11:14" x14ac:dyDescent="0.3">
      <c r="K55" s="70"/>
      <c r="N55" s="70"/>
    </row>
    <row r="56" spans="11:14" x14ac:dyDescent="0.3">
      <c r="K56" s="70"/>
      <c r="N56" s="70"/>
    </row>
    <row r="57" spans="11:14" x14ac:dyDescent="0.3">
      <c r="K57" s="70"/>
      <c r="N57" s="70"/>
    </row>
    <row r="58" spans="11:14" x14ac:dyDescent="0.3">
      <c r="K58" s="70"/>
      <c r="N58" s="70"/>
    </row>
    <row r="59" spans="11:14" x14ac:dyDescent="0.3">
      <c r="K59" s="70"/>
      <c r="N59" s="70"/>
    </row>
    <row r="60" spans="11:14" x14ac:dyDescent="0.3">
      <c r="K60" s="70"/>
      <c r="N60" s="70"/>
    </row>
    <row r="61" spans="11:14" x14ac:dyDescent="0.3">
      <c r="K61" s="70"/>
      <c r="N61" s="70"/>
    </row>
    <row r="62" spans="11:14" x14ac:dyDescent="0.3">
      <c r="K62" s="70"/>
      <c r="N62" s="70"/>
    </row>
    <row r="63" spans="11:14" x14ac:dyDescent="0.3">
      <c r="K63" s="70"/>
      <c r="N63" s="70"/>
    </row>
    <row r="64" spans="11:14" x14ac:dyDescent="0.3">
      <c r="K64" s="70"/>
      <c r="N64" s="70"/>
    </row>
    <row r="65" spans="11:14" x14ac:dyDescent="0.3">
      <c r="K65" s="70"/>
      <c r="N65" s="70"/>
    </row>
    <row r="66" spans="11:14" x14ac:dyDescent="0.3">
      <c r="K66" s="70"/>
      <c r="N66" s="70"/>
    </row>
    <row r="67" spans="11:14" x14ac:dyDescent="0.3">
      <c r="K67" s="70"/>
      <c r="N67" s="70"/>
    </row>
    <row r="68" spans="11:14" x14ac:dyDescent="0.3">
      <c r="K68" s="70"/>
      <c r="N68" s="70"/>
    </row>
    <row r="69" spans="11:14" x14ac:dyDescent="0.3">
      <c r="K69" s="70"/>
      <c r="N69" s="70"/>
    </row>
    <row r="70" spans="11:14" x14ac:dyDescent="0.3">
      <c r="K70" s="70"/>
      <c r="N70" s="70"/>
    </row>
    <row r="71" spans="11:14" x14ac:dyDescent="0.3">
      <c r="K71" s="70"/>
      <c r="N71" s="70"/>
    </row>
    <row r="72" spans="11:14" x14ac:dyDescent="0.3">
      <c r="K72" s="70"/>
      <c r="N72" s="70"/>
    </row>
    <row r="73" spans="11:14" x14ac:dyDescent="0.3">
      <c r="K73" s="70"/>
      <c r="N73" s="70"/>
    </row>
    <row r="74" spans="11:14" x14ac:dyDescent="0.3">
      <c r="K74" s="70"/>
      <c r="N74" s="70"/>
    </row>
    <row r="75" spans="11:14" x14ac:dyDescent="0.3">
      <c r="K75" s="70"/>
      <c r="N75" s="70"/>
    </row>
    <row r="76" spans="11:14" x14ac:dyDescent="0.3">
      <c r="K76" s="70"/>
      <c r="N76" s="70"/>
    </row>
    <row r="77" spans="11:14" x14ac:dyDescent="0.3">
      <c r="K77" s="70"/>
      <c r="N77" s="70"/>
    </row>
    <row r="78" spans="11:14" x14ac:dyDescent="0.3">
      <c r="K78" s="70"/>
      <c r="N78" s="70"/>
    </row>
    <row r="79" spans="11:14" x14ac:dyDescent="0.3">
      <c r="K79" s="70"/>
      <c r="N79" s="70"/>
    </row>
    <row r="80" spans="11:14" x14ac:dyDescent="0.3">
      <c r="K80" s="70"/>
      <c r="N80" s="70"/>
    </row>
    <row r="81" spans="11:14" x14ac:dyDescent="0.3">
      <c r="K81" s="70"/>
      <c r="N81" s="70"/>
    </row>
    <row r="82" spans="11:14" x14ac:dyDescent="0.3">
      <c r="K82" s="70"/>
      <c r="N82" s="70"/>
    </row>
    <row r="83" spans="11:14" x14ac:dyDescent="0.3">
      <c r="K83" s="70"/>
      <c r="N83" s="70"/>
    </row>
    <row r="84" spans="11:14" x14ac:dyDescent="0.3">
      <c r="K84" s="70"/>
      <c r="N84" s="70"/>
    </row>
    <row r="85" spans="11:14" x14ac:dyDescent="0.3">
      <c r="K85" s="70"/>
      <c r="N85" s="70"/>
    </row>
    <row r="86" spans="11:14" x14ac:dyDescent="0.3">
      <c r="K86" s="70"/>
      <c r="N86" s="70"/>
    </row>
    <row r="87" spans="11:14" x14ac:dyDescent="0.3">
      <c r="K87" s="70"/>
      <c r="N87" s="70"/>
    </row>
    <row r="88" spans="11:14" x14ac:dyDescent="0.3">
      <c r="K88" s="70"/>
      <c r="N88" s="70"/>
    </row>
    <row r="89" spans="11:14" x14ac:dyDescent="0.3">
      <c r="K89" s="71"/>
      <c r="N89" s="7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89"/>
  <sheetViews>
    <sheetView zoomScaleNormal="100" workbookViewId="0">
      <selection activeCell="G3" sqref="G3:H11"/>
    </sheetView>
  </sheetViews>
  <sheetFormatPr defaultRowHeight="14.4" x14ac:dyDescent="0.3"/>
  <cols>
    <col min="3" max="3" width="11.6640625" customWidth="1"/>
    <col min="7" max="7" width="16" customWidth="1"/>
    <col min="9" max="9" width="10.6640625" customWidth="1"/>
    <col min="10" max="10" width="10.88671875" customWidth="1"/>
    <col min="11" max="11" width="8.109375" customWidth="1"/>
    <col min="12" max="12" width="8.6640625" customWidth="1"/>
    <col min="13" max="15" width="8.44140625" customWidth="1"/>
  </cols>
  <sheetData>
    <row r="1" spans="1:20" ht="15.6" thickTop="1" thickBot="1" x14ac:dyDescent="0.35">
      <c r="A1" s="1"/>
      <c r="B1" s="2"/>
      <c r="C1" s="2"/>
      <c r="D1" s="3" t="s">
        <v>157</v>
      </c>
      <c r="E1" s="2"/>
      <c r="F1" s="2"/>
      <c r="G1" s="2"/>
      <c r="H1" s="4"/>
      <c r="I1" s="50" t="s">
        <v>71</v>
      </c>
      <c r="J1" s="68" t="s">
        <v>66</v>
      </c>
      <c r="K1" s="72" t="s">
        <v>121</v>
      </c>
      <c r="L1" s="45"/>
      <c r="M1" s="46"/>
      <c r="N1" s="46"/>
    </row>
    <row r="2" spans="1:20" ht="15.6" thickTop="1" thickBot="1" x14ac:dyDescent="0.35">
      <c r="A2" s="50" t="s">
        <v>52</v>
      </c>
      <c r="B2" s="2"/>
      <c r="C2" s="2"/>
      <c r="D2" s="3"/>
      <c r="E2" s="2"/>
      <c r="F2" s="2"/>
      <c r="G2" s="6"/>
      <c r="H2" s="43"/>
      <c r="I2" s="50" t="s">
        <v>61</v>
      </c>
      <c r="J2" s="5" t="s">
        <v>62</v>
      </c>
      <c r="K2" s="45" t="s">
        <v>46</v>
      </c>
      <c r="L2" s="45" t="s">
        <v>41</v>
      </c>
      <c r="M2" s="45" t="s">
        <v>42</v>
      </c>
      <c r="N2" s="45" t="s">
        <v>46</v>
      </c>
      <c r="O2" s="45" t="s">
        <v>42</v>
      </c>
    </row>
    <row r="3" spans="1:20" ht="15.6" thickTop="1" thickBot="1" x14ac:dyDescent="0.35">
      <c r="A3" s="51" t="s">
        <v>4</v>
      </c>
      <c r="B3" s="45"/>
      <c r="C3" s="7" t="s">
        <v>1</v>
      </c>
      <c r="D3" s="8"/>
      <c r="E3" s="7" t="s">
        <v>2</v>
      </c>
      <c r="F3" s="9"/>
      <c r="G3" s="10" t="s">
        <v>3</v>
      </c>
      <c r="H3" s="8"/>
      <c r="I3" s="46"/>
      <c r="J3" s="9"/>
      <c r="K3" s="70" t="s">
        <v>79</v>
      </c>
      <c r="L3" s="70">
        <f>SUMIFS($A$11:$A$401,$B$11:$B$401,"CH",$F$11:$F$401,"1")</f>
        <v>0</v>
      </c>
      <c r="M3" s="70" t="s">
        <v>6</v>
      </c>
      <c r="N3" s="70">
        <f>SUMIFS($A$11:$A$401,$B$11:$B$401,"RT",$F$11:$F$401,"1")</f>
        <v>0</v>
      </c>
      <c r="O3" s="70" t="s">
        <v>13</v>
      </c>
    </row>
    <row r="4" spans="1:20" ht="15.6" thickTop="1" thickBot="1" x14ac:dyDescent="0.35">
      <c r="A4" s="50" t="s">
        <v>0</v>
      </c>
      <c r="B4" s="4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46"/>
      <c r="J4" s="9"/>
      <c r="K4" s="70" t="s">
        <v>80</v>
      </c>
      <c r="L4" s="70">
        <f>SUMIFS($A$11:$A$401,$B$11:$B$401,"CH",$F$11:$F$401,"2")</f>
        <v>0</v>
      </c>
      <c r="M4" s="70" t="s">
        <v>6</v>
      </c>
      <c r="N4" s="70">
        <f>SUMIFS($A$11:$A$401,$B$11:$B$401,"RT",$F$11:$F$401,"2")</f>
        <v>0</v>
      </c>
      <c r="O4" s="70" t="s">
        <v>13</v>
      </c>
    </row>
    <row r="5" spans="1:20" ht="15" thickTop="1" x14ac:dyDescent="0.3">
      <c r="A5" s="49" t="s">
        <v>11</v>
      </c>
      <c r="B5" s="94"/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68</v>
      </c>
      <c r="H5" s="15" t="s">
        <v>16</v>
      </c>
      <c r="I5" s="46"/>
      <c r="J5" s="9"/>
      <c r="K5" s="70" t="s">
        <v>81</v>
      </c>
      <c r="L5" s="70">
        <f>SUMIFS($A$11:$A$401,$B$11:$B$401,"CH",$F$11:$F$401,"3")</f>
        <v>0</v>
      </c>
      <c r="M5" s="70" t="s">
        <v>6</v>
      </c>
      <c r="N5" s="70">
        <f>SUMIFS($A$11:$A$401,$B$11:$B$401,"RT",$F$11:$F$401,"3")</f>
        <v>0</v>
      </c>
      <c r="O5" s="70" t="s">
        <v>13</v>
      </c>
    </row>
    <row r="6" spans="1:20" x14ac:dyDescent="0.3">
      <c r="A6" s="48" t="s">
        <v>57</v>
      </c>
      <c r="B6" s="95"/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46"/>
      <c r="J6" s="9"/>
      <c r="K6" s="70" t="s">
        <v>82</v>
      </c>
      <c r="L6" s="70">
        <f>SUMIFS($A$11:$A$401,$B$11:$B$401,"CH",$F$11:$F$401,"4")</f>
        <v>0</v>
      </c>
      <c r="M6" s="70" t="s">
        <v>6</v>
      </c>
      <c r="N6" s="70">
        <f>SUMIFS($A$11:$A$401,$B$11:$B$401,"RT",$F$11:$F$401,"4")</f>
        <v>0</v>
      </c>
      <c r="O6" s="70" t="s">
        <v>13</v>
      </c>
    </row>
    <row r="7" spans="1:20" x14ac:dyDescent="0.3">
      <c r="A7" s="69" t="s">
        <v>69</v>
      </c>
      <c r="B7" s="96"/>
      <c r="C7" s="11" t="s">
        <v>24</v>
      </c>
      <c r="D7" s="12" t="s">
        <v>25</v>
      </c>
      <c r="E7" s="11" t="s">
        <v>70</v>
      </c>
      <c r="F7" s="12" t="s">
        <v>63</v>
      </c>
      <c r="G7" s="18" t="s">
        <v>197</v>
      </c>
      <c r="H7" s="118" t="s">
        <v>198</v>
      </c>
      <c r="I7" s="46"/>
      <c r="J7" s="9"/>
      <c r="K7" s="70" t="s">
        <v>83</v>
      </c>
      <c r="L7" s="70">
        <f>SUMIFS($A$11:$A$401,$B$11:$B$401,"CH",$F$11:$F$401,"5")</f>
        <v>0</v>
      </c>
      <c r="M7" s="70" t="s">
        <v>6</v>
      </c>
      <c r="N7" s="70">
        <f>SUMIFS($A$11:$A$401,$B$11:$B$401,"RT",$F$11:$F$401,"5")</f>
        <v>0</v>
      </c>
      <c r="O7" s="70" t="s">
        <v>13</v>
      </c>
    </row>
    <row r="8" spans="1:20" x14ac:dyDescent="0.3">
      <c r="A8" s="16" t="s">
        <v>23</v>
      </c>
      <c r="B8" s="97"/>
      <c r="C8" s="13" t="s">
        <v>64</v>
      </c>
      <c r="D8" s="12" t="s">
        <v>65</v>
      </c>
      <c r="E8" s="13" t="s">
        <v>67</v>
      </c>
      <c r="F8" s="12" t="s">
        <v>59</v>
      </c>
      <c r="G8" s="18" t="s">
        <v>55</v>
      </c>
      <c r="H8" s="15" t="s">
        <v>53</v>
      </c>
      <c r="I8" s="46"/>
      <c r="J8" s="9"/>
      <c r="K8" s="70" t="s">
        <v>84</v>
      </c>
      <c r="L8" s="70">
        <f>SUMIFS($A$11:$A$401,$B$11:$B$401,"CH",$F$11:$F$401,"6")</f>
        <v>0</v>
      </c>
      <c r="M8" s="70" t="s">
        <v>6</v>
      </c>
      <c r="N8" s="70">
        <f>SUMIFS($A$11:$A$401,$B$11:$B$401,"RT",$F$11:$F$401,"6")</f>
        <v>0</v>
      </c>
      <c r="O8" s="70" t="s">
        <v>13</v>
      </c>
    </row>
    <row r="9" spans="1:20" ht="15" thickBot="1" x14ac:dyDescent="0.35">
      <c r="A9" s="16" t="s">
        <v>26</v>
      </c>
      <c r="B9" s="98"/>
      <c r="C9" s="11" t="s">
        <v>29</v>
      </c>
      <c r="D9" s="12" t="s">
        <v>27</v>
      </c>
      <c r="E9" s="22" t="s">
        <v>30</v>
      </c>
      <c r="F9" s="12" t="s">
        <v>31</v>
      </c>
      <c r="G9" s="20" t="s">
        <v>56</v>
      </c>
      <c r="H9" s="119" t="s">
        <v>54</v>
      </c>
      <c r="I9" s="99"/>
      <c r="J9" s="29"/>
      <c r="K9" s="70" t="s">
        <v>85</v>
      </c>
      <c r="L9" s="70">
        <f>SUMIFS($A$11:$A$401,$B$11:$B$401,"CH",$F$11:$F$401,"7")</f>
        <v>0</v>
      </c>
      <c r="M9" s="70" t="s">
        <v>6</v>
      </c>
      <c r="N9" s="70">
        <f>SUMIFS($A$11:$A$401,$B$11:$B$401,"RT",$F$11:$F$401,"7")</f>
        <v>0</v>
      </c>
      <c r="O9" s="70" t="s">
        <v>13</v>
      </c>
    </row>
    <row r="10" spans="1:20" ht="15" thickTop="1" x14ac:dyDescent="0.3">
      <c r="A10" s="53" t="s">
        <v>28</v>
      </c>
      <c r="B10" s="21"/>
      <c r="C10" s="11" t="s">
        <v>32</v>
      </c>
      <c r="D10" s="12" t="s">
        <v>33</v>
      </c>
      <c r="E10" s="24" t="s">
        <v>34</v>
      </c>
      <c r="F10" s="25" t="s">
        <v>35</v>
      </c>
      <c r="G10" s="23" t="s">
        <v>199</v>
      </c>
      <c r="H10" s="9"/>
      <c r="I10" s="47" t="s">
        <v>36</v>
      </c>
      <c r="J10" s="8"/>
      <c r="K10" s="70" t="s">
        <v>86</v>
      </c>
      <c r="L10" s="70">
        <f>SUMIFS($A$11:$A$401,$B$11:$B$401,"CH",$F$11:$F$401,"8")</f>
        <v>0</v>
      </c>
      <c r="M10" s="70" t="s">
        <v>6</v>
      </c>
      <c r="N10" s="70">
        <f>SUMIFS($A$11:$A$401,$B$11:$B$401,"RT",$F$11:$F$401,"8")</f>
        <v>0</v>
      </c>
      <c r="O10" s="70" t="s">
        <v>13</v>
      </c>
    </row>
    <row r="11" spans="1:20" ht="15" thickBot="1" x14ac:dyDescent="0.35">
      <c r="A11" s="26"/>
      <c r="B11" s="27"/>
      <c r="C11" s="26" t="s">
        <v>37</v>
      </c>
      <c r="D11" s="28" t="s">
        <v>38</v>
      </c>
      <c r="E11" s="24" t="s">
        <v>39</v>
      </c>
      <c r="F11" s="28" t="s">
        <v>58</v>
      </c>
      <c r="G11" t="s">
        <v>51</v>
      </c>
      <c r="H11" s="28" t="s">
        <v>40</v>
      </c>
      <c r="I11" s="67"/>
      <c r="J11" s="29"/>
      <c r="K11" s="70" t="s">
        <v>87</v>
      </c>
      <c r="L11" s="70">
        <f>SUMIFS($A$11:$A$401,$B$11:$B$401,"CH",$F$11:$F$401,"9")</f>
        <v>0</v>
      </c>
      <c r="M11" s="70" t="s">
        <v>6</v>
      </c>
      <c r="N11" s="70">
        <f>SUMIFS($A$11:$A$401,$B$11:$B$401,"RT",$F$11:$F$401,"9")</f>
        <v>0</v>
      </c>
      <c r="O11" s="70" t="s">
        <v>13</v>
      </c>
    </row>
    <row r="12" spans="1:20" ht="15.6" thickTop="1" thickBot="1" x14ac:dyDescent="0.35">
      <c r="A12" s="30" t="s">
        <v>41</v>
      </c>
      <c r="B12" s="31" t="s">
        <v>42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50</v>
      </c>
      <c r="K12" s="70" t="s">
        <v>88</v>
      </c>
      <c r="L12" s="70">
        <f>SUMIFS($A$11:$A$401,$B$11:$B$401,"CH",$F$11:$F$401,"10")</f>
        <v>0</v>
      </c>
      <c r="M12" s="70" t="s">
        <v>6</v>
      </c>
      <c r="N12" s="70">
        <f>SUMIFS($A$11:$A$401,$B$11:$B$401,"RT",$F$11:$F$401,"10")</f>
        <v>0</v>
      </c>
      <c r="O12" s="70" t="s">
        <v>13</v>
      </c>
      <c r="P12" s="65"/>
      <c r="Q12" s="65"/>
      <c r="R12" s="65"/>
      <c r="S12" s="65"/>
      <c r="T12" s="65"/>
    </row>
    <row r="13" spans="1:20" ht="15" thickTop="1" x14ac:dyDescent="0.3">
      <c r="A13" s="32"/>
      <c r="B13" s="54"/>
      <c r="C13" s="33"/>
      <c r="D13" s="34"/>
      <c r="E13" s="33"/>
      <c r="F13" s="33"/>
      <c r="G13" s="33"/>
      <c r="H13" s="33"/>
      <c r="I13" s="33"/>
      <c r="J13" s="35"/>
      <c r="K13" s="70" t="s">
        <v>89</v>
      </c>
      <c r="L13" s="70">
        <f>SUMIFS($A$11:$A$401,$B$11:$B$401,"CH",$F$11:$F$401,"11")</f>
        <v>0</v>
      </c>
      <c r="M13" s="70" t="s">
        <v>6</v>
      </c>
      <c r="N13" s="70">
        <f>SUMIFS($A$11:$A$401,$B$11:$B$401,"RT",$F$11:$F$401,"11")</f>
        <v>0</v>
      </c>
      <c r="O13" s="70" t="s">
        <v>13</v>
      </c>
      <c r="P13" s="65"/>
      <c r="Q13" s="65"/>
      <c r="R13" s="65"/>
      <c r="S13" s="65"/>
      <c r="T13" s="65"/>
    </row>
    <row r="14" spans="1:20" x14ac:dyDescent="0.3">
      <c r="A14" s="36"/>
      <c r="B14" s="55"/>
      <c r="C14" s="37"/>
      <c r="D14" s="38"/>
      <c r="E14" s="37"/>
      <c r="F14" s="37"/>
      <c r="G14" s="37"/>
      <c r="H14" s="37"/>
      <c r="I14" s="37"/>
      <c r="J14" s="39"/>
      <c r="K14" s="70" t="s">
        <v>90</v>
      </c>
      <c r="L14" s="70">
        <f>SUMIFS($A$11:$A$401,$B$11:$B$401,"CH",$F$11:$F$401,"12")</f>
        <v>0</v>
      </c>
      <c r="M14" s="70" t="s">
        <v>6</v>
      </c>
      <c r="N14" s="70">
        <f>SUMIFS($A$11:$A$401,$B$11:$B$401,"RT",$F$11:$F$401,"12")</f>
        <v>0</v>
      </c>
      <c r="O14" s="70" t="s">
        <v>13</v>
      </c>
      <c r="P14" s="65"/>
      <c r="Q14" s="65"/>
      <c r="R14" s="65"/>
      <c r="S14" s="65"/>
      <c r="T14" s="65"/>
    </row>
    <row r="15" spans="1:20" x14ac:dyDescent="0.3">
      <c r="A15" s="36"/>
      <c r="B15" s="55"/>
      <c r="C15" s="37"/>
      <c r="D15" s="37"/>
      <c r="E15" s="37"/>
      <c r="F15" s="37"/>
      <c r="G15" s="37"/>
      <c r="H15" s="37"/>
      <c r="I15" s="37"/>
      <c r="J15" s="39"/>
      <c r="K15" s="70" t="s">
        <v>91</v>
      </c>
      <c r="L15" s="70">
        <f>SUMIFS($A$11:$A$401,$B$11:$B$401,"CH",$F$11:$F$401,"13")</f>
        <v>0</v>
      </c>
      <c r="M15" s="70" t="s">
        <v>6</v>
      </c>
      <c r="N15" s="70">
        <f>SUMIFS($A$11:$A$401,$B$11:$B$401,"RT",$F$11:$F$401,"13")</f>
        <v>0</v>
      </c>
      <c r="O15" s="70" t="s">
        <v>13</v>
      </c>
      <c r="P15" s="65"/>
      <c r="Q15" s="65"/>
      <c r="R15" s="65"/>
      <c r="S15" s="65"/>
      <c r="T15" s="65"/>
    </row>
    <row r="16" spans="1:20" x14ac:dyDescent="0.3">
      <c r="A16" s="36"/>
      <c r="B16" s="55"/>
      <c r="C16" s="37"/>
      <c r="D16" s="37"/>
      <c r="E16" s="37"/>
      <c r="F16" s="37"/>
      <c r="G16" s="37"/>
      <c r="H16" s="37"/>
      <c r="I16" s="37"/>
      <c r="J16" s="39"/>
      <c r="K16" s="70" t="s">
        <v>92</v>
      </c>
      <c r="L16" s="70">
        <f>SUMIFS($A$11:$A$401,$B$11:$B$401,"CH",$F$11:$F$401,"14")</f>
        <v>0</v>
      </c>
      <c r="M16" s="70" t="s">
        <v>6</v>
      </c>
      <c r="N16" s="70">
        <f>SUMIFS($A$11:$A$401,$B$11:$B$401,"RT",$F$11:$F$401,"14")</f>
        <v>0</v>
      </c>
      <c r="O16" s="70" t="s">
        <v>13</v>
      </c>
      <c r="P16" s="65"/>
      <c r="Q16" s="65"/>
      <c r="R16" s="65"/>
      <c r="S16" s="65"/>
      <c r="T16" s="65"/>
    </row>
    <row r="17" spans="1:20" x14ac:dyDescent="0.3">
      <c r="A17" s="36"/>
      <c r="B17" s="55"/>
      <c r="C17" s="37"/>
      <c r="D17" s="37"/>
      <c r="E17" s="37"/>
      <c r="F17" s="37"/>
      <c r="G17" s="37"/>
      <c r="H17" s="37"/>
      <c r="I17" s="37"/>
      <c r="J17" s="39"/>
      <c r="K17" s="70" t="s">
        <v>93</v>
      </c>
      <c r="L17" s="70">
        <f>SUMIFS($A$11:$A$401,$B$11:$B$401,"CH",$F$11:$F$401,"15")</f>
        <v>0</v>
      </c>
      <c r="M17" s="70" t="s">
        <v>6</v>
      </c>
      <c r="N17" s="70">
        <f>SUMIFS($A$11:$A$401,$B$11:$B$401,"RT",$F$11:$F$401,"15")</f>
        <v>0</v>
      </c>
      <c r="O17" s="70" t="s">
        <v>13</v>
      </c>
      <c r="P17" s="65"/>
      <c r="Q17" s="65"/>
      <c r="R17" s="65"/>
      <c r="S17" s="65"/>
      <c r="T17" s="65"/>
    </row>
    <row r="18" spans="1:20" x14ac:dyDescent="0.3">
      <c r="A18" s="36"/>
      <c r="B18" s="55"/>
      <c r="C18" s="37"/>
      <c r="D18" s="37"/>
      <c r="E18" s="37"/>
      <c r="F18" s="37"/>
      <c r="G18" s="37"/>
      <c r="H18" s="37"/>
      <c r="I18" s="37"/>
      <c r="J18" s="39"/>
      <c r="K18" s="70" t="s">
        <v>94</v>
      </c>
      <c r="L18" s="70">
        <f>SUMIFS($A$11:$A$401,$B$11:$B$401,"CH",$F$11:$F$401,"16")</f>
        <v>0</v>
      </c>
      <c r="M18" s="70" t="s">
        <v>6</v>
      </c>
      <c r="N18" s="70">
        <f>SUMIFS($A$11:$A$401,$B$11:$B$401,"RT",$F$11:$F$401,"16")</f>
        <v>0</v>
      </c>
      <c r="O18" s="70" t="s">
        <v>13</v>
      </c>
      <c r="P18" s="65"/>
      <c r="Q18" s="65"/>
      <c r="R18" s="65"/>
      <c r="S18" s="65"/>
      <c r="T18" s="65"/>
    </row>
    <row r="19" spans="1:20" x14ac:dyDescent="0.3">
      <c r="A19" s="36"/>
      <c r="B19" s="55"/>
      <c r="C19" s="37"/>
      <c r="D19" s="37"/>
      <c r="E19" s="37"/>
      <c r="F19" s="37"/>
      <c r="G19" s="37"/>
      <c r="H19" s="37"/>
      <c r="I19" s="37"/>
      <c r="J19" s="39"/>
      <c r="K19" s="70" t="s">
        <v>95</v>
      </c>
      <c r="L19" s="70">
        <f>SUMIFS($A$11:$A$401,$B$11:$B$401,"CH",$F$11:$F$401,"17")</f>
        <v>0</v>
      </c>
      <c r="M19" s="70" t="s">
        <v>6</v>
      </c>
      <c r="N19" s="70">
        <f>SUMIFS($A$11:$A$401,$B$11:$B$401,"RT",$F$11:$F$401,"17")</f>
        <v>0</v>
      </c>
      <c r="O19" s="70" t="s">
        <v>13</v>
      </c>
      <c r="P19" s="65"/>
      <c r="Q19" s="65"/>
      <c r="R19" s="66"/>
      <c r="S19" s="65"/>
      <c r="T19" s="65"/>
    </row>
    <row r="20" spans="1:20" x14ac:dyDescent="0.3">
      <c r="A20" s="36"/>
      <c r="B20" s="55"/>
      <c r="C20" s="37"/>
      <c r="D20" s="37"/>
      <c r="E20" s="37"/>
      <c r="F20" s="37"/>
      <c r="G20" s="37"/>
      <c r="H20" s="37"/>
      <c r="I20" s="37"/>
      <c r="J20" s="39"/>
      <c r="K20" s="70" t="s">
        <v>96</v>
      </c>
      <c r="L20" s="70">
        <f>SUMIFS($A$11:$A$401,$B$11:$B$401,"CH",$F$11:$F$401,"18")</f>
        <v>0</v>
      </c>
      <c r="M20" s="70" t="s">
        <v>6</v>
      </c>
      <c r="N20" s="70">
        <f>SUMIFS($A$11:$A$401,$B$11:$B$401,"RT",$F$11:$F$401,"18")</f>
        <v>0</v>
      </c>
      <c r="O20" s="70" t="s">
        <v>13</v>
      </c>
      <c r="P20" s="65"/>
      <c r="Q20" s="65"/>
      <c r="R20" s="65"/>
      <c r="S20" s="65"/>
      <c r="T20" s="65"/>
    </row>
    <row r="21" spans="1:20" x14ac:dyDescent="0.3">
      <c r="A21" s="36"/>
      <c r="B21" s="55"/>
      <c r="C21" s="37"/>
      <c r="D21" s="37"/>
      <c r="E21" s="37"/>
      <c r="F21" s="37"/>
      <c r="G21" s="37"/>
      <c r="H21" s="37"/>
      <c r="I21" s="37"/>
      <c r="J21" s="39"/>
      <c r="K21" s="70" t="s">
        <v>97</v>
      </c>
      <c r="L21" s="70">
        <f>SUMIFS($A$11:$A$401,$B$11:$B$401,"CH",$F$11:$F$401,"19")</f>
        <v>0</v>
      </c>
      <c r="M21" s="70" t="s">
        <v>6</v>
      </c>
      <c r="N21" s="70">
        <f>SUMIFS($A$11:$A$401,$B$11:$B$401,"RT",$F$11:$F$401,"19")</f>
        <v>0</v>
      </c>
      <c r="O21" s="70" t="s">
        <v>13</v>
      </c>
      <c r="P21" s="65"/>
      <c r="Q21" s="65"/>
      <c r="R21" s="65"/>
      <c r="S21" s="65"/>
      <c r="T21" s="65"/>
    </row>
    <row r="22" spans="1:20" x14ac:dyDescent="0.3">
      <c r="A22" s="36"/>
      <c r="B22" s="55"/>
      <c r="C22" s="37"/>
      <c r="D22" s="37"/>
      <c r="E22" s="37"/>
      <c r="F22" s="37"/>
      <c r="G22" s="37"/>
      <c r="H22" s="37"/>
      <c r="I22" s="37"/>
      <c r="J22" s="39"/>
      <c r="K22" s="70" t="s">
        <v>98</v>
      </c>
      <c r="L22" s="70">
        <f>SUMIFS($A$11:$A$401,$B$11:$B$401,"CH",$F$11:$F$401,"20")</f>
        <v>0</v>
      </c>
      <c r="M22" s="70" t="s">
        <v>6</v>
      </c>
      <c r="N22" s="70">
        <f>SUMIFS($A$11:$A$401,$B$11:$B$401,"RT",$F$11:$F$401,"20")</f>
        <v>0</v>
      </c>
      <c r="O22" s="70" t="s">
        <v>13</v>
      </c>
    </row>
    <row r="23" spans="1:20" x14ac:dyDescent="0.3">
      <c r="A23" s="36"/>
      <c r="B23" s="55"/>
      <c r="C23" s="37"/>
      <c r="D23" s="37"/>
      <c r="E23" s="37"/>
      <c r="F23" s="37"/>
      <c r="G23" s="37"/>
      <c r="H23" s="37"/>
      <c r="I23" s="37"/>
      <c r="J23" s="39"/>
      <c r="K23" s="70" t="s">
        <v>99</v>
      </c>
      <c r="L23" s="70">
        <f>SUMIFS($A$11:$A$401,$B$11:$B$401,"CH",$F$11:$F$401,"21")</f>
        <v>0</v>
      </c>
      <c r="M23" s="70" t="s">
        <v>6</v>
      </c>
      <c r="N23" s="70">
        <f>SUMIFS($A$11:$A$401,$B$11:$B$401,"RT",$F$11:$F$401,"21")</f>
        <v>0</v>
      </c>
      <c r="O23" s="70" t="s">
        <v>13</v>
      </c>
    </row>
    <row r="24" spans="1:20" x14ac:dyDescent="0.3">
      <c r="A24" s="36"/>
      <c r="B24" s="55"/>
      <c r="C24" s="37"/>
      <c r="D24" s="37"/>
      <c r="E24" s="37"/>
      <c r="F24" s="37"/>
      <c r="G24" s="37"/>
      <c r="H24" s="37"/>
      <c r="I24" s="37"/>
      <c r="J24" s="39"/>
      <c r="K24" s="70" t="s">
        <v>100</v>
      </c>
      <c r="L24" s="70">
        <f>SUMIFS($A$11:$A$401,$B$11:$B$401,"CH",$F$11:$F$401,"22")</f>
        <v>0</v>
      </c>
      <c r="M24" s="70" t="s">
        <v>6</v>
      </c>
      <c r="N24" s="70">
        <f>SUMIFS($A$11:$A$401,$B$11:$B$401,"RT",$F$11:$F$401,"22")</f>
        <v>0</v>
      </c>
      <c r="O24" s="70" t="s">
        <v>13</v>
      </c>
    </row>
    <row r="25" spans="1:20" x14ac:dyDescent="0.3">
      <c r="A25" s="36"/>
      <c r="B25" s="55"/>
      <c r="C25" s="37"/>
      <c r="D25" s="37"/>
      <c r="E25" s="37"/>
      <c r="F25" s="37"/>
      <c r="G25" s="37"/>
      <c r="H25" s="37"/>
      <c r="I25" s="37"/>
      <c r="J25" s="39"/>
      <c r="K25" s="70" t="s">
        <v>101</v>
      </c>
      <c r="L25" s="70">
        <f>SUMIFS($A$11:$A$401,$B$11:$B$401,"CH",$F$11:$F$401,"23")</f>
        <v>0</v>
      </c>
      <c r="M25" s="70" t="s">
        <v>6</v>
      </c>
      <c r="N25" s="70">
        <f>SUMIFS($A$11:$A$401,$B$11:$B$401,"RT",$F$11:$F$401,"23")</f>
        <v>0</v>
      </c>
      <c r="O25" s="70" t="s">
        <v>13</v>
      </c>
    </row>
    <row r="26" spans="1:20" x14ac:dyDescent="0.3">
      <c r="A26" s="36"/>
      <c r="B26" s="55"/>
      <c r="C26" s="37"/>
      <c r="D26" s="37"/>
      <c r="E26" s="37"/>
      <c r="F26" s="37"/>
      <c r="G26" s="37"/>
      <c r="H26" s="37"/>
      <c r="I26" s="37"/>
      <c r="J26" s="39"/>
      <c r="K26" s="70" t="s">
        <v>102</v>
      </c>
      <c r="L26" s="70">
        <f>SUMIFS($A$11:$A$401,$B$11:$B$401,"CH",$F$11:$F$401,"24")</f>
        <v>0</v>
      </c>
      <c r="M26" s="70" t="s">
        <v>6</v>
      </c>
      <c r="N26" s="70">
        <f>SUMIFS($A$11:$A$401,$B$11:$B$401,"RT",$F$11:$F$401,"24")</f>
        <v>0</v>
      </c>
      <c r="O26" s="70" t="s">
        <v>13</v>
      </c>
    </row>
    <row r="27" spans="1:20" x14ac:dyDescent="0.3">
      <c r="A27" s="36"/>
      <c r="B27" s="55"/>
      <c r="C27" s="37"/>
      <c r="D27" s="37"/>
      <c r="E27" s="37"/>
      <c r="F27" s="37"/>
      <c r="G27" s="37"/>
      <c r="H27" s="37"/>
      <c r="I27" s="37"/>
      <c r="J27" s="39"/>
      <c r="K27" s="70" t="s">
        <v>103</v>
      </c>
      <c r="L27" s="70">
        <f>SUMIFS($A$11:$A$401,$B$11:$B$401,"CH",$F$11:$F$401,"25")</f>
        <v>0</v>
      </c>
      <c r="M27" s="70" t="s">
        <v>6</v>
      </c>
      <c r="N27" s="70">
        <f>SUMIFS($A$11:$A$401,$B$11:$B$401,"RT",$F$11:$F$401,"25")</f>
        <v>0</v>
      </c>
      <c r="O27" s="70" t="s">
        <v>13</v>
      </c>
    </row>
    <row r="28" spans="1:20" x14ac:dyDescent="0.3">
      <c r="A28" s="36"/>
      <c r="B28" s="55"/>
      <c r="C28" s="37"/>
      <c r="D28" s="37"/>
      <c r="E28" s="37"/>
      <c r="F28" s="37"/>
      <c r="G28" s="37"/>
      <c r="H28" s="37"/>
      <c r="I28" s="37"/>
      <c r="J28" s="39"/>
      <c r="K28" s="70" t="s">
        <v>104</v>
      </c>
      <c r="L28" s="70">
        <f>SUMIFS($A$11:$A$401,$B$11:$B$401,"CH",$F$11:$F$401,"26")</f>
        <v>0</v>
      </c>
      <c r="M28" s="70" t="s">
        <v>6</v>
      </c>
      <c r="N28" s="70">
        <f>SUMIFS($A$11:$A$401,$B$11:$B$401,"RT",$F$11:$F$401,"26")</f>
        <v>0</v>
      </c>
      <c r="O28" s="70" t="s">
        <v>13</v>
      </c>
    </row>
    <row r="29" spans="1:20" x14ac:dyDescent="0.3">
      <c r="A29" s="36"/>
      <c r="B29" s="55"/>
      <c r="C29" s="37"/>
      <c r="D29" s="37"/>
      <c r="E29" s="37"/>
      <c r="F29" s="37"/>
      <c r="G29" s="37"/>
      <c r="H29" s="37"/>
      <c r="I29" s="37"/>
      <c r="J29" s="39"/>
      <c r="K29" s="70" t="s">
        <v>105</v>
      </c>
      <c r="L29" s="70">
        <f>SUMIFS($A$11:$A$401,$B$11:$B$401,"CH",$F$11:$F$401,"27")</f>
        <v>0</v>
      </c>
      <c r="M29" s="70" t="s">
        <v>6</v>
      </c>
      <c r="N29" s="70">
        <f>SUMIFS($A$11:$A$401,$B$11:$B$401,"RT",$F$11:$F$401,"27")</f>
        <v>0</v>
      </c>
      <c r="O29" s="70" t="s">
        <v>13</v>
      </c>
    </row>
    <row r="30" spans="1:20" x14ac:dyDescent="0.3">
      <c r="A30" s="36"/>
      <c r="B30" s="55"/>
      <c r="C30" s="37"/>
      <c r="D30" s="37"/>
      <c r="E30" s="37"/>
      <c r="F30" s="37"/>
      <c r="G30" s="37"/>
      <c r="H30" s="37"/>
      <c r="I30" s="37"/>
      <c r="J30" s="39"/>
      <c r="K30" s="70" t="s">
        <v>106</v>
      </c>
      <c r="L30" s="70">
        <f>SUMIFS($A$11:$A$401,$B$11:$B$401,"CH",$F$11:$F$401,"28")</f>
        <v>0</v>
      </c>
      <c r="M30" s="70" t="s">
        <v>6</v>
      </c>
      <c r="N30" s="70">
        <f>SUMIFS($A$11:$A$401,$B$11:$B$401,"RT",$F$11:$F$401,"28")</f>
        <v>0</v>
      </c>
      <c r="O30" s="70" t="s">
        <v>13</v>
      </c>
    </row>
    <row r="31" spans="1:20" x14ac:dyDescent="0.3">
      <c r="A31" s="36"/>
      <c r="B31" s="55"/>
      <c r="C31" s="37"/>
      <c r="D31" s="37"/>
      <c r="E31" s="37"/>
      <c r="F31" s="37"/>
      <c r="G31" s="37"/>
      <c r="H31" s="37"/>
      <c r="I31" s="37"/>
      <c r="J31" s="39"/>
      <c r="K31" s="70" t="s">
        <v>107</v>
      </c>
      <c r="L31" s="70">
        <f>SUMIFS($A$11:$A$401,$B$11:$B$401,"CH",$F$11:$F$401,"29")</f>
        <v>0</v>
      </c>
      <c r="M31" s="70" t="s">
        <v>6</v>
      </c>
      <c r="N31" s="70">
        <f>SUMIFS($A$11:$A$401,$B$11:$B$401,"RT",$F$11:$F$401,"29")</f>
        <v>0</v>
      </c>
      <c r="O31" s="70" t="s">
        <v>13</v>
      </c>
    </row>
    <row r="32" spans="1:20" ht="15" thickBot="1" x14ac:dyDescent="0.35">
      <c r="A32" s="40"/>
      <c r="B32" s="56"/>
      <c r="C32" s="41"/>
      <c r="D32" s="41"/>
      <c r="E32" s="41"/>
      <c r="F32" s="41"/>
      <c r="G32" s="41"/>
      <c r="H32" s="41"/>
      <c r="I32" s="42"/>
      <c r="J32" s="19"/>
      <c r="K32" s="70" t="s">
        <v>108</v>
      </c>
      <c r="L32" s="70">
        <f>SUMIFS($A$11:$A$401,$B$11:$B$401,"CH",$F$11:$F$401,"30")</f>
        <v>0</v>
      </c>
      <c r="M32" s="70" t="s">
        <v>6</v>
      </c>
      <c r="N32" s="70">
        <f>SUMIFS($A$11:$A$401,$B$11:$B$401,"RT",$F$11:$F$401,"30")</f>
        <v>0</v>
      </c>
      <c r="O32" s="70" t="s">
        <v>13</v>
      </c>
    </row>
    <row r="33" spans="11:15" ht="15" thickTop="1" x14ac:dyDescent="0.3">
      <c r="K33" s="70" t="s">
        <v>109</v>
      </c>
      <c r="L33" s="70">
        <f>SUMIFS($A$11:$A$401,$B$11:$B$401,"CH",$F$11:$F$401,"31")</f>
        <v>0</v>
      </c>
      <c r="M33" s="70" t="s">
        <v>6</v>
      </c>
      <c r="N33" s="70">
        <f>SUMIFS($A$11:$A$401,$B$11:$B$401,"RT",$F$11:$F$401,"31")</f>
        <v>0</v>
      </c>
      <c r="O33" s="70" t="s">
        <v>13</v>
      </c>
    </row>
    <row r="34" spans="11:15" x14ac:dyDescent="0.3">
      <c r="K34" s="70" t="s">
        <v>110</v>
      </c>
      <c r="L34" s="70">
        <f>SUMIFS($A$11:$A$401,$B$11:$B$401,"CH",$F$11:$F$401,"32")</f>
        <v>0</v>
      </c>
      <c r="M34" s="70" t="s">
        <v>6</v>
      </c>
      <c r="N34" s="70">
        <f>SUMIFS($A$11:$A$401,$B$11:$B$401,"RT",$F$11:$F$401,"32")</f>
        <v>0</v>
      </c>
      <c r="O34" s="70" t="s">
        <v>13</v>
      </c>
    </row>
    <row r="35" spans="11:15" x14ac:dyDescent="0.3">
      <c r="K35" s="70" t="s">
        <v>111</v>
      </c>
      <c r="L35" s="70">
        <f>SUMIFS($A$11:$A$401,$B$11:$B$401,"CH",$F$11:$F$401,"33")</f>
        <v>0</v>
      </c>
      <c r="M35" s="70" t="s">
        <v>6</v>
      </c>
      <c r="N35" s="70">
        <f>SUMIFS($A$11:$A$401,$B$11:$B$401,"RT",$F$11:$F$401,"33")</f>
        <v>0</v>
      </c>
      <c r="O35" s="70" t="s">
        <v>13</v>
      </c>
    </row>
    <row r="36" spans="11:15" x14ac:dyDescent="0.3">
      <c r="K36" s="70" t="s">
        <v>112</v>
      </c>
      <c r="L36" s="70">
        <f>SUMIFS($A$11:$A$401,$B$11:$B$401,"CH",$F$11:$F$401,"34")</f>
        <v>0</v>
      </c>
      <c r="M36" s="70" t="s">
        <v>6</v>
      </c>
      <c r="N36" s="70">
        <f>SUMIFS($A$11:$A$401,$B$11:$B$401,"RT",$F$11:$F$401,"34")</f>
        <v>0</v>
      </c>
      <c r="O36" s="70" t="s">
        <v>13</v>
      </c>
    </row>
    <row r="37" spans="11:15" x14ac:dyDescent="0.3">
      <c r="K37" s="70" t="s">
        <v>113</v>
      </c>
      <c r="L37" s="70">
        <f>SUMIFS($A$11:$A$401,$B$11:$B$401,"CH",$F$11:$F$401,"35")</f>
        <v>0</v>
      </c>
      <c r="M37" s="70" t="s">
        <v>6</v>
      </c>
      <c r="N37" s="70">
        <f>SUMIFS($A$11:$A$401,$B$11:$B$401,"RT",$F$11:$F$401,"35")</f>
        <v>0</v>
      </c>
      <c r="O37" s="70" t="s">
        <v>13</v>
      </c>
    </row>
    <row r="38" spans="11:15" x14ac:dyDescent="0.3">
      <c r="K38" s="70" t="s">
        <v>114</v>
      </c>
      <c r="L38" s="70">
        <f>SUMIFS($A$11:$A$401,$B$11:$B$401,"CH",$F$11:$F$401,"36")</f>
        <v>0</v>
      </c>
      <c r="M38" s="70" t="s">
        <v>6</v>
      </c>
      <c r="N38" s="70">
        <f>SUMIFS($A$11:$A$401,$B$11:$B$401,"RT",$F$11:$F$401,"36")</f>
        <v>0</v>
      </c>
      <c r="O38" s="70" t="s">
        <v>13</v>
      </c>
    </row>
    <row r="39" spans="11:15" x14ac:dyDescent="0.3">
      <c r="K39" s="70" t="s">
        <v>115</v>
      </c>
      <c r="L39" s="70">
        <f>SUMIFS($A$11:$A$401,$B$11:$B$401,"CH",$F$11:$F$401,"37")</f>
        <v>0</v>
      </c>
      <c r="M39" s="70" t="s">
        <v>6</v>
      </c>
      <c r="N39" s="70">
        <f>SUMIFS($A$11:$A$401,$B$11:$B$401,"RT",$F$11:$F$401,"37")</f>
        <v>0</v>
      </c>
      <c r="O39" s="70" t="s">
        <v>13</v>
      </c>
    </row>
    <row r="40" spans="11:15" x14ac:dyDescent="0.3">
      <c r="K40" s="70" t="s">
        <v>116</v>
      </c>
      <c r="L40" s="70">
        <f>SUMIFS($A$11:$A$401,$B$11:$B$401,"CH",$F$11:$F$401,"38")</f>
        <v>0</v>
      </c>
      <c r="M40" s="70" t="s">
        <v>6</v>
      </c>
      <c r="N40" s="70">
        <f>SUMIFS($A$11:$A$401,$B$11:$B$401,"RT",$F$11:$F$401,"38")</f>
        <v>0</v>
      </c>
      <c r="O40" s="70" t="s">
        <v>13</v>
      </c>
    </row>
    <row r="41" spans="11:15" x14ac:dyDescent="0.3">
      <c r="K41" s="70" t="s">
        <v>117</v>
      </c>
      <c r="L41" s="70">
        <f>SUMIFS($A$11:$A$401,$B$11:$B$401,"CH",$F$11:$F$401,"39")</f>
        <v>0</v>
      </c>
      <c r="M41" s="70" t="s">
        <v>6</v>
      </c>
      <c r="N41" s="70">
        <f>SUMIFS($A$11:$A$401,$B$11:$B$401,"RT",$F$11:$F$401,"39")</f>
        <v>0</v>
      </c>
      <c r="O41" s="70" t="s">
        <v>13</v>
      </c>
    </row>
    <row r="42" spans="11:15" x14ac:dyDescent="0.3">
      <c r="K42" s="70" t="s">
        <v>118</v>
      </c>
      <c r="L42" s="70">
        <f>SUMIFS($A$11:$A$401,$B$11:$B$401,"CH",$F$11:$F$401,"40")</f>
        <v>0</v>
      </c>
      <c r="M42" s="70" t="s">
        <v>6</v>
      </c>
      <c r="N42" s="70">
        <f>SUMIFS($A$11:$A$401,$B$11:$B$401,"RT",$F$11:$F$401,"40")</f>
        <v>0</v>
      </c>
      <c r="O42" s="70" t="s">
        <v>13</v>
      </c>
    </row>
    <row r="43" spans="11:15" x14ac:dyDescent="0.3">
      <c r="K43" s="70" t="s">
        <v>119</v>
      </c>
      <c r="L43" s="70">
        <f>SUMIFS($A$11:$A$401,$B$11:$B$401,"CH",$F$11:$F$401,"41")</f>
        <v>0</v>
      </c>
      <c r="M43" s="70" t="s">
        <v>6</v>
      </c>
      <c r="N43" s="70">
        <f>SUMIFS($A$11:$A$401,$B$11:$B$401,"RT",$F$11:$F$401,"41")</f>
        <v>0</v>
      </c>
      <c r="O43" s="70" t="s">
        <v>13</v>
      </c>
    </row>
    <row r="44" spans="11:15" x14ac:dyDescent="0.3">
      <c r="K44" s="70"/>
      <c r="L44" s="70">
        <f>SUMIFS($A$11:$A$401,$B$11:$B$401,"CH",$F$11:$F$401,"")</f>
        <v>0</v>
      </c>
      <c r="M44" s="70" t="s">
        <v>6</v>
      </c>
      <c r="N44" s="70">
        <f>SUMIFS($A$11:$A$401,$B$11:$B$401,"RT",$F$11:$F$401,"")</f>
        <v>0</v>
      </c>
      <c r="O44" s="70" t="s">
        <v>13</v>
      </c>
    </row>
    <row r="45" spans="11:15" x14ac:dyDescent="0.3">
      <c r="K45" s="70" t="s">
        <v>120</v>
      </c>
      <c r="L45" s="70">
        <f>SUM(L3:L44)</f>
        <v>0</v>
      </c>
      <c r="M45" s="70" t="s">
        <v>6</v>
      </c>
      <c r="N45" s="70">
        <f>SUM(N3:N44)</f>
        <v>0</v>
      </c>
      <c r="O45" s="70" t="s">
        <v>13</v>
      </c>
    </row>
    <row r="46" spans="11:15" x14ac:dyDescent="0.3">
      <c r="K46" s="70"/>
      <c r="L46" s="70"/>
      <c r="M46" s="70"/>
      <c r="N46" s="70"/>
    </row>
    <row r="47" spans="11:15" x14ac:dyDescent="0.3">
      <c r="K47" s="70"/>
      <c r="N47" s="70"/>
    </row>
    <row r="48" spans="11:15" x14ac:dyDescent="0.3">
      <c r="K48" s="70"/>
      <c r="N48" s="70"/>
    </row>
    <row r="49" spans="11:14" x14ac:dyDescent="0.3">
      <c r="K49" s="70"/>
      <c r="N49" s="70"/>
    </row>
    <row r="50" spans="11:14" x14ac:dyDescent="0.3">
      <c r="K50" s="70"/>
      <c r="N50" s="70"/>
    </row>
    <row r="51" spans="11:14" x14ac:dyDescent="0.3">
      <c r="K51" s="70"/>
      <c r="N51" s="70"/>
    </row>
    <row r="52" spans="11:14" x14ac:dyDescent="0.3">
      <c r="K52" s="70"/>
      <c r="N52" s="70"/>
    </row>
    <row r="53" spans="11:14" x14ac:dyDescent="0.3">
      <c r="K53" s="70"/>
      <c r="N53" s="70"/>
    </row>
    <row r="54" spans="11:14" x14ac:dyDescent="0.3">
      <c r="K54" s="70"/>
      <c r="N54" s="70"/>
    </row>
    <row r="55" spans="11:14" x14ac:dyDescent="0.3">
      <c r="K55" s="70"/>
      <c r="N55" s="70"/>
    </row>
    <row r="56" spans="11:14" x14ac:dyDescent="0.3">
      <c r="K56" s="70"/>
      <c r="N56" s="70"/>
    </row>
    <row r="57" spans="11:14" x14ac:dyDescent="0.3">
      <c r="K57" s="70"/>
      <c r="N57" s="70"/>
    </row>
    <row r="58" spans="11:14" x14ac:dyDescent="0.3">
      <c r="K58" s="70"/>
      <c r="N58" s="70"/>
    </row>
    <row r="59" spans="11:14" x14ac:dyDescent="0.3">
      <c r="K59" s="70"/>
      <c r="N59" s="70"/>
    </row>
    <row r="60" spans="11:14" x14ac:dyDescent="0.3">
      <c r="K60" s="70"/>
      <c r="N60" s="70"/>
    </row>
    <row r="61" spans="11:14" x14ac:dyDescent="0.3">
      <c r="K61" s="70"/>
      <c r="N61" s="70"/>
    </row>
    <row r="62" spans="11:14" x14ac:dyDescent="0.3">
      <c r="K62" s="70"/>
      <c r="N62" s="70"/>
    </row>
    <row r="63" spans="11:14" x14ac:dyDescent="0.3">
      <c r="K63" s="70"/>
      <c r="N63" s="70"/>
    </row>
    <row r="64" spans="11:14" x14ac:dyDescent="0.3">
      <c r="K64" s="70"/>
      <c r="N64" s="70"/>
    </row>
    <row r="65" spans="11:14" x14ac:dyDescent="0.3">
      <c r="K65" s="70"/>
      <c r="N65" s="70"/>
    </row>
    <row r="66" spans="11:14" x14ac:dyDescent="0.3">
      <c r="K66" s="70"/>
      <c r="N66" s="70"/>
    </row>
    <row r="67" spans="11:14" x14ac:dyDescent="0.3">
      <c r="K67" s="70"/>
      <c r="N67" s="70"/>
    </row>
    <row r="68" spans="11:14" x14ac:dyDescent="0.3">
      <c r="K68" s="70"/>
      <c r="N68" s="70"/>
    </row>
    <row r="69" spans="11:14" x14ac:dyDescent="0.3">
      <c r="K69" s="70"/>
      <c r="N69" s="70"/>
    </row>
    <row r="70" spans="11:14" x14ac:dyDescent="0.3">
      <c r="K70" s="70"/>
      <c r="N70" s="70"/>
    </row>
    <row r="71" spans="11:14" x14ac:dyDescent="0.3">
      <c r="K71" s="70"/>
      <c r="N71" s="70"/>
    </row>
    <row r="72" spans="11:14" x14ac:dyDescent="0.3">
      <c r="K72" s="70"/>
      <c r="N72" s="70"/>
    </row>
    <row r="73" spans="11:14" x14ac:dyDescent="0.3">
      <c r="K73" s="70"/>
      <c r="N73" s="70"/>
    </row>
    <row r="74" spans="11:14" x14ac:dyDescent="0.3">
      <c r="K74" s="70"/>
      <c r="N74" s="70"/>
    </row>
    <row r="75" spans="11:14" x14ac:dyDescent="0.3">
      <c r="K75" s="70"/>
      <c r="N75" s="70"/>
    </row>
    <row r="76" spans="11:14" x14ac:dyDescent="0.3">
      <c r="K76" s="70"/>
      <c r="N76" s="70"/>
    </row>
    <row r="77" spans="11:14" x14ac:dyDescent="0.3">
      <c r="K77" s="70"/>
      <c r="N77" s="70"/>
    </row>
    <row r="78" spans="11:14" x14ac:dyDescent="0.3">
      <c r="K78" s="70"/>
      <c r="N78" s="70"/>
    </row>
    <row r="79" spans="11:14" x14ac:dyDescent="0.3">
      <c r="K79" s="70"/>
      <c r="N79" s="70"/>
    </row>
    <row r="80" spans="11:14" x14ac:dyDescent="0.3">
      <c r="K80" s="70"/>
      <c r="N80" s="70"/>
    </row>
    <row r="81" spans="11:14" x14ac:dyDescent="0.3">
      <c r="K81" s="70"/>
      <c r="N81" s="70"/>
    </row>
    <row r="82" spans="11:14" x14ac:dyDescent="0.3">
      <c r="K82" s="70"/>
      <c r="N82" s="70"/>
    </row>
    <row r="83" spans="11:14" x14ac:dyDescent="0.3">
      <c r="K83" s="70"/>
      <c r="N83" s="70"/>
    </row>
    <row r="84" spans="11:14" x14ac:dyDescent="0.3">
      <c r="K84" s="70"/>
      <c r="N84" s="70"/>
    </row>
    <row r="85" spans="11:14" x14ac:dyDescent="0.3">
      <c r="K85" s="70"/>
      <c r="N85" s="70"/>
    </row>
    <row r="86" spans="11:14" x14ac:dyDescent="0.3">
      <c r="K86" s="70"/>
      <c r="N86" s="70"/>
    </row>
    <row r="87" spans="11:14" x14ac:dyDescent="0.3">
      <c r="K87" s="70"/>
      <c r="N87" s="70"/>
    </row>
    <row r="88" spans="11:14" x14ac:dyDescent="0.3">
      <c r="K88" s="70"/>
      <c r="N88" s="70"/>
    </row>
    <row r="89" spans="11:14" x14ac:dyDescent="0.3">
      <c r="K89" s="71"/>
      <c r="N89" s="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2020 CHaMP Snorkel UTMLatLong</vt:lpstr>
      <vt:lpstr>595e</vt:lpstr>
      <vt:lpstr>777</vt:lpstr>
      <vt:lpstr>851</vt:lpstr>
      <vt:lpstr>1196e</vt:lpstr>
      <vt:lpstr>1709</vt:lpstr>
      <vt:lpstr>1971</vt:lpstr>
      <vt:lpstr>TEMPLATE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Mendez</dc:creator>
  <cp:lastModifiedBy>BPAYFR</cp:lastModifiedBy>
  <dcterms:created xsi:type="dcterms:W3CDTF">2018-11-28T19:23:12Z</dcterms:created>
  <dcterms:modified xsi:type="dcterms:W3CDTF">2021-03-11T14:50:29Z</dcterms:modified>
</cp:coreProperties>
</file>