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BPA\Documents\2006-2021 YFRP\2013-2021 Fish\2021 YFRP Fish\"/>
    </mc:Choice>
  </mc:AlternateContent>
  <xr:revisionPtr revIDLastSave="0" documentId="13_ncr:1_{01250156-80BA-4FF2-B603-CAE1FC9591FF}" xr6:coauthVersionLast="36" xr6:coauthVersionMax="36" xr10:uidLastSave="{00000000-0000-0000-0000-000000000000}"/>
  <bookViews>
    <workbookView xWindow="0" yWindow="0" windowWidth="28800" windowHeight="12300" tabRatio="778" activeTab="1" xr2:uid="{00000000-000D-0000-FFFF-FFFF00000000}"/>
  </bookViews>
  <sheets>
    <sheet name="2021 CHaMP Snorkel UTMLatLong" sheetId="23" r:id="rId1"/>
    <sheet name="595e" sheetId="34" r:id="rId2"/>
    <sheet name="1129s" sheetId="35" r:id="rId3"/>
    <sheet name="1196e" sheetId="33" r:id="rId4"/>
    <sheet name="1971" sheetId="30" r:id="rId5"/>
    <sheet name="2159s" sheetId="36" r:id="rId6"/>
    <sheet name="TEMPLATE" sheetId="1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36" l="1"/>
  <c r="S12" i="36"/>
  <c r="W13" i="36"/>
  <c r="W12" i="36"/>
  <c r="X13" i="36"/>
  <c r="X12" i="36"/>
  <c r="X5" i="36"/>
  <c r="X6" i="36"/>
  <c r="X7" i="36"/>
  <c r="X9" i="36"/>
  <c r="X10" i="36"/>
  <c r="X11" i="36"/>
  <c r="X4" i="36"/>
  <c r="W5" i="36"/>
  <c r="W6" i="36"/>
  <c r="W7" i="36"/>
  <c r="W9" i="36"/>
  <c r="W10" i="36"/>
  <c r="W11" i="36"/>
  <c r="W4" i="36"/>
  <c r="S30" i="33"/>
  <c r="S29" i="33"/>
  <c r="S9" i="35"/>
  <c r="S8" i="35"/>
  <c r="S20" i="34"/>
  <c r="S19" i="34"/>
  <c r="S31" i="30"/>
  <c r="S30" i="30"/>
  <c r="X31" i="30"/>
  <c r="X30" i="30"/>
  <c r="Y31" i="30"/>
  <c r="Y30" i="30"/>
  <c r="Y29" i="30"/>
  <c r="Y28" i="30"/>
  <c r="Y27" i="30"/>
  <c r="Y26" i="30"/>
  <c r="Y24" i="30"/>
  <c r="Y23" i="30"/>
  <c r="Y22" i="30"/>
  <c r="Y21" i="30"/>
  <c r="Y20" i="30"/>
  <c r="Y19" i="30"/>
  <c r="Y18" i="30"/>
  <c r="Y5" i="30"/>
  <c r="Y6" i="30"/>
  <c r="Y7" i="30"/>
  <c r="Y8" i="30"/>
  <c r="Y9" i="30"/>
  <c r="Y10" i="30"/>
  <c r="Y11" i="30"/>
  <c r="Y12" i="30"/>
  <c r="Y13" i="30"/>
  <c r="Y4" i="30"/>
  <c r="X29" i="30"/>
  <c r="X28" i="30"/>
  <c r="X27" i="30"/>
  <c r="X26" i="30"/>
  <c r="X24" i="30"/>
  <c r="X23" i="30"/>
  <c r="X22" i="30"/>
  <c r="X21" i="30"/>
  <c r="X20" i="30"/>
  <c r="X19" i="30"/>
  <c r="X18" i="30"/>
  <c r="X5" i="30"/>
  <c r="X6" i="30"/>
  <c r="X7" i="30"/>
  <c r="X8" i="30"/>
  <c r="X9" i="30"/>
  <c r="X10" i="30"/>
  <c r="X11" i="30"/>
  <c r="X12" i="30"/>
  <c r="X13" i="30"/>
  <c r="X4" i="30"/>
  <c r="Z30" i="33"/>
  <c r="Z29" i="33"/>
  <c r="AA30" i="33"/>
  <c r="AA29" i="33"/>
  <c r="AA5" i="33"/>
  <c r="AA6" i="33"/>
  <c r="AA7" i="33"/>
  <c r="AA8" i="33"/>
  <c r="AA9" i="33"/>
  <c r="AA10" i="33"/>
  <c r="AA11" i="33"/>
  <c r="AA12" i="33"/>
  <c r="AA13" i="33"/>
  <c r="AA14" i="33"/>
  <c r="AA15" i="33"/>
  <c r="AA16" i="33"/>
  <c r="AA17" i="33"/>
  <c r="AA18" i="33"/>
  <c r="AA19" i="33"/>
  <c r="AA20" i="33"/>
  <c r="AA21" i="33"/>
  <c r="AA22" i="33"/>
  <c r="AA23" i="33"/>
  <c r="AA24" i="33"/>
  <c r="AA25" i="33"/>
  <c r="AA26" i="33"/>
  <c r="AA27" i="33"/>
  <c r="AA28" i="33"/>
  <c r="AA4" i="33"/>
  <c r="Z5" i="33"/>
  <c r="Z6" i="33"/>
  <c r="Z7" i="33"/>
  <c r="Z8" i="33"/>
  <c r="Z9" i="33"/>
  <c r="Z10" i="33"/>
  <c r="Z11" i="33"/>
  <c r="Z12" i="33"/>
  <c r="Z13" i="33"/>
  <c r="Z14" i="33"/>
  <c r="Z15" i="33"/>
  <c r="Z16" i="33"/>
  <c r="Z17" i="33"/>
  <c r="Z18" i="33"/>
  <c r="Z19" i="33"/>
  <c r="Z20" i="33"/>
  <c r="Z21" i="33"/>
  <c r="Z22" i="33"/>
  <c r="Z23" i="33"/>
  <c r="Z24" i="33"/>
  <c r="Z25" i="33"/>
  <c r="Z26" i="33"/>
  <c r="Z27" i="33"/>
  <c r="Z28" i="33"/>
  <c r="Z4" i="33"/>
  <c r="W9" i="35"/>
  <c r="W8" i="35"/>
  <c r="X9" i="35"/>
  <c r="X8" i="35"/>
  <c r="X5" i="35"/>
  <c r="X6" i="35"/>
  <c r="X7" i="35"/>
  <c r="X4" i="35"/>
  <c r="W7" i="35"/>
  <c r="W5" i="35"/>
  <c r="W6" i="35"/>
  <c r="W4" i="35"/>
  <c r="Y20" i="34"/>
  <c r="Y19" i="34"/>
  <c r="Z20" i="34"/>
  <c r="Z19" i="34"/>
  <c r="Z11" i="34"/>
  <c r="Z12" i="34"/>
  <c r="Z13" i="34"/>
  <c r="Z14" i="34"/>
  <c r="Z15" i="34"/>
  <c r="Z16" i="34"/>
  <c r="Z17" i="34"/>
  <c r="Z18" i="34"/>
  <c r="Z7" i="34"/>
  <c r="Y11" i="34"/>
  <c r="Y12" i="34"/>
  <c r="Y13" i="34"/>
  <c r="Y14" i="34"/>
  <c r="Y15" i="34"/>
  <c r="Y16" i="34"/>
  <c r="Y17" i="34"/>
  <c r="Y18" i="34"/>
  <c r="Y7" i="34"/>
  <c r="N44" i="36" l="1"/>
  <c r="L44" i="36"/>
  <c r="N43" i="36"/>
  <c r="L43" i="36"/>
  <c r="N42" i="36"/>
  <c r="L42" i="36"/>
  <c r="N41" i="36"/>
  <c r="L41" i="36"/>
  <c r="N40" i="36"/>
  <c r="L40" i="36"/>
  <c r="N39" i="36"/>
  <c r="L39" i="36"/>
  <c r="N38" i="36"/>
  <c r="L38" i="36"/>
  <c r="N37" i="36"/>
  <c r="L37" i="36"/>
  <c r="N36" i="36"/>
  <c r="L36" i="36"/>
  <c r="N35" i="36"/>
  <c r="L35" i="36"/>
  <c r="N34" i="36"/>
  <c r="L34" i="36"/>
  <c r="N33" i="36"/>
  <c r="L33" i="36"/>
  <c r="N32" i="36"/>
  <c r="L32" i="36"/>
  <c r="N31" i="36"/>
  <c r="L31" i="36"/>
  <c r="N30" i="36"/>
  <c r="L30" i="36"/>
  <c r="N29" i="36"/>
  <c r="L29" i="36"/>
  <c r="N28" i="36"/>
  <c r="L28" i="36"/>
  <c r="N27" i="36"/>
  <c r="L27" i="36"/>
  <c r="N26" i="36"/>
  <c r="L26" i="36"/>
  <c r="N25" i="36"/>
  <c r="L25" i="36"/>
  <c r="N24" i="36"/>
  <c r="L24" i="36"/>
  <c r="N23" i="36"/>
  <c r="L23" i="36"/>
  <c r="N22" i="36"/>
  <c r="L22" i="36"/>
  <c r="N21" i="36"/>
  <c r="L21" i="36"/>
  <c r="N20" i="36"/>
  <c r="L20" i="36"/>
  <c r="N19" i="36"/>
  <c r="L19" i="36"/>
  <c r="N18" i="36"/>
  <c r="L18" i="36"/>
  <c r="N17" i="36"/>
  <c r="L17" i="36"/>
  <c r="N16" i="36"/>
  <c r="L16" i="36"/>
  <c r="N15" i="36"/>
  <c r="L15" i="36"/>
  <c r="N14" i="36"/>
  <c r="L14" i="36"/>
  <c r="N13" i="36"/>
  <c r="L13" i="36"/>
  <c r="N12" i="36"/>
  <c r="L12" i="36"/>
  <c r="N11" i="36"/>
  <c r="L11" i="36"/>
  <c r="N10" i="36"/>
  <c r="L10" i="36"/>
  <c r="N9" i="36"/>
  <c r="L9" i="36"/>
  <c r="N8" i="36"/>
  <c r="L8" i="36"/>
  <c r="N7" i="36"/>
  <c r="L7" i="36"/>
  <c r="N6" i="36"/>
  <c r="L6" i="36"/>
  <c r="N5" i="36"/>
  <c r="L5" i="36"/>
  <c r="N4" i="36"/>
  <c r="L4" i="36"/>
  <c r="N3" i="36"/>
  <c r="L3" i="36"/>
  <c r="N44" i="35"/>
  <c r="L44" i="35"/>
  <c r="N43" i="35"/>
  <c r="L43" i="35"/>
  <c r="N42" i="35"/>
  <c r="L42" i="35"/>
  <c r="N41" i="35"/>
  <c r="L41" i="35"/>
  <c r="N40" i="35"/>
  <c r="L40" i="35"/>
  <c r="N39" i="35"/>
  <c r="L39" i="35"/>
  <c r="N38" i="35"/>
  <c r="L38" i="35"/>
  <c r="N37" i="35"/>
  <c r="L37" i="35"/>
  <c r="N36" i="35"/>
  <c r="L36" i="35"/>
  <c r="N35" i="35"/>
  <c r="L35" i="35"/>
  <c r="N34" i="35"/>
  <c r="L34" i="35"/>
  <c r="N33" i="35"/>
  <c r="L33" i="35"/>
  <c r="N32" i="35"/>
  <c r="L32" i="35"/>
  <c r="N31" i="35"/>
  <c r="L31" i="35"/>
  <c r="N30" i="35"/>
  <c r="L30" i="35"/>
  <c r="N29" i="35"/>
  <c r="L29" i="35"/>
  <c r="N28" i="35"/>
  <c r="L28" i="35"/>
  <c r="N27" i="35"/>
  <c r="L27" i="35"/>
  <c r="N26" i="35"/>
  <c r="L26" i="35"/>
  <c r="N25" i="35"/>
  <c r="L25" i="35"/>
  <c r="N24" i="35"/>
  <c r="L24" i="35"/>
  <c r="N23" i="35"/>
  <c r="L23" i="35"/>
  <c r="N22" i="35"/>
  <c r="L22" i="35"/>
  <c r="N21" i="35"/>
  <c r="L21" i="35"/>
  <c r="N20" i="35"/>
  <c r="L20" i="35"/>
  <c r="N19" i="35"/>
  <c r="L19" i="35"/>
  <c r="N18" i="35"/>
  <c r="L18" i="35"/>
  <c r="N17" i="35"/>
  <c r="L17" i="35"/>
  <c r="N16" i="35"/>
  <c r="L16" i="35"/>
  <c r="N15" i="35"/>
  <c r="L15" i="35"/>
  <c r="N14" i="35"/>
  <c r="L14" i="35"/>
  <c r="N13" i="35"/>
  <c r="L13" i="35"/>
  <c r="N12" i="35"/>
  <c r="L12" i="35"/>
  <c r="N11" i="35"/>
  <c r="L11" i="35"/>
  <c r="N10" i="35"/>
  <c r="L10" i="35"/>
  <c r="N9" i="35"/>
  <c r="L9" i="35"/>
  <c r="N8" i="35"/>
  <c r="L8" i="35"/>
  <c r="N7" i="35"/>
  <c r="L7" i="35"/>
  <c r="N6" i="35"/>
  <c r="L6" i="35"/>
  <c r="N5" i="35"/>
  <c r="L5" i="35"/>
  <c r="N4" i="35"/>
  <c r="L4" i="35"/>
  <c r="N3" i="35"/>
  <c r="L3" i="35"/>
  <c r="N44" i="34"/>
  <c r="L44" i="34"/>
  <c r="N43" i="34"/>
  <c r="L43" i="34"/>
  <c r="N42" i="34"/>
  <c r="L42" i="34"/>
  <c r="N41" i="34"/>
  <c r="L41" i="34"/>
  <c r="N40" i="34"/>
  <c r="L40" i="34"/>
  <c r="N39" i="34"/>
  <c r="L39" i="34"/>
  <c r="N38" i="34"/>
  <c r="L38" i="34"/>
  <c r="N37" i="34"/>
  <c r="L37" i="34"/>
  <c r="N36" i="34"/>
  <c r="L36" i="34"/>
  <c r="N35" i="34"/>
  <c r="L35" i="34"/>
  <c r="N34" i="34"/>
  <c r="L34" i="34"/>
  <c r="N33" i="34"/>
  <c r="L33" i="34"/>
  <c r="N32" i="34"/>
  <c r="L32" i="34"/>
  <c r="N31" i="34"/>
  <c r="L31" i="34"/>
  <c r="N30" i="34"/>
  <c r="L30" i="34"/>
  <c r="N29" i="34"/>
  <c r="L29" i="34"/>
  <c r="N28" i="34"/>
  <c r="L28" i="34"/>
  <c r="N27" i="34"/>
  <c r="L27" i="34"/>
  <c r="N26" i="34"/>
  <c r="L26" i="34"/>
  <c r="N25" i="34"/>
  <c r="L25" i="34"/>
  <c r="N24" i="34"/>
  <c r="L24" i="34"/>
  <c r="N23" i="34"/>
  <c r="L23" i="34"/>
  <c r="N22" i="34"/>
  <c r="L22" i="34"/>
  <c r="N21" i="34"/>
  <c r="L21" i="34"/>
  <c r="N20" i="34"/>
  <c r="L20" i="34"/>
  <c r="N19" i="34"/>
  <c r="L19" i="34"/>
  <c r="N18" i="34"/>
  <c r="L18" i="34"/>
  <c r="N17" i="34"/>
  <c r="L17" i="34"/>
  <c r="N16" i="34"/>
  <c r="L16" i="34"/>
  <c r="N15" i="34"/>
  <c r="L15" i="34"/>
  <c r="N14" i="34"/>
  <c r="L14" i="34"/>
  <c r="N13" i="34"/>
  <c r="L13" i="34"/>
  <c r="N12" i="34"/>
  <c r="L12" i="34"/>
  <c r="N11" i="34"/>
  <c r="L11" i="34"/>
  <c r="N10" i="34"/>
  <c r="L10" i="34"/>
  <c r="N9" i="34"/>
  <c r="L9" i="34"/>
  <c r="N8" i="34"/>
  <c r="L8" i="34"/>
  <c r="N7" i="34"/>
  <c r="L7" i="34"/>
  <c r="N6" i="34"/>
  <c r="L6" i="34"/>
  <c r="N5" i="34"/>
  <c r="L5" i="34"/>
  <c r="N4" i="34"/>
  <c r="L4" i="34"/>
  <c r="N3" i="34"/>
  <c r="L3" i="34"/>
  <c r="N44" i="33"/>
  <c r="L44" i="33"/>
  <c r="N43" i="33"/>
  <c r="L43" i="33"/>
  <c r="N42" i="33"/>
  <c r="L42" i="33"/>
  <c r="N41" i="33"/>
  <c r="L41" i="33"/>
  <c r="N40" i="33"/>
  <c r="L40" i="33"/>
  <c r="N39" i="33"/>
  <c r="L39" i="33"/>
  <c r="N38" i="33"/>
  <c r="L38" i="33"/>
  <c r="N37" i="33"/>
  <c r="L37" i="33"/>
  <c r="N36" i="33"/>
  <c r="L36" i="33"/>
  <c r="N35" i="33"/>
  <c r="L35" i="33"/>
  <c r="N34" i="33"/>
  <c r="L34" i="33"/>
  <c r="N33" i="33"/>
  <c r="L33" i="33"/>
  <c r="N32" i="33"/>
  <c r="L32" i="33"/>
  <c r="N31" i="33"/>
  <c r="L31" i="33"/>
  <c r="N30" i="33"/>
  <c r="L30" i="33"/>
  <c r="N29" i="33"/>
  <c r="L29" i="33"/>
  <c r="N28" i="33"/>
  <c r="L28" i="33"/>
  <c r="N27" i="33"/>
  <c r="L27" i="33"/>
  <c r="N26" i="33"/>
  <c r="L26" i="33"/>
  <c r="N25" i="33"/>
  <c r="L25" i="33"/>
  <c r="N24" i="33"/>
  <c r="L24" i="33"/>
  <c r="N23" i="33"/>
  <c r="L23" i="33"/>
  <c r="N22" i="33"/>
  <c r="L22" i="33"/>
  <c r="N21" i="33"/>
  <c r="L21" i="33"/>
  <c r="N20" i="33"/>
  <c r="L20" i="33"/>
  <c r="N19" i="33"/>
  <c r="L19" i="33"/>
  <c r="N18" i="33"/>
  <c r="L18" i="33"/>
  <c r="N17" i="33"/>
  <c r="L17" i="33"/>
  <c r="N16" i="33"/>
  <c r="L16" i="33"/>
  <c r="N15" i="33"/>
  <c r="L15" i="33"/>
  <c r="N14" i="33"/>
  <c r="L14" i="33"/>
  <c r="N13" i="33"/>
  <c r="L13" i="33"/>
  <c r="N12" i="33"/>
  <c r="L12" i="33"/>
  <c r="N11" i="33"/>
  <c r="L11" i="33"/>
  <c r="N10" i="33"/>
  <c r="L10" i="33"/>
  <c r="N9" i="33"/>
  <c r="L9" i="33"/>
  <c r="N8" i="33"/>
  <c r="L8" i="33"/>
  <c r="N7" i="33"/>
  <c r="L7" i="33"/>
  <c r="N6" i="33"/>
  <c r="L6" i="33"/>
  <c r="N5" i="33"/>
  <c r="L5" i="33"/>
  <c r="N4" i="33"/>
  <c r="L4" i="33"/>
  <c r="N3" i="33"/>
  <c r="L3" i="33"/>
  <c r="L45" i="36" l="1"/>
  <c r="N45" i="36"/>
  <c r="N45" i="35"/>
  <c r="L45" i="35"/>
  <c r="L45" i="34"/>
  <c r="N45" i="34"/>
  <c r="L45" i="33"/>
  <c r="N45" i="33"/>
  <c r="N44" i="30"/>
  <c r="L44" i="30"/>
  <c r="N43" i="30"/>
  <c r="L43" i="30"/>
  <c r="N42" i="30"/>
  <c r="L42" i="30"/>
  <c r="N41" i="30"/>
  <c r="L41" i="30"/>
  <c r="N40" i="30"/>
  <c r="L40" i="30"/>
  <c r="N39" i="30"/>
  <c r="L39" i="30"/>
  <c r="N38" i="30"/>
  <c r="L38" i="30"/>
  <c r="N37" i="30"/>
  <c r="L37" i="30"/>
  <c r="N36" i="30"/>
  <c r="L36" i="30"/>
  <c r="N35" i="30"/>
  <c r="L35" i="30"/>
  <c r="N34" i="30"/>
  <c r="L34" i="30"/>
  <c r="N33" i="30"/>
  <c r="L33" i="30"/>
  <c r="N32" i="30"/>
  <c r="L32" i="30"/>
  <c r="N31" i="30"/>
  <c r="L31" i="30"/>
  <c r="N30" i="30"/>
  <c r="L30" i="30"/>
  <c r="N29" i="30"/>
  <c r="L29" i="30"/>
  <c r="N28" i="30"/>
  <c r="L28" i="30"/>
  <c r="N27" i="30"/>
  <c r="L27" i="30"/>
  <c r="N26" i="30"/>
  <c r="L26" i="30"/>
  <c r="N25" i="30"/>
  <c r="L25" i="30"/>
  <c r="N24" i="30"/>
  <c r="L24" i="30"/>
  <c r="N23" i="30"/>
  <c r="L23" i="30"/>
  <c r="N22" i="30"/>
  <c r="L22" i="30"/>
  <c r="N21" i="30"/>
  <c r="L21" i="30"/>
  <c r="N20" i="30"/>
  <c r="L20" i="30"/>
  <c r="N19" i="30"/>
  <c r="L19" i="30"/>
  <c r="N18" i="30"/>
  <c r="L18" i="30"/>
  <c r="N17" i="30"/>
  <c r="L17" i="30"/>
  <c r="N16" i="30"/>
  <c r="L16" i="30"/>
  <c r="N15" i="30"/>
  <c r="L15" i="30"/>
  <c r="N14" i="30"/>
  <c r="L14" i="30"/>
  <c r="N13" i="30"/>
  <c r="L13" i="30"/>
  <c r="N12" i="30"/>
  <c r="L12" i="30"/>
  <c r="N11" i="30"/>
  <c r="L11" i="30"/>
  <c r="N10" i="30"/>
  <c r="L10" i="30"/>
  <c r="N9" i="30"/>
  <c r="L9" i="30"/>
  <c r="N8" i="30"/>
  <c r="L8" i="30"/>
  <c r="N7" i="30"/>
  <c r="L7" i="30"/>
  <c r="N6" i="30"/>
  <c r="L6" i="30"/>
  <c r="N5" i="30"/>
  <c r="L5" i="30"/>
  <c r="N4" i="30"/>
  <c r="L4" i="30"/>
  <c r="N3" i="30"/>
  <c r="L3" i="30"/>
  <c r="N45" i="30" l="1"/>
  <c r="L45" i="30"/>
  <c r="N44" i="1" l="1"/>
  <c r="L44" i="1"/>
  <c r="N43" i="1"/>
  <c r="L43" i="1"/>
  <c r="N42" i="1"/>
  <c r="L42" i="1"/>
  <c r="N41" i="1"/>
  <c r="L41" i="1"/>
  <c r="N40" i="1"/>
  <c r="L40" i="1"/>
  <c r="N39" i="1"/>
  <c r="L39" i="1"/>
  <c r="N38" i="1"/>
  <c r="L38" i="1"/>
  <c r="N37" i="1"/>
  <c r="L37" i="1"/>
  <c r="N36" i="1"/>
  <c r="L36" i="1"/>
  <c r="N35" i="1"/>
  <c r="L35" i="1"/>
  <c r="N34" i="1"/>
  <c r="L34" i="1"/>
  <c r="N33" i="1"/>
  <c r="L33" i="1"/>
  <c r="N32" i="1"/>
  <c r="L32" i="1"/>
  <c r="N31" i="1"/>
  <c r="L31" i="1"/>
  <c r="N30" i="1"/>
  <c r="L30" i="1"/>
  <c r="N29" i="1"/>
  <c r="L29" i="1"/>
  <c r="N28" i="1"/>
  <c r="L28" i="1"/>
  <c r="N27" i="1"/>
  <c r="L27" i="1"/>
  <c r="N26" i="1"/>
  <c r="L26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8" i="1"/>
  <c r="L18" i="1"/>
  <c r="N17" i="1"/>
  <c r="L17" i="1"/>
  <c r="N16" i="1"/>
  <c r="L16" i="1"/>
  <c r="N15" i="1"/>
  <c r="L15" i="1"/>
  <c r="N14" i="1"/>
  <c r="L14" i="1"/>
  <c r="N13" i="1"/>
  <c r="L13" i="1"/>
  <c r="N12" i="1"/>
  <c r="L12" i="1"/>
  <c r="N11" i="1"/>
  <c r="L11" i="1"/>
  <c r="N10" i="1"/>
  <c r="L10" i="1"/>
  <c r="N9" i="1"/>
  <c r="L9" i="1"/>
  <c r="N8" i="1"/>
  <c r="L8" i="1"/>
  <c r="N7" i="1"/>
  <c r="L7" i="1"/>
  <c r="N6" i="1"/>
  <c r="L6" i="1"/>
  <c r="N5" i="1"/>
  <c r="L5" i="1"/>
  <c r="N4" i="1"/>
  <c r="L4" i="1"/>
  <c r="N3" i="1"/>
  <c r="L3" i="1"/>
  <c r="N45" i="1" l="1"/>
  <c r="L45" i="1"/>
</calcChain>
</file>

<file path=xl/sharedStrings.xml><?xml version="1.0" encoding="utf-8"?>
<sst xmlns="http://schemas.openxmlformats.org/spreadsheetml/2006/main" count="3118" uniqueCount="276">
  <si>
    <t>Survey Type:</t>
  </si>
  <si>
    <t>Species:</t>
  </si>
  <si>
    <t>Habitat:</t>
  </si>
  <si>
    <t>Structure:</t>
  </si>
  <si>
    <t>Site:</t>
  </si>
  <si>
    <t>Chinook</t>
  </si>
  <si>
    <t>CH</t>
  </si>
  <si>
    <t>Fast</t>
  </si>
  <si>
    <t>F</t>
  </si>
  <si>
    <t>Natural wood</t>
  </si>
  <si>
    <t>NW</t>
  </si>
  <si>
    <t>Date:</t>
  </si>
  <si>
    <t>Rainbow</t>
  </si>
  <si>
    <t>RT</t>
  </si>
  <si>
    <t>Slow</t>
  </si>
  <si>
    <t>S</t>
  </si>
  <si>
    <t>PW</t>
  </si>
  <si>
    <t>Bull Trout</t>
  </si>
  <si>
    <t>BT</t>
  </si>
  <si>
    <t>Non Turbulent</t>
  </si>
  <si>
    <t>NT</t>
  </si>
  <si>
    <t>Natural boulder</t>
  </si>
  <si>
    <t>NB</t>
  </si>
  <si>
    <t>Visibility:</t>
  </si>
  <si>
    <t>Cutthroat</t>
  </si>
  <si>
    <t>CT</t>
  </si>
  <si>
    <t>Visit:</t>
  </si>
  <si>
    <t>SC</t>
  </si>
  <si>
    <t>Notes:</t>
  </si>
  <si>
    <t>Sculpin</t>
  </si>
  <si>
    <t>Rapid</t>
  </si>
  <si>
    <t>RAP</t>
  </si>
  <si>
    <t>Sucker</t>
  </si>
  <si>
    <t>SU</t>
  </si>
  <si>
    <t>Scour Pool</t>
  </si>
  <si>
    <t>SP</t>
  </si>
  <si>
    <t>Weather:</t>
  </si>
  <si>
    <t>Unknown</t>
  </si>
  <si>
    <t>UNK</t>
  </si>
  <si>
    <t>Riffle</t>
  </si>
  <si>
    <t>E</t>
  </si>
  <si>
    <t>Number</t>
  </si>
  <si>
    <t>Species</t>
  </si>
  <si>
    <t>Size</t>
  </si>
  <si>
    <t>Snorkeler</t>
  </si>
  <si>
    <t>Lane</t>
  </si>
  <si>
    <t>Unit</t>
  </si>
  <si>
    <t>Habitat</t>
  </si>
  <si>
    <t>Structure</t>
  </si>
  <si>
    <t>Time</t>
  </si>
  <si>
    <t xml:space="preserve">Comments </t>
  </si>
  <si>
    <r>
      <rPr>
        <sz val="8"/>
        <color theme="1"/>
        <rFont val="Calibri"/>
        <family val="2"/>
        <scheme val="minor"/>
      </rPr>
      <t xml:space="preserve">depth &lt; 0.61m. </t>
    </r>
    <r>
      <rPr>
        <sz val="11"/>
        <color theme="1"/>
        <rFont val="Calibri"/>
        <family val="2"/>
        <scheme val="minor"/>
      </rPr>
      <t xml:space="preserve">  </t>
    </r>
  </si>
  <si>
    <t xml:space="preserve">Recorder: </t>
  </si>
  <si>
    <t>NoF</t>
  </si>
  <si>
    <t>CoF</t>
  </si>
  <si>
    <r>
      <t xml:space="preserve">Natural off-channel 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</si>
  <si>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Created off-channel  </t>
    </r>
    <r>
      <rPr>
        <b/>
        <sz val="10"/>
        <color theme="1"/>
        <rFont val="Calibri"/>
        <family val="2"/>
        <scheme val="minor"/>
      </rPr>
      <t xml:space="preserve"> </t>
    </r>
  </si>
  <si>
    <t>RIF</t>
  </si>
  <si>
    <t>OCP</t>
  </si>
  <si>
    <t>EG</t>
  </si>
  <si>
    <t>Snorkelers</t>
  </si>
  <si>
    <t>LANES</t>
  </si>
  <si>
    <t>BP</t>
  </si>
  <si>
    <t>Mtn whitefish</t>
  </si>
  <si>
    <t>MWF</t>
  </si>
  <si>
    <t>of:</t>
  </si>
  <si>
    <t>Off-Channel Pool</t>
  </si>
  <si>
    <t>Placed wood</t>
  </si>
  <si>
    <t>Beaver Pool</t>
  </si>
  <si>
    <t>PAGE: 1</t>
  </si>
  <si>
    <t>AM</t>
  </si>
  <si>
    <t>NFO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</si>
  <si>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</si>
  <si>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</si>
  <si>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</si>
  <si>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</si>
  <si>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</si>
  <si>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</si>
  <si>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</si>
  <si>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</si>
  <si>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</si>
  <si>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</si>
  <si>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</si>
  <si>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</si>
  <si>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</si>
  <si>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</si>
  <si>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</si>
  <si>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</si>
  <si>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</si>
  <si>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</si>
  <si>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</si>
  <si>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</si>
  <si>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</si>
  <si>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</si>
  <si>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</si>
  <si>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</si>
  <si>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</si>
  <si>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</si>
  <si>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</si>
  <si>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</si>
  <si>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</si>
  <si>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</si>
  <si>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</si>
  <si>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</si>
  <si>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</si>
  <si>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</si>
  <si>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</si>
  <si>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</si>
  <si>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</si>
  <si>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U38</t>
  </si>
  <si>
    <t>U39</t>
  </si>
  <si>
    <t>U40</t>
  </si>
  <si>
    <t>U41</t>
  </si>
  <si>
    <t>SiteTotal</t>
  </si>
  <si>
    <t>Totals……………………………………………………</t>
  </si>
  <si>
    <t>Site</t>
  </si>
  <si>
    <t>Site #</t>
  </si>
  <si>
    <t>Stream and Location</t>
  </si>
  <si>
    <t>Category</t>
  </si>
  <si>
    <t>N</t>
  </si>
  <si>
    <t>Latitude</t>
  </si>
  <si>
    <t>Longitude</t>
  </si>
  <si>
    <t>Floodplain Enhancement-Treatment</t>
  </si>
  <si>
    <t>YFI00001-001971</t>
  </si>
  <si>
    <t>Yankee Fork new channel above West Fork</t>
  </si>
  <si>
    <t>Reconnection-Treatment</t>
  </si>
  <si>
    <t>UTM 11T WGS84/NAD83</t>
  </si>
  <si>
    <t>YFI00001-000595</t>
  </si>
  <si>
    <t>YFT00001-001196</t>
  </si>
  <si>
    <t>595 extended</t>
  </si>
  <si>
    <t>1196 extended</t>
  </si>
  <si>
    <r>
      <t xml:space="preserve">Floodplain Enhancement-Control </t>
    </r>
    <r>
      <rPr>
        <sz val="11"/>
        <color theme="1"/>
        <rFont val="Calibri"/>
        <family val="2"/>
      </rPr>
      <t>→ Treatment</t>
    </r>
  </si>
  <si>
    <t>Yankee Fork Sluters Pitt/at Bonanza extended</t>
  </si>
  <si>
    <t>Yankee Fork at bridge below Bonanza extended</t>
  </si>
  <si>
    <t>GE</t>
  </si>
  <si>
    <t>E. Galloway</t>
  </si>
  <si>
    <t>Placed boulder</t>
  </si>
  <si>
    <t>PB</t>
  </si>
  <si>
    <t>Edge:&gt; 25m BFW, vel &lt; 0.15 m/s,</t>
  </si>
  <si>
    <t>LWD</t>
  </si>
  <si>
    <t>2021 Yankee Fork Restoration Project Columbia Habitat Monitoring Program (CHaMP) Shoshone Bannock Tribes Snorkel Surveys</t>
  </si>
  <si>
    <t>YFI00001-001129</t>
  </si>
  <si>
    <t>1129 subsample</t>
  </si>
  <si>
    <t xml:space="preserve">Pond Series 3 lower reach subsample </t>
  </si>
  <si>
    <t>Adaptive Management-Treatment</t>
  </si>
  <si>
    <t>YFI00001-002159</t>
  </si>
  <si>
    <t>2159 subsample</t>
  </si>
  <si>
    <t>Pond Series 3 upper reach subsample</t>
  </si>
  <si>
    <t>210PM</t>
  </si>
  <si>
    <t>WF</t>
  </si>
  <si>
    <t>DRY</t>
  </si>
  <si>
    <t>OPEN</t>
  </si>
  <si>
    <t>Rif</t>
  </si>
  <si>
    <t>side channel</t>
  </si>
  <si>
    <t>340PM</t>
  </si>
  <si>
    <t>OPEN- all white/scuffed up</t>
  </si>
  <si>
    <t>H₂O temp:</t>
  </si>
  <si>
    <t>14°</t>
  </si>
  <si>
    <t>1-GE</t>
  </si>
  <si>
    <t>RIGHT</t>
  </si>
  <si>
    <t>2- AM</t>
  </si>
  <si>
    <t>MIDDLE</t>
  </si>
  <si>
    <t>3-EG</t>
  </si>
  <si>
    <t>LEFT</t>
  </si>
  <si>
    <t>partly coudy</t>
  </si>
  <si>
    <t xml:space="preserve">2021 Snorkel Survey Form </t>
  </si>
  <si>
    <t>Date- 09/9/2021</t>
  </si>
  <si>
    <t>Site -1971  YF mainstem</t>
  </si>
  <si>
    <t>Time- 930 AM</t>
  </si>
  <si>
    <t>Recorders- EG, AM</t>
  </si>
  <si>
    <t>Length</t>
  </si>
  <si>
    <t>Width</t>
  </si>
  <si>
    <t xml:space="preserve">Site -1971 side channel 2 </t>
  </si>
  <si>
    <t>Time- 1156 AM</t>
  </si>
  <si>
    <t>SC2Inlet</t>
  </si>
  <si>
    <t>SC2 seg1</t>
  </si>
  <si>
    <t>DRY, sc2 seg 1</t>
  </si>
  <si>
    <t>SC2outlet</t>
  </si>
  <si>
    <t>snorkel</t>
  </si>
  <si>
    <t>1196e</t>
  </si>
  <si>
    <t>15°C</t>
  </si>
  <si>
    <t>BB LOWER</t>
  </si>
  <si>
    <t>Training and Survey</t>
  </si>
  <si>
    <t>1- Am</t>
  </si>
  <si>
    <t>2-EG</t>
  </si>
  <si>
    <t>3-GE</t>
  </si>
  <si>
    <t>POOL</t>
  </si>
  <si>
    <t>1000am</t>
  </si>
  <si>
    <t>MAIN STEM</t>
  </si>
  <si>
    <t>SIDE CHANNEL</t>
  </si>
  <si>
    <t>of:  1</t>
  </si>
  <si>
    <t>14°C</t>
  </si>
  <si>
    <t>Bonanza - mid</t>
  </si>
  <si>
    <t>NO VISUAL</t>
  </si>
  <si>
    <t>no visual</t>
  </si>
  <si>
    <t>RIFFLE</t>
  </si>
  <si>
    <t>Date:  8/05/2021</t>
  </si>
  <si>
    <t>Site -1196</t>
  </si>
  <si>
    <t xml:space="preserve">Time- 900am </t>
  </si>
  <si>
    <t>length</t>
  </si>
  <si>
    <t>width</t>
  </si>
  <si>
    <t>comments</t>
  </si>
  <si>
    <t>pool</t>
  </si>
  <si>
    <t>FOOT 10TH</t>
  </si>
  <si>
    <t>Non Trub</t>
  </si>
  <si>
    <t>Date- 08/19/2021</t>
  </si>
  <si>
    <t>Site -595  Bonanza MID</t>
  </si>
  <si>
    <t xml:space="preserve">Time-  1020am </t>
  </si>
  <si>
    <t>NO MEASURE DRY</t>
  </si>
  <si>
    <t xml:space="preserve">Fish salvage was conducted several times in these areas, not sure what dates. </t>
  </si>
  <si>
    <t>Aug. 3 - 6 was turbid, just took measurments</t>
  </si>
  <si>
    <t>Aug. 11-12 turbid</t>
  </si>
  <si>
    <t xml:space="preserve">Aug. 18 finally snorkeled </t>
  </si>
  <si>
    <t>and by Aug 18, nothing really connected above unit 13</t>
  </si>
  <si>
    <t xml:space="preserve">Above  Unit 13  was electro shocked many times  for fish salvage projects </t>
  </si>
  <si>
    <t>Cassi Wood</t>
  </si>
  <si>
    <t>13°C</t>
  </si>
  <si>
    <t>PS3 lower</t>
  </si>
  <si>
    <t>O</t>
  </si>
  <si>
    <t xml:space="preserve">START TIME </t>
  </si>
  <si>
    <t>VEG</t>
  </si>
  <si>
    <t>O OPEN</t>
  </si>
  <si>
    <t>A LOOP</t>
  </si>
  <si>
    <t>1 W/ WHIRLING</t>
  </si>
  <si>
    <t>ALCOVE</t>
  </si>
  <si>
    <t>DEAD</t>
  </si>
  <si>
    <t>WHIRLING</t>
  </si>
  <si>
    <t>EDGE/BANK</t>
  </si>
  <si>
    <t>EDGE</t>
  </si>
  <si>
    <t>A</t>
  </si>
  <si>
    <t>CW</t>
  </si>
  <si>
    <t>END TIME</t>
  </si>
  <si>
    <t>CLEAR- SUNNY, HOT</t>
  </si>
  <si>
    <t>DATE:  08/25/2021</t>
  </si>
  <si>
    <t>SITE : 1129- Lower PS3</t>
  </si>
  <si>
    <t>TIME: 1040 am</t>
  </si>
  <si>
    <t>RECORDERS:  EG/ AM</t>
  </si>
  <si>
    <t>main channel</t>
  </si>
  <si>
    <t>NOTE: U1  &amp; U3 ARE MAIN CHANNEL</t>
  </si>
  <si>
    <t>U2&amp; U4 ARE ALCOVES</t>
  </si>
  <si>
    <t>of: 1</t>
  </si>
  <si>
    <t>1129s</t>
  </si>
  <si>
    <t>2159s</t>
  </si>
  <si>
    <t>Upper PS3</t>
  </si>
  <si>
    <t>BW</t>
  </si>
  <si>
    <t>BEVER DAM</t>
  </si>
  <si>
    <t>FROG</t>
  </si>
  <si>
    <t>BEAVER DAM</t>
  </si>
  <si>
    <t>BANK</t>
  </si>
  <si>
    <t>TOOK OPPOSITE LANE</t>
  </si>
  <si>
    <t xml:space="preserve">TOOK OWN LANE BACK </t>
  </si>
  <si>
    <t>1 WHIRLING</t>
  </si>
  <si>
    <t>1 DEAD</t>
  </si>
  <si>
    <t>SITE:  2159  UPPER PS3</t>
  </si>
  <si>
    <t xml:space="preserve">TIME: 507 PM </t>
  </si>
  <si>
    <t>RECORDERS:  EG / AM</t>
  </si>
  <si>
    <t xml:space="preserve">DRY, DID NOT MEASURE </t>
  </si>
  <si>
    <t xml:space="preserve">2021 YFRP River Survey </t>
  </si>
  <si>
    <t>Avg Width</t>
  </si>
  <si>
    <t>WetArea</t>
  </si>
  <si>
    <t>ft^2</t>
  </si>
  <si>
    <t>m^2</t>
  </si>
  <si>
    <t>measured in feet................................................................</t>
  </si>
  <si>
    <t>SiteAvgW</t>
  </si>
  <si>
    <t>avg width</t>
  </si>
  <si>
    <t>measured in feet..................................</t>
  </si>
  <si>
    <t>wet area</t>
  </si>
  <si>
    <t>Note:  CHaMP protocol includes backwater/alcoves in pool count (2013 Field Version)</t>
  </si>
  <si>
    <t>measured in feet...................................................</t>
  </si>
  <si>
    <t>AvgWidth</t>
  </si>
  <si>
    <t>YF mainstem: 1-10</t>
  </si>
  <si>
    <t>Side Channel 2: 11-22</t>
  </si>
  <si>
    <t>measured in feet................................................</t>
  </si>
  <si>
    <t>ft</t>
  </si>
  <si>
    <t>m</t>
  </si>
  <si>
    <t>measured in feet...............................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</si>
</sst>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0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 applyAlignment="1"/>
    <xf numFmtId="0" fontId="0" fillId="0" borderId="4" xfId="0" applyBorder="1"/>
    <xf numFmtId="0" fontId="1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3" fillId="0" borderId="7" xfId="0" applyFont="1" applyBorder="1"/>
    <xf numFmtId="0" fontId="4" fillId="0" borderId="0" xfId="0" applyFont="1"/>
    <xf numFmtId="0" fontId="5" fillId="0" borderId="8" xfId="0" applyFont="1" applyBorder="1" applyAlignment="1">
      <alignment horizontal="center"/>
    </xf>
    <xf numFmtId="0" fontId="4" fillId="0" borderId="0" xfId="0" applyFont="1" applyFill="1" applyBorder="1"/>
    <xf numFmtId="0" fontId="4" fillId="0" borderId="6" xfId="0" applyFont="1" applyBorder="1"/>
    <xf numFmtId="0" fontId="3" fillId="0" borderId="7" xfId="0" applyFont="1" applyFill="1" applyBorder="1"/>
    <xf numFmtId="0" fontId="6" fillId="0" borderId="0" xfId="0" applyFont="1"/>
    <xf numFmtId="0" fontId="3" fillId="0" borderId="0" xfId="0" applyFont="1"/>
    <xf numFmtId="0" fontId="1" fillId="0" borderId="8" xfId="0" applyFont="1" applyBorder="1" applyAlignment="1">
      <alignment horizontal="center" vertical="center"/>
    </xf>
    <xf numFmtId="0" fontId="0" fillId="0" borderId="6" xfId="0" applyBorder="1"/>
    <xf numFmtId="0" fontId="0" fillId="0" borderId="12" xfId="0" applyBorder="1"/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1" fillId="0" borderId="1" xfId="0" applyFont="1" applyBorder="1"/>
    <xf numFmtId="0" fontId="1" fillId="0" borderId="11" xfId="0" applyFont="1" applyBorder="1"/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1" fillId="0" borderId="1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1" fontId="1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1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6" xfId="0" applyFill="1" applyBorder="1" applyAlignment="1"/>
    <xf numFmtId="0" fontId="0" fillId="0" borderId="16" xfId="0" applyNumberFormat="1" applyFill="1" applyBorder="1" applyAlignment="1"/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7" xfId="0" applyFont="1" applyBorder="1"/>
    <xf numFmtId="0" fontId="0" fillId="0" borderId="16" xfId="0" applyBorder="1" applyAlignment="1">
      <alignment horizontal="center"/>
    </xf>
    <xf numFmtId="0" fontId="1" fillId="0" borderId="17" xfId="0" applyFont="1" applyBorder="1"/>
    <xf numFmtId="0" fontId="1" fillId="0" borderId="14" xfId="0" applyFont="1" applyBorder="1"/>
    <xf numFmtId="0" fontId="5" fillId="0" borderId="9" xfId="0" applyFont="1" applyBorder="1"/>
    <xf numFmtId="0" fontId="1" fillId="0" borderId="19" xfId="0" applyFont="1" applyBorder="1"/>
    <xf numFmtId="0" fontId="1" fillId="0" borderId="23" xfId="0" applyFont="1" applyBorder="1"/>
    <xf numFmtId="14" fontId="0" fillId="2" borderId="1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8" fillId="0" borderId="0" xfId="0" applyFont="1" applyFill="1"/>
    <xf numFmtId="0" fontId="8" fillId="0" borderId="0" xfId="0" applyFont="1"/>
    <xf numFmtId="165" fontId="0" fillId="0" borderId="0" xfId="0" applyNumberFormat="1"/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/>
    <xf numFmtId="0" fontId="0" fillId="0" borderId="0" xfId="0" applyAlignment="1">
      <alignment horizontal="right"/>
    </xf>
  </cellXfs>
  <cellStyles count="3">
    <cellStyle name="Normal" xfId="0" builtinId="0"/>
    <cellStyle name="Normal 10" xfId="2" xr:uid="{8A35C540-F483-4309-8C36-42C6E72FF2E8}"/>
    <cellStyle name="Normal 8" xfId="1" xr:uid="{8B35CA48-E22B-4B4B-B469-A87F6939EDC3}"/>
  </cellStyles>
  <dxfs count="0"/>
  <tableStyles count="0" defaultTableStyle="TableStyleMedium2" defaultPivotStyle="PivotStyleLight16"/>
  <colors>
    <mruColors>
      <color rgb="FFFF00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68AB2-8CAA-4D22-B519-ABADD6199CB1}">
  <dimension ref="A1:H7"/>
  <sheetViews>
    <sheetView workbookViewId="0">
      <pane xSplit="2" topLeftCell="C1" activePane="topRight" state="frozen"/>
      <selection pane="topRight" activeCell="A8" sqref="A8"/>
    </sheetView>
  </sheetViews>
  <sheetFormatPr defaultColWidth="9" defaultRowHeight="14.5" x14ac:dyDescent="0.35"/>
  <cols>
    <col min="1" max="1" width="16.36328125" style="62" customWidth="1"/>
    <col min="2" max="2" width="17.54296875" style="54" customWidth="1"/>
    <col min="3" max="3" width="39.6328125" style="62" customWidth="1"/>
    <col min="4" max="4" width="40.6328125" style="62" customWidth="1"/>
    <col min="5" max="5" width="8.54296875" style="65" customWidth="1"/>
    <col min="6" max="6" width="10.453125" style="65" customWidth="1"/>
    <col min="7" max="7" width="8.54296875" style="66" customWidth="1"/>
    <col min="8" max="8" width="10.453125" style="66" customWidth="1"/>
    <col min="9" max="16384" width="9" style="63"/>
  </cols>
  <sheetData>
    <row r="1" spans="1:8" s="54" customFormat="1" x14ac:dyDescent="0.35">
      <c r="A1" s="49" t="s">
        <v>140</v>
      </c>
      <c r="B1" s="50"/>
      <c r="C1" s="49"/>
      <c r="D1" s="49"/>
      <c r="E1" s="51" t="s">
        <v>126</v>
      </c>
      <c r="F1" s="52"/>
      <c r="G1" s="53"/>
      <c r="H1" s="53"/>
    </row>
    <row r="2" spans="1:8" s="54" customFormat="1" x14ac:dyDescent="0.35">
      <c r="A2" s="55" t="s">
        <v>115</v>
      </c>
      <c r="B2" s="56" t="s">
        <v>116</v>
      </c>
      <c r="C2" s="57" t="s">
        <v>117</v>
      </c>
      <c r="D2" s="57" t="s">
        <v>118</v>
      </c>
      <c r="E2" s="58" t="s">
        <v>40</v>
      </c>
      <c r="F2" s="58" t="s">
        <v>119</v>
      </c>
      <c r="G2" s="59" t="s">
        <v>120</v>
      </c>
      <c r="H2" s="59" t="s">
        <v>121</v>
      </c>
    </row>
    <row r="3" spans="1:8" x14ac:dyDescent="0.35">
      <c r="A3" s="60" t="s">
        <v>127</v>
      </c>
      <c r="B3" s="56" t="s">
        <v>129</v>
      </c>
      <c r="C3" s="72" t="s">
        <v>132</v>
      </c>
      <c r="D3" s="60" t="s">
        <v>122</v>
      </c>
      <c r="E3" s="61">
        <v>681222</v>
      </c>
      <c r="F3" s="61">
        <v>4915802</v>
      </c>
      <c r="G3" s="64">
        <v>44.37285</v>
      </c>
      <c r="H3" s="64">
        <v>-114.72537</v>
      </c>
    </row>
    <row r="4" spans="1:8" x14ac:dyDescent="0.35">
      <c r="A4" s="60" t="s">
        <v>128</v>
      </c>
      <c r="B4" s="56" t="s">
        <v>130</v>
      </c>
      <c r="C4" s="72" t="s">
        <v>133</v>
      </c>
      <c r="D4" s="60" t="s">
        <v>131</v>
      </c>
      <c r="E4" s="61">
        <v>681263</v>
      </c>
      <c r="F4" s="61">
        <v>4915233</v>
      </c>
      <c r="G4" s="64">
        <v>44.367719999999998</v>
      </c>
      <c r="H4" s="64">
        <v>-114.72505</v>
      </c>
    </row>
    <row r="5" spans="1:8" x14ac:dyDescent="0.35">
      <c r="A5" s="60" t="s">
        <v>123</v>
      </c>
      <c r="B5" s="56">
        <v>1971</v>
      </c>
      <c r="C5" s="73" t="s">
        <v>124</v>
      </c>
      <c r="D5" s="60" t="s">
        <v>125</v>
      </c>
      <c r="E5" s="61">
        <v>680861</v>
      </c>
      <c r="F5" s="61">
        <v>4913727</v>
      </c>
      <c r="G5" s="64">
        <v>44.354272453383501</v>
      </c>
      <c r="H5" s="64">
        <v>-114.730614163998</v>
      </c>
    </row>
    <row r="6" spans="1:8" x14ac:dyDescent="0.35">
      <c r="A6" s="60" t="s">
        <v>141</v>
      </c>
      <c r="B6" s="56" t="s">
        <v>142</v>
      </c>
      <c r="C6" s="73" t="s">
        <v>143</v>
      </c>
      <c r="D6" s="60" t="s">
        <v>144</v>
      </c>
      <c r="E6" s="61">
        <v>681610</v>
      </c>
      <c r="F6" s="61">
        <v>4912098</v>
      </c>
      <c r="G6" s="64">
        <v>44.3394311895429</v>
      </c>
      <c r="H6" s="64">
        <v>-114.721791284937</v>
      </c>
    </row>
    <row r="7" spans="1:8" x14ac:dyDescent="0.35">
      <c r="A7" s="60" t="s">
        <v>145</v>
      </c>
      <c r="B7" s="56" t="s">
        <v>146</v>
      </c>
      <c r="C7" s="73" t="s">
        <v>147</v>
      </c>
      <c r="D7" s="60" t="s">
        <v>144</v>
      </c>
      <c r="E7" s="61">
        <v>681454</v>
      </c>
      <c r="F7" s="61">
        <v>4912518</v>
      </c>
      <c r="G7" s="64">
        <v>44.343248451006097</v>
      </c>
      <c r="H7" s="64">
        <v>-114.723600424563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BFFA9-1B7D-43D0-BF69-F4593E8E386E}">
  <dimension ref="A1:AB89"/>
  <sheetViews>
    <sheetView tabSelected="1" zoomScaleNormal="100" workbookViewId="0"/>
  </sheetViews>
  <sheetFormatPr defaultRowHeight="14.5" x14ac:dyDescent="0.35"/>
  <cols>
    <col min="1" max="1" width="11" customWidth="1"/>
    <col min="2" max="2" width="9.7265625" customWidth="1"/>
    <col min="3" max="3" width="11.6328125" customWidth="1"/>
    <col min="7" max="7" width="16" customWidth="1"/>
    <col min="9" max="9" width="10.6328125" customWidth="1"/>
    <col min="10" max="10" width="10.90625" customWidth="1"/>
    <col min="11" max="11" width="8.08984375" customWidth="1"/>
    <col min="12" max="12" width="8.6328125" customWidth="1"/>
    <col min="13" max="15" width="8.453125" customWidth="1"/>
    <col min="25" max="26" width="8.7265625" style="98"/>
  </cols>
  <sheetData>
    <row r="1" spans="1:28" ht="15.5" thickTop="1" thickBot="1" x14ac:dyDescent="0.4">
      <c r="A1" s="1"/>
      <c r="B1" s="2"/>
      <c r="C1" s="2"/>
      <c r="D1" s="3" t="s">
        <v>165</v>
      </c>
      <c r="E1" s="2"/>
      <c r="F1" s="2"/>
      <c r="G1" s="2"/>
      <c r="H1" s="4"/>
      <c r="I1" s="37" t="s">
        <v>69</v>
      </c>
      <c r="J1" s="45" t="s">
        <v>190</v>
      </c>
      <c r="K1" s="48" t="s">
        <v>114</v>
      </c>
      <c r="L1" s="34"/>
      <c r="M1" s="35"/>
      <c r="N1" s="35"/>
      <c r="Q1" t="s">
        <v>205</v>
      </c>
      <c r="U1" t="s">
        <v>257</v>
      </c>
      <c r="AA1" t="s">
        <v>206</v>
      </c>
    </row>
    <row r="2" spans="1:28" ht="15.5" thickTop="1" thickBot="1" x14ac:dyDescent="0.4">
      <c r="A2" s="37" t="s">
        <v>52</v>
      </c>
      <c r="B2" s="2" t="s">
        <v>134</v>
      </c>
      <c r="C2" s="2"/>
      <c r="D2" s="3"/>
      <c r="E2" s="2"/>
      <c r="F2" s="2"/>
      <c r="G2" s="6"/>
      <c r="H2" s="32"/>
      <c r="I2" s="37" t="s">
        <v>60</v>
      </c>
      <c r="J2" s="5" t="s">
        <v>61</v>
      </c>
      <c r="K2" s="34" t="s">
        <v>46</v>
      </c>
      <c r="L2" s="34" t="s">
        <v>41</v>
      </c>
      <c r="M2" s="34" t="s">
        <v>42</v>
      </c>
      <c r="N2" s="34" t="s">
        <v>41</v>
      </c>
      <c r="O2" s="34" t="s">
        <v>42</v>
      </c>
      <c r="Q2" t="s">
        <v>207</v>
      </c>
      <c r="AA2" t="s">
        <v>169</v>
      </c>
    </row>
    <row r="3" spans="1:28" ht="15.5" thickTop="1" thickBot="1" x14ac:dyDescent="0.4">
      <c r="A3" s="37" t="s">
        <v>0</v>
      </c>
      <c r="B3" s="33" t="s">
        <v>178</v>
      </c>
      <c r="C3" s="7" t="s">
        <v>1</v>
      </c>
      <c r="D3" s="8"/>
      <c r="E3" s="7" t="s">
        <v>2</v>
      </c>
      <c r="F3" s="9"/>
      <c r="G3" s="10" t="s">
        <v>3</v>
      </c>
      <c r="H3" s="8"/>
      <c r="I3" s="35" t="s">
        <v>70</v>
      </c>
      <c r="J3" s="9">
        <v>1</v>
      </c>
      <c r="K3" s="46" t="s">
        <v>72</v>
      </c>
      <c r="L3" s="46">
        <f>SUMIFS($A$11:$A$401,$B$11:$B$401,"CH",$F$11:$F$401,"1")</f>
        <v>0</v>
      </c>
      <c r="M3" s="46" t="s">
        <v>6</v>
      </c>
      <c r="N3" s="46">
        <f>SUMIFS($A$11:$A$401,$B$11:$B$401,"RT",$F$11:$F$401,"1")</f>
        <v>0</v>
      </c>
      <c r="O3" s="46" t="s">
        <v>13</v>
      </c>
      <c r="S3" t="s">
        <v>262</v>
      </c>
    </row>
    <row r="4" spans="1:28" ht="15" thickTop="1" x14ac:dyDescent="0.35">
      <c r="A4" s="78" t="s">
        <v>4</v>
      </c>
      <c r="B4" s="84">
        <v>595</v>
      </c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5" t="s">
        <v>10</v>
      </c>
      <c r="I4" s="35" t="s">
        <v>59</v>
      </c>
      <c r="J4" s="9">
        <v>2</v>
      </c>
      <c r="K4" s="46" t="s">
        <v>73</v>
      </c>
      <c r="L4" s="46">
        <f>SUMIFS($A$11:$A$401,$B$11:$B$401,"CH",$F$11:$F$401,"2")</f>
        <v>0</v>
      </c>
      <c r="M4" s="46" t="s">
        <v>6</v>
      </c>
      <c r="N4" s="46">
        <f>SUMIFS($A$11:$A$401,$B$11:$B$401,"RT",$F$11:$F$401,"2")</f>
        <v>0</v>
      </c>
      <c r="O4" s="46" t="s">
        <v>13</v>
      </c>
      <c r="Q4" t="s">
        <v>47</v>
      </c>
      <c r="R4" t="s">
        <v>46</v>
      </c>
      <c r="S4" t="s">
        <v>170</v>
      </c>
      <c r="T4" t="s">
        <v>171</v>
      </c>
      <c r="U4" t="s">
        <v>171</v>
      </c>
      <c r="V4" t="s">
        <v>171</v>
      </c>
      <c r="W4" t="s">
        <v>171</v>
      </c>
      <c r="X4" t="s">
        <v>171</v>
      </c>
      <c r="Y4" s="98" t="s">
        <v>258</v>
      </c>
      <c r="Z4" s="98" t="s">
        <v>259</v>
      </c>
      <c r="AB4" t="s">
        <v>50</v>
      </c>
    </row>
    <row r="5" spans="1:28" x14ac:dyDescent="0.35">
      <c r="A5" s="82" t="s">
        <v>11</v>
      </c>
      <c r="B5" s="83">
        <v>44427</v>
      </c>
      <c r="C5" s="11" t="s">
        <v>12</v>
      </c>
      <c r="D5" s="12" t="s">
        <v>13</v>
      </c>
      <c r="E5" s="13" t="s">
        <v>14</v>
      </c>
      <c r="F5" s="12" t="s">
        <v>15</v>
      </c>
      <c r="G5" s="14" t="s">
        <v>67</v>
      </c>
      <c r="H5" s="15" t="s">
        <v>16</v>
      </c>
      <c r="I5" s="35"/>
      <c r="J5" s="9"/>
      <c r="K5" s="46" t="s">
        <v>74</v>
      </c>
      <c r="L5" s="46">
        <f>SUMIFS($A$11:$A$401,$B$11:$B$401,"CH",$F$11:$F$401,"3")</f>
        <v>0</v>
      </c>
      <c r="M5" s="46" t="s">
        <v>6</v>
      </c>
      <c r="N5" s="46">
        <f>SUMIFS($A$11:$A$401,$B$11:$B$401,"RT",$F$11:$F$401,"3")</f>
        <v>3</v>
      </c>
      <c r="O5" s="46" t="s">
        <v>13</v>
      </c>
      <c r="Q5" t="s">
        <v>57</v>
      </c>
      <c r="R5">
        <v>1</v>
      </c>
      <c r="S5" t="s">
        <v>150</v>
      </c>
      <c r="AB5" t="s">
        <v>208</v>
      </c>
    </row>
    <row r="6" spans="1:28" x14ac:dyDescent="0.35">
      <c r="A6" s="79" t="s">
        <v>156</v>
      </c>
      <c r="B6" s="67" t="s">
        <v>191</v>
      </c>
      <c r="C6" s="11" t="s">
        <v>17</v>
      </c>
      <c r="D6" s="12" t="s">
        <v>18</v>
      </c>
      <c r="E6" s="13" t="s">
        <v>19</v>
      </c>
      <c r="F6" s="12" t="s">
        <v>20</v>
      </c>
      <c r="G6" s="14" t="s">
        <v>21</v>
      </c>
      <c r="H6" s="15" t="s">
        <v>22</v>
      </c>
      <c r="I6" s="35"/>
      <c r="J6" s="9"/>
      <c r="K6" s="46" t="s">
        <v>75</v>
      </c>
      <c r="L6" s="46">
        <f>SUMIFS($A$11:$A$401,$B$11:$B$401,"CH",$F$11:$F$401,"4")</f>
        <v>0</v>
      </c>
      <c r="M6" s="46" t="s">
        <v>6</v>
      </c>
      <c r="N6" s="46">
        <f>SUMIFS($A$11:$A$401,$B$11:$B$401,"RT",$F$11:$F$401,"4")</f>
        <v>0</v>
      </c>
      <c r="O6" s="46" t="s">
        <v>13</v>
      </c>
      <c r="Q6" t="s">
        <v>20</v>
      </c>
      <c r="R6">
        <v>2</v>
      </c>
      <c r="S6" t="s">
        <v>150</v>
      </c>
      <c r="AB6" t="s">
        <v>208</v>
      </c>
    </row>
    <row r="7" spans="1:28" x14ac:dyDescent="0.35">
      <c r="A7" s="80" t="s">
        <v>23</v>
      </c>
      <c r="B7" s="68">
        <v>2</v>
      </c>
      <c r="C7" s="11" t="s">
        <v>24</v>
      </c>
      <c r="D7" s="12" t="s">
        <v>25</v>
      </c>
      <c r="E7" s="11" t="s">
        <v>68</v>
      </c>
      <c r="F7" s="12" t="s">
        <v>62</v>
      </c>
      <c r="G7" s="16" t="s">
        <v>136</v>
      </c>
      <c r="H7" s="70" t="s">
        <v>137</v>
      </c>
      <c r="I7" s="35"/>
      <c r="J7" s="9"/>
      <c r="K7" s="46" t="s">
        <v>76</v>
      </c>
      <c r="L7" s="46">
        <f>SUMIFS($A$11:$A$401,$B$11:$B$401,"CH",$F$11:$F$401,"5")</f>
        <v>0</v>
      </c>
      <c r="M7" s="46" t="s">
        <v>6</v>
      </c>
      <c r="N7" s="46">
        <f>SUMIFS($A$11:$A$401,$B$11:$B$401,"RT",$F$11:$F$401,"5")</f>
        <v>0</v>
      </c>
      <c r="O7" s="46" t="s">
        <v>13</v>
      </c>
      <c r="Q7" t="s">
        <v>186</v>
      </c>
      <c r="R7">
        <v>3</v>
      </c>
      <c r="S7">
        <v>118</v>
      </c>
      <c r="T7">
        <v>25.5</v>
      </c>
      <c r="U7">
        <v>30</v>
      </c>
      <c r="V7">
        <v>31</v>
      </c>
      <c r="W7">
        <v>42</v>
      </c>
      <c r="Y7" s="98">
        <f>AVERAGE(T7:X7)</f>
        <v>32.125</v>
      </c>
      <c r="Z7" s="98">
        <f>S7*Y7</f>
        <v>3790.75</v>
      </c>
    </row>
    <row r="8" spans="1:28" ht="15" thickBot="1" x14ac:dyDescent="0.4">
      <c r="A8" s="81" t="s">
        <v>26</v>
      </c>
      <c r="B8" s="74">
        <v>1</v>
      </c>
      <c r="C8" s="13" t="s">
        <v>63</v>
      </c>
      <c r="D8" s="12" t="s">
        <v>64</v>
      </c>
      <c r="E8" s="13" t="s">
        <v>66</v>
      </c>
      <c r="F8" s="12" t="s">
        <v>58</v>
      </c>
      <c r="G8" s="16" t="s">
        <v>55</v>
      </c>
      <c r="H8" s="15" t="s">
        <v>53</v>
      </c>
      <c r="I8" s="35"/>
      <c r="J8" s="9"/>
      <c r="K8" s="46" t="s">
        <v>77</v>
      </c>
      <c r="L8" s="46">
        <f>SUMIFS($A$11:$A$401,$B$11:$B$401,"CH",$F$11:$F$401,"6")</f>
        <v>0</v>
      </c>
      <c r="M8" s="46" t="s">
        <v>6</v>
      </c>
      <c r="N8" s="46">
        <f>SUMIFS($A$11:$A$401,$B$11:$B$401,"RT",$F$11:$F$401,"6")</f>
        <v>0</v>
      </c>
      <c r="O8" s="46" t="s">
        <v>13</v>
      </c>
      <c r="Q8" t="s">
        <v>20</v>
      </c>
      <c r="R8">
        <v>4</v>
      </c>
      <c r="S8" t="s">
        <v>150</v>
      </c>
      <c r="T8" t="s">
        <v>150</v>
      </c>
    </row>
    <row r="9" spans="1:28" ht="15.5" thickTop="1" thickBot="1" x14ac:dyDescent="0.4">
      <c r="A9" s="38" t="s">
        <v>28</v>
      </c>
      <c r="B9" s="75"/>
      <c r="C9" s="11" t="s">
        <v>29</v>
      </c>
      <c r="D9" s="12" t="s">
        <v>27</v>
      </c>
      <c r="E9" s="18" t="s">
        <v>30</v>
      </c>
      <c r="F9" s="12" t="s">
        <v>31</v>
      </c>
      <c r="G9" s="17" t="s">
        <v>56</v>
      </c>
      <c r="H9" s="71" t="s">
        <v>54</v>
      </c>
      <c r="I9" s="69"/>
      <c r="J9" s="25"/>
      <c r="K9" s="46" t="s">
        <v>78</v>
      </c>
      <c r="L9" s="46">
        <f>SUMIFS($A$11:$A$401,$B$11:$B$401,"CH",$F$11:$F$401,"7")</f>
        <v>0</v>
      </c>
      <c r="M9" s="46" t="s">
        <v>6</v>
      </c>
      <c r="N9" s="46">
        <f>SUMIFS($A$11:$A$401,$B$11:$B$401,"RT",$F$11:$F$401,"7")</f>
        <v>0</v>
      </c>
      <c r="O9" s="46" t="s">
        <v>13</v>
      </c>
      <c r="Q9" t="s">
        <v>57</v>
      </c>
      <c r="R9">
        <v>5</v>
      </c>
      <c r="S9" t="s">
        <v>150</v>
      </c>
      <c r="T9" t="s">
        <v>150</v>
      </c>
    </row>
    <row r="10" spans="1:28" ht="15" thickTop="1" x14ac:dyDescent="0.35">
      <c r="A10" s="76" t="s">
        <v>192</v>
      </c>
      <c r="B10" s="8"/>
      <c r="C10" s="11" t="s">
        <v>32</v>
      </c>
      <c r="D10" s="12" t="s">
        <v>33</v>
      </c>
      <c r="E10" s="20" t="s">
        <v>34</v>
      </c>
      <c r="F10" s="21" t="s">
        <v>35</v>
      </c>
      <c r="G10" s="19" t="s">
        <v>138</v>
      </c>
      <c r="H10" s="9"/>
      <c r="I10" s="36" t="s">
        <v>36</v>
      </c>
      <c r="J10" s="8"/>
      <c r="K10" s="46" t="s">
        <v>79</v>
      </c>
      <c r="L10" s="46">
        <f>SUMIFS($A$11:$A$401,$B$11:$B$401,"CH",$F$11:$F$401,"8")</f>
        <v>0</v>
      </c>
      <c r="M10" s="46" t="s">
        <v>6</v>
      </c>
      <c r="N10" s="46">
        <f>SUMIFS($A$11:$A$401,$B$11:$B$401,"RT",$F$11:$F$401,"8")</f>
        <v>0</v>
      </c>
      <c r="O10" s="46" t="s">
        <v>13</v>
      </c>
      <c r="Q10" t="s">
        <v>20</v>
      </c>
      <c r="R10">
        <v>6</v>
      </c>
      <c r="S10">
        <v>30</v>
      </c>
      <c r="T10" t="s">
        <v>150</v>
      </c>
    </row>
    <row r="11" spans="1:28" ht="15" thickBot="1" x14ac:dyDescent="0.4">
      <c r="A11" s="22" t="s">
        <v>182</v>
      </c>
      <c r="B11" s="23"/>
      <c r="C11" s="22" t="s">
        <v>37</v>
      </c>
      <c r="D11" s="24" t="s">
        <v>38</v>
      </c>
      <c r="E11" s="20" t="s">
        <v>39</v>
      </c>
      <c r="F11" s="24" t="s">
        <v>57</v>
      </c>
      <c r="G11" t="s">
        <v>51</v>
      </c>
      <c r="H11" s="24" t="s">
        <v>40</v>
      </c>
      <c r="I11" s="44" t="s">
        <v>164</v>
      </c>
      <c r="J11" s="25"/>
      <c r="K11" s="46" t="s">
        <v>80</v>
      </c>
      <c r="L11" s="46">
        <f>SUMIFS($A$11:$A$401,$B$11:$B$401,"CH",$F$11:$F$401,"9")</f>
        <v>1</v>
      </c>
      <c r="M11" s="46" t="s">
        <v>6</v>
      </c>
      <c r="N11" s="46">
        <f>SUMIFS($A$11:$A$401,$B$11:$B$401,"RT",$F$11:$F$401,"9")</f>
        <v>6</v>
      </c>
      <c r="O11" s="46" t="s">
        <v>13</v>
      </c>
      <c r="Q11" t="s">
        <v>186</v>
      </c>
      <c r="R11">
        <v>7</v>
      </c>
      <c r="S11">
        <v>129</v>
      </c>
      <c r="T11">
        <v>18</v>
      </c>
      <c r="U11">
        <v>23</v>
      </c>
      <c r="V11">
        <v>19</v>
      </c>
      <c r="W11">
        <v>22</v>
      </c>
      <c r="X11">
        <v>23.5</v>
      </c>
      <c r="Y11" s="98">
        <f t="shared" ref="Y8:Y18" si="0">AVERAGE(T11:X11)</f>
        <v>21.1</v>
      </c>
      <c r="Z11" s="98">
        <f t="shared" ref="Z8:Z18" si="1">S11*Y11</f>
        <v>2721.9</v>
      </c>
    </row>
    <row r="12" spans="1:28" ht="15.5" thickTop="1" thickBot="1" x14ac:dyDescent="0.4">
      <c r="A12" s="85" t="s">
        <v>41</v>
      </c>
      <c r="B12" s="86" t="s">
        <v>42</v>
      </c>
      <c r="C12" s="86" t="s">
        <v>43</v>
      </c>
      <c r="D12" s="86" t="s">
        <v>44</v>
      </c>
      <c r="E12" s="86" t="s">
        <v>45</v>
      </c>
      <c r="F12" s="86" t="s">
        <v>46</v>
      </c>
      <c r="G12" s="86" t="s">
        <v>47</v>
      </c>
      <c r="H12" s="86" t="s">
        <v>48</v>
      </c>
      <c r="I12" s="86" t="s">
        <v>49</v>
      </c>
      <c r="J12" s="86" t="s">
        <v>50</v>
      </c>
      <c r="K12" s="46" t="s">
        <v>81</v>
      </c>
      <c r="L12" s="46">
        <f>SUMIFS($A$11:$A$401,$B$11:$B$401,"CH",$F$11:$F$401,"10")</f>
        <v>0</v>
      </c>
      <c r="M12" s="46" t="s">
        <v>6</v>
      </c>
      <c r="N12" s="46">
        <f>SUMIFS($A$11:$A$401,$B$11:$B$401,"RT",$F$11:$F$401,"10")</f>
        <v>0</v>
      </c>
      <c r="O12" s="46" t="s">
        <v>13</v>
      </c>
      <c r="P12" s="42"/>
      <c r="Q12" t="s">
        <v>20</v>
      </c>
      <c r="R12">
        <v>8</v>
      </c>
      <c r="S12">
        <v>22.3</v>
      </c>
      <c r="T12">
        <v>13.4</v>
      </c>
      <c r="U12">
        <v>15</v>
      </c>
      <c r="V12">
        <v>16</v>
      </c>
      <c r="Y12" s="98">
        <f t="shared" si="0"/>
        <v>14.799999999999999</v>
      </c>
      <c r="Z12" s="98">
        <f t="shared" si="1"/>
        <v>330.03999999999996</v>
      </c>
    </row>
    <row r="13" spans="1:28" ht="15" thickTop="1" x14ac:dyDescent="0.35">
      <c r="A13" s="88">
        <v>0</v>
      </c>
      <c r="B13" s="89"/>
      <c r="C13" s="88"/>
      <c r="D13" s="90"/>
      <c r="E13" s="88"/>
      <c r="F13" s="88">
        <v>1</v>
      </c>
      <c r="G13" s="88" t="s">
        <v>57</v>
      </c>
      <c r="H13" s="88"/>
      <c r="I13" s="88">
        <v>445</v>
      </c>
      <c r="J13" s="88" t="s">
        <v>150</v>
      </c>
      <c r="K13" s="46" t="s">
        <v>82</v>
      </c>
      <c r="L13" s="46">
        <f>SUMIFS($A$11:$A$401,$B$11:$B$401,"CH",$F$11:$F$401,"11")</f>
        <v>0</v>
      </c>
      <c r="M13" s="46" t="s">
        <v>6</v>
      </c>
      <c r="N13" s="46">
        <f>SUMIFS($A$11:$A$401,$B$11:$B$401,"RT",$F$11:$F$401,"11")</f>
        <v>0</v>
      </c>
      <c r="O13" s="46" t="s">
        <v>13</v>
      </c>
      <c r="P13" s="42"/>
      <c r="Q13" t="s">
        <v>57</v>
      </c>
      <c r="R13">
        <v>9</v>
      </c>
      <c r="S13">
        <v>261.60000000000002</v>
      </c>
      <c r="T13">
        <v>37</v>
      </c>
      <c r="U13">
        <v>27.4</v>
      </c>
      <c r="V13">
        <v>30.5</v>
      </c>
      <c r="W13">
        <v>31</v>
      </c>
      <c r="X13">
        <v>15</v>
      </c>
      <c r="Y13" s="98">
        <f t="shared" si="0"/>
        <v>28.18</v>
      </c>
      <c r="Z13" s="98">
        <f t="shared" si="1"/>
        <v>7371.8880000000008</v>
      </c>
    </row>
    <row r="14" spans="1:28" x14ac:dyDescent="0.35">
      <c r="A14" s="30">
        <v>0</v>
      </c>
      <c r="B14" s="40"/>
      <c r="C14" s="30"/>
      <c r="D14" s="31"/>
      <c r="E14" s="30"/>
      <c r="F14" s="30">
        <v>2</v>
      </c>
      <c r="G14" s="30" t="s">
        <v>20</v>
      </c>
      <c r="H14" s="30"/>
      <c r="I14" s="30"/>
      <c r="J14" s="30" t="s">
        <v>150</v>
      </c>
      <c r="K14" s="46" t="s">
        <v>83</v>
      </c>
      <c r="L14" s="46">
        <f>SUMIFS($A$11:$A$401,$B$11:$B$401,"CH",$F$11:$F$401,"12")</f>
        <v>0</v>
      </c>
      <c r="M14" s="46" t="s">
        <v>6</v>
      </c>
      <c r="N14" s="46">
        <f>SUMIFS($A$11:$A$401,$B$11:$B$401,"RT",$F$11:$F$401,"12")</f>
        <v>0</v>
      </c>
      <c r="O14" s="46" t="s">
        <v>13</v>
      </c>
      <c r="P14" s="42"/>
      <c r="Q14" t="s">
        <v>20</v>
      </c>
      <c r="R14">
        <v>10</v>
      </c>
      <c r="S14">
        <v>52</v>
      </c>
      <c r="T14">
        <v>40</v>
      </c>
      <c r="U14">
        <v>41</v>
      </c>
      <c r="V14">
        <v>42</v>
      </c>
      <c r="Y14" s="98">
        <f t="shared" si="0"/>
        <v>41</v>
      </c>
      <c r="Z14" s="98">
        <f t="shared" si="1"/>
        <v>2132</v>
      </c>
    </row>
    <row r="15" spans="1:28" x14ac:dyDescent="0.35">
      <c r="A15" s="30">
        <v>3</v>
      </c>
      <c r="B15" s="40" t="s">
        <v>13</v>
      </c>
      <c r="C15" s="30">
        <v>60</v>
      </c>
      <c r="D15" s="30" t="s">
        <v>70</v>
      </c>
      <c r="E15" s="30">
        <v>2</v>
      </c>
      <c r="F15" s="30">
        <v>3</v>
      </c>
      <c r="G15" s="30" t="s">
        <v>186</v>
      </c>
      <c r="H15" s="30"/>
      <c r="I15" s="30"/>
      <c r="J15" s="30"/>
      <c r="K15" s="46" t="s">
        <v>84</v>
      </c>
      <c r="L15" s="46">
        <f>SUMIFS($A$11:$A$401,$B$11:$B$401,"CH",$F$11:$F$401,"13")</f>
        <v>0</v>
      </c>
      <c r="M15" s="46" t="s">
        <v>6</v>
      </c>
      <c r="N15" s="46">
        <f>SUMIFS($A$11:$A$401,$B$11:$B$401,"RT",$F$11:$F$401,"13")</f>
        <v>6</v>
      </c>
      <c r="O15" s="46" t="s">
        <v>13</v>
      </c>
      <c r="P15" s="42"/>
      <c r="Q15" t="s">
        <v>186</v>
      </c>
      <c r="R15">
        <v>11</v>
      </c>
      <c r="S15">
        <v>126</v>
      </c>
      <c r="T15">
        <v>26</v>
      </c>
      <c r="U15">
        <v>52</v>
      </c>
      <c r="V15">
        <v>34</v>
      </c>
      <c r="W15">
        <v>46.6</v>
      </c>
      <c r="X15">
        <v>51.2</v>
      </c>
      <c r="Y15" s="98">
        <f t="shared" si="0"/>
        <v>41.96</v>
      </c>
      <c r="Z15" s="98">
        <f t="shared" si="1"/>
        <v>5286.96</v>
      </c>
    </row>
    <row r="16" spans="1:28" x14ac:dyDescent="0.35">
      <c r="A16" s="30">
        <v>0</v>
      </c>
      <c r="B16" s="40"/>
      <c r="C16" s="30"/>
      <c r="D16" s="30"/>
      <c r="E16" s="30"/>
      <c r="F16" s="30">
        <v>4</v>
      </c>
      <c r="G16" s="30" t="s">
        <v>20</v>
      </c>
      <c r="H16" s="30"/>
      <c r="I16" s="30"/>
      <c r="J16" s="30" t="s">
        <v>150</v>
      </c>
      <c r="K16" s="46" t="s">
        <v>85</v>
      </c>
      <c r="L16" s="46">
        <f>SUMIFS($A$11:$A$401,$B$11:$B$401,"CH",$F$11:$F$401,"14")</f>
        <v>0</v>
      </c>
      <c r="M16" s="46" t="s">
        <v>6</v>
      </c>
      <c r="N16" s="46">
        <f>SUMIFS($A$11:$A$401,$B$11:$B$401,"RT",$F$11:$F$401,"14")</f>
        <v>1</v>
      </c>
      <c r="O16" s="46" t="s">
        <v>13</v>
      </c>
      <c r="P16" s="42"/>
      <c r="Q16" t="s">
        <v>57</v>
      </c>
      <c r="R16">
        <v>12</v>
      </c>
      <c r="S16">
        <v>32.799999999999997</v>
      </c>
      <c r="T16">
        <v>29.2</v>
      </c>
      <c r="U16">
        <v>28.3</v>
      </c>
      <c r="V16">
        <v>15.7</v>
      </c>
      <c r="Y16" s="98">
        <f t="shared" si="0"/>
        <v>24.400000000000002</v>
      </c>
      <c r="Z16" s="98">
        <f t="shared" si="1"/>
        <v>800.32</v>
      </c>
    </row>
    <row r="17" spans="1:27" x14ac:dyDescent="0.35">
      <c r="A17" s="30">
        <v>0</v>
      </c>
      <c r="B17" s="40"/>
      <c r="C17" s="30"/>
      <c r="D17" s="30"/>
      <c r="E17" s="30"/>
      <c r="F17" s="30">
        <v>5</v>
      </c>
      <c r="G17" s="30" t="s">
        <v>57</v>
      </c>
      <c r="H17" s="30"/>
      <c r="I17" s="30"/>
      <c r="J17" s="30" t="s">
        <v>150</v>
      </c>
      <c r="K17" s="46" t="s">
        <v>86</v>
      </c>
      <c r="L17" s="46">
        <f>SUMIFS($A$11:$A$401,$B$11:$B$401,"CH",$F$11:$F$401,"15")</f>
        <v>0</v>
      </c>
      <c r="M17" s="46" t="s">
        <v>6</v>
      </c>
      <c r="N17" s="46">
        <f>SUMIFS($A$11:$A$401,$B$11:$B$401,"RT",$F$11:$F$401,"15")</f>
        <v>0</v>
      </c>
      <c r="O17" s="46" t="s">
        <v>13</v>
      </c>
      <c r="P17" s="42"/>
      <c r="Q17" t="s">
        <v>20</v>
      </c>
      <c r="R17">
        <v>13</v>
      </c>
      <c r="S17">
        <v>53</v>
      </c>
      <c r="T17">
        <v>30</v>
      </c>
      <c r="U17">
        <v>25.4</v>
      </c>
      <c r="V17">
        <v>27</v>
      </c>
      <c r="Y17" s="98">
        <f t="shared" si="0"/>
        <v>27.466666666666669</v>
      </c>
      <c r="Z17" s="98">
        <f t="shared" si="1"/>
        <v>1455.7333333333333</v>
      </c>
    </row>
    <row r="18" spans="1:27" x14ac:dyDescent="0.35">
      <c r="A18" s="30">
        <v>0</v>
      </c>
      <c r="B18" s="40"/>
      <c r="C18" s="30"/>
      <c r="D18" s="30"/>
      <c r="E18" s="30"/>
      <c r="F18" s="30">
        <v>6</v>
      </c>
      <c r="G18" s="30" t="s">
        <v>20</v>
      </c>
      <c r="H18" s="30"/>
      <c r="I18" s="30"/>
      <c r="J18" s="30" t="s">
        <v>150</v>
      </c>
      <c r="K18" s="46" t="s">
        <v>87</v>
      </c>
      <c r="L18" s="46">
        <f>SUMIFS($A$11:$A$401,$B$11:$B$401,"CH",$F$11:$F$401,"16")</f>
        <v>0</v>
      </c>
      <c r="M18" s="46" t="s">
        <v>6</v>
      </c>
      <c r="N18" s="46">
        <f>SUMIFS($A$11:$A$401,$B$11:$B$401,"RT",$F$11:$F$401,"16")</f>
        <v>0</v>
      </c>
      <c r="O18" s="46" t="s">
        <v>13</v>
      </c>
      <c r="P18" s="42"/>
      <c r="Q18" t="s">
        <v>57</v>
      </c>
      <c r="R18">
        <v>14</v>
      </c>
      <c r="S18">
        <v>48</v>
      </c>
      <c r="T18">
        <v>40.1</v>
      </c>
      <c r="U18">
        <v>35</v>
      </c>
      <c r="V18">
        <v>32.6</v>
      </c>
      <c r="Y18" s="98">
        <f t="shared" si="0"/>
        <v>35.9</v>
      </c>
      <c r="Z18" s="98">
        <f t="shared" si="1"/>
        <v>1723.1999999999998</v>
      </c>
    </row>
    <row r="19" spans="1:27" x14ac:dyDescent="0.35">
      <c r="A19" s="30">
        <v>0</v>
      </c>
      <c r="B19" s="40"/>
      <c r="C19" s="30"/>
      <c r="D19" s="30"/>
      <c r="E19" s="30"/>
      <c r="F19" s="30">
        <v>7</v>
      </c>
      <c r="G19" s="30" t="s">
        <v>186</v>
      </c>
      <c r="H19" s="30"/>
      <c r="I19" s="30"/>
      <c r="J19" s="30" t="s">
        <v>193</v>
      </c>
      <c r="K19" s="46" t="s">
        <v>88</v>
      </c>
      <c r="L19" s="46">
        <f>SUMIFS($A$11:$A$401,$B$11:$B$401,"CH",$F$11:$F$401,"17")</f>
        <v>0</v>
      </c>
      <c r="M19" s="46" t="s">
        <v>6</v>
      </c>
      <c r="N19" s="46">
        <f>SUMIFS($A$11:$A$401,$B$11:$B$401,"RT",$F$11:$F$401,"17")</f>
        <v>0</v>
      </c>
      <c r="O19" s="46" t="s">
        <v>13</v>
      </c>
      <c r="P19" s="42"/>
      <c r="S19">
        <f>SUM(S7,S10:S18)</f>
        <v>872.7</v>
      </c>
      <c r="T19" t="s">
        <v>273</v>
      </c>
      <c r="X19" t="s">
        <v>263</v>
      </c>
      <c r="Y19" s="98">
        <f>AVERAGE(T7:W7,T11:X11,T12:V12,T13:X13,T14:V14,T15:X15,T16:V16,T17:V17,T18:V18)</f>
        <v>29.864705882352943</v>
      </c>
      <c r="Z19" s="98">
        <f>SUM(Z7:Z18)</f>
        <v>25612.791333333334</v>
      </c>
      <c r="AA19" t="s">
        <v>260</v>
      </c>
    </row>
    <row r="20" spans="1:27" x14ac:dyDescent="0.35">
      <c r="A20" s="30">
        <v>0</v>
      </c>
      <c r="B20" s="40"/>
      <c r="C20" s="30"/>
      <c r="D20" s="30"/>
      <c r="E20" s="30"/>
      <c r="F20" s="30">
        <v>8</v>
      </c>
      <c r="G20" s="30" t="s">
        <v>20</v>
      </c>
      <c r="H20" s="30"/>
      <c r="I20" s="30"/>
      <c r="J20" s="30" t="s">
        <v>71</v>
      </c>
      <c r="K20" s="46" t="s">
        <v>89</v>
      </c>
      <c r="L20" s="46">
        <f>SUMIFS($A$11:$A$401,$B$11:$B$401,"CH",$F$11:$F$401,"18")</f>
        <v>0</v>
      </c>
      <c r="M20" s="46" t="s">
        <v>6</v>
      </c>
      <c r="N20" s="46">
        <f>SUMIFS($A$11:$A$401,$B$11:$B$401,"RT",$F$11:$F$401,"18")</f>
        <v>0</v>
      </c>
      <c r="O20" s="46" t="s">
        <v>13</v>
      </c>
      <c r="P20" s="42"/>
      <c r="S20" s="98">
        <f>S19*0.3048</f>
        <v>265.99896000000001</v>
      </c>
      <c r="T20" t="s">
        <v>274</v>
      </c>
      <c r="Y20" s="98">
        <f>Y19*0.3048</f>
        <v>9.102762352941177</v>
      </c>
      <c r="Z20" s="98">
        <f>Z19*0.092903</f>
        <v>2379.5051532406669</v>
      </c>
      <c r="AA20" t="s">
        <v>261</v>
      </c>
    </row>
    <row r="21" spans="1:27" x14ac:dyDescent="0.35">
      <c r="A21" s="30">
        <v>1</v>
      </c>
      <c r="B21" s="40" t="s">
        <v>64</v>
      </c>
      <c r="C21" s="30">
        <v>70</v>
      </c>
      <c r="D21" s="30" t="s">
        <v>59</v>
      </c>
      <c r="E21" s="30">
        <v>1</v>
      </c>
      <c r="F21" s="30">
        <v>9</v>
      </c>
      <c r="G21" s="30" t="s">
        <v>57</v>
      </c>
      <c r="H21" s="30"/>
      <c r="I21" s="30"/>
      <c r="J21" s="30"/>
      <c r="K21" s="46" t="s">
        <v>90</v>
      </c>
      <c r="L21" s="46">
        <f>SUMIFS($A$11:$A$401,$B$11:$B$401,"CH",$F$11:$F$401,"19")</f>
        <v>0</v>
      </c>
      <c r="M21" s="46" t="s">
        <v>6</v>
      </c>
      <c r="N21" s="46">
        <f>SUMIFS($A$11:$A$401,$B$11:$B$401,"RT",$F$11:$F$401,"19")</f>
        <v>0</v>
      </c>
      <c r="O21" s="46" t="s">
        <v>13</v>
      </c>
      <c r="P21" s="42"/>
    </row>
    <row r="22" spans="1:27" x14ac:dyDescent="0.35">
      <c r="A22" s="30">
        <v>2</v>
      </c>
      <c r="B22" s="40" t="s">
        <v>13</v>
      </c>
      <c r="C22" s="30">
        <v>100</v>
      </c>
      <c r="D22" s="30" t="s">
        <v>59</v>
      </c>
      <c r="E22" s="30">
        <v>1</v>
      </c>
      <c r="F22" s="30">
        <v>9</v>
      </c>
      <c r="G22" s="30" t="s">
        <v>57</v>
      </c>
      <c r="H22" s="30"/>
      <c r="I22" s="30"/>
      <c r="J22" s="30"/>
      <c r="K22" s="46" t="s">
        <v>91</v>
      </c>
      <c r="L22" s="46">
        <f>SUMIFS($A$11:$A$401,$B$11:$B$401,"CH",$F$11:$F$401,"20")</f>
        <v>0</v>
      </c>
      <c r="M22" s="46" t="s">
        <v>6</v>
      </c>
      <c r="N22" s="46">
        <f>SUMIFS($A$11:$A$401,$B$11:$B$401,"RT",$F$11:$F$401,"20")</f>
        <v>0</v>
      </c>
      <c r="O22" s="46" t="s">
        <v>13</v>
      </c>
    </row>
    <row r="23" spans="1:27" x14ac:dyDescent="0.35">
      <c r="A23" s="30">
        <v>1</v>
      </c>
      <c r="B23" s="40" t="s">
        <v>13</v>
      </c>
      <c r="C23" s="30">
        <v>100</v>
      </c>
      <c r="D23" s="30" t="s">
        <v>70</v>
      </c>
      <c r="E23" s="30">
        <v>2</v>
      </c>
      <c r="F23" s="30">
        <v>9</v>
      </c>
      <c r="G23" s="30" t="s">
        <v>57</v>
      </c>
      <c r="H23" s="30"/>
      <c r="I23" s="30"/>
      <c r="J23" s="30"/>
      <c r="K23" s="46" t="s">
        <v>92</v>
      </c>
      <c r="L23" s="46">
        <f>SUMIFS($A$11:$A$401,$B$11:$B$401,"CH",$F$11:$F$401,"21")</f>
        <v>0</v>
      </c>
      <c r="M23" s="46" t="s">
        <v>6</v>
      </c>
      <c r="N23" s="46">
        <f>SUMIFS($A$11:$A$401,$B$11:$B$401,"RT",$F$11:$F$401,"21")</f>
        <v>0</v>
      </c>
      <c r="O23" s="46" t="s">
        <v>13</v>
      </c>
    </row>
    <row r="24" spans="1:27" x14ac:dyDescent="0.35">
      <c r="A24" s="30">
        <v>3</v>
      </c>
      <c r="B24" s="40" t="s">
        <v>13</v>
      </c>
      <c r="C24" s="30">
        <v>65</v>
      </c>
      <c r="D24" s="30" t="s">
        <v>70</v>
      </c>
      <c r="E24" s="30">
        <v>2</v>
      </c>
      <c r="F24" s="30">
        <v>9</v>
      </c>
      <c r="G24" s="30" t="s">
        <v>57</v>
      </c>
      <c r="H24" s="30"/>
      <c r="I24" s="30"/>
      <c r="J24" s="30"/>
      <c r="K24" s="46" t="s">
        <v>93</v>
      </c>
      <c r="L24" s="46">
        <f>SUMIFS($A$11:$A$401,$B$11:$B$401,"CH",$F$11:$F$401,"22")</f>
        <v>0</v>
      </c>
      <c r="M24" s="46" t="s">
        <v>6</v>
      </c>
      <c r="N24" s="46">
        <f>SUMIFS($A$11:$A$401,$B$11:$B$401,"RT",$F$11:$F$401,"22")</f>
        <v>0</v>
      </c>
      <c r="O24" s="46" t="s">
        <v>13</v>
      </c>
      <c r="Q24" t="s">
        <v>209</v>
      </c>
    </row>
    <row r="25" spans="1:27" x14ac:dyDescent="0.35">
      <c r="A25" s="30">
        <v>1</v>
      </c>
      <c r="B25" s="40" t="s">
        <v>6</v>
      </c>
      <c r="C25" s="30">
        <v>60</v>
      </c>
      <c r="D25" s="30" t="s">
        <v>70</v>
      </c>
      <c r="E25" s="30">
        <v>2</v>
      </c>
      <c r="F25" s="30">
        <v>9</v>
      </c>
      <c r="G25" s="30" t="s">
        <v>57</v>
      </c>
      <c r="H25" s="30"/>
      <c r="I25" s="30"/>
      <c r="J25" s="30"/>
      <c r="K25" s="46" t="s">
        <v>94</v>
      </c>
      <c r="L25" s="46">
        <f>SUMIFS($A$11:$A$401,$B$11:$B$401,"CH",$F$11:$F$401,"23")</f>
        <v>0</v>
      </c>
      <c r="M25" s="46" t="s">
        <v>6</v>
      </c>
      <c r="N25" s="46">
        <f>SUMIFS($A$11:$A$401,$B$11:$B$401,"RT",$F$11:$F$401,"23")</f>
        <v>0</v>
      </c>
      <c r="O25" s="46" t="s">
        <v>13</v>
      </c>
    </row>
    <row r="26" spans="1:27" x14ac:dyDescent="0.35">
      <c r="A26" s="30">
        <v>2</v>
      </c>
      <c r="B26" s="40" t="s">
        <v>64</v>
      </c>
      <c r="C26" s="30">
        <v>70</v>
      </c>
      <c r="D26" s="30" t="s">
        <v>70</v>
      </c>
      <c r="E26" s="30">
        <v>2</v>
      </c>
      <c r="F26" s="30">
        <v>9</v>
      </c>
      <c r="G26" s="30" t="s">
        <v>57</v>
      </c>
      <c r="H26" s="30"/>
      <c r="I26" s="30"/>
      <c r="J26" s="30"/>
      <c r="K26" s="46" t="s">
        <v>95</v>
      </c>
      <c r="L26" s="46">
        <f>SUMIFS($A$11:$A$401,$B$11:$B$401,"CH",$F$11:$F$401,"24")</f>
        <v>0</v>
      </c>
      <c r="M26" s="46" t="s">
        <v>6</v>
      </c>
      <c r="N26" s="46">
        <f>SUMIFS($A$11:$A$401,$B$11:$B$401,"RT",$F$11:$F$401,"24")</f>
        <v>0</v>
      </c>
      <c r="O26" s="46" t="s">
        <v>13</v>
      </c>
    </row>
    <row r="27" spans="1:27" x14ac:dyDescent="0.35">
      <c r="A27" s="30">
        <v>7</v>
      </c>
      <c r="B27" s="40" t="s">
        <v>64</v>
      </c>
      <c r="C27" s="30">
        <v>70</v>
      </c>
      <c r="D27" s="30" t="s">
        <v>70</v>
      </c>
      <c r="E27" s="30">
        <v>2</v>
      </c>
      <c r="F27" s="30">
        <v>9</v>
      </c>
      <c r="G27" s="30" t="s">
        <v>57</v>
      </c>
      <c r="H27" s="30"/>
      <c r="I27" s="30"/>
      <c r="J27" s="30"/>
      <c r="K27" s="46" t="s">
        <v>96</v>
      </c>
      <c r="L27" s="46">
        <f>SUMIFS($A$11:$A$401,$B$11:$B$401,"CH",$F$11:$F$401,"25")</f>
        <v>0</v>
      </c>
      <c r="M27" s="46" t="s">
        <v>6</v>
      </c>
      <c r="N27" s="46">
        <f>SUMIFS($A$11:$A$401,$B$11:$B$401,"RT",$F$11:$F$401,"25")</f>
        <v>0</v>
      </c>
      <c r="O27" s="46" t="s">
        <v>13</v>
      </c>
    </row>
    <row r="28" spans="1:27" x14ac:dyDescent="0.35">
      <c r="A28" s="30">
        <v>0</v>
      </c>
      <c r="B28" s="40"/>
      <c r="C28" s="30"/>
      <c r="D28" s="30"/>
      <c r="E28" s="30"/>
      <c r="F28" s="30">
        <v>10</v>
      </c>
      <c r="G28" s="30" t="s">
        <v>20</v>
      </c>
      <c r="H28" s="30"/>
      <c r="I28" s="30"/>
      <c r="J28" s="30" t="s">
        <v>71</v>
      </c>
      <c r="K28" s="46" t="s">
        <v>97</v>
      </c>
      <c r="L28" s="46">
        <f>SUMIFS($A$11:$A$401,$B$11:$B$401,"CH",$F$11:$F$401,"26")</f>
        <v>0</v>
      </c>
      <c r="M28" s="46" t="s">
        <v>6</v>
      </c>
      <c r="N28" s="46">
        <f>SUMIFS($A$11:$A$401,$B$11:$B$401,"RT",$F$11:$F$401,"26")</f>
        <v>0</v>
      </c>
      <c r="O28" s="46" t="s">
        <v>13</v>
      </c>
    </row>
    <row r="29" spans="1:27" x14ac:dyDescent="0.35">
      <c r="A29" s="30">
        <v>0</v>
      </c>
      <c r="B29" s="40"/>
      <c r="C29" s="30"/>
      <c r="D29" s="30"/>
      <c r="E29" s="30"/>
      <c r="F29" s="30">
        <v>11</v>
      </c>
      <c r="G29" s="30" t="s">
        <v>186</v>
      </c>
      <c r="H29" s="30"/>
      <c r="I29" s="30"/>
      <c r="J29" s="30" t="s">
        <v>194</v>
      </c>
      <c r="K29" s="46" t="s">
        <v>98</v>
      </c>
      <c r="L29" s="46">
        <f>SUMIFS($A$11:$A$401,$B$11:$B$401,"CH",$F$11:$F$401,"27")</f>
        <v>0</v>
      </c>
      <c r="M29" s="46" t="s">
        <v>6</v>
      </c>
      <c r="N29" s="46">
        <f>SUMIFS($A$11:$A$401,$B$11:$B$401,"RT",$F$11:$F$401,"27")</f>
        <v>0</v>
      </c>
      <c r="O29" s="46" t="s">
        <v>13</v>
      </c>
    </row>
    <row r="30" spans="1:27" x14ac:dyDescent="0.35">
      <c r="A30" s="30">
        <v>0</v>
      </c>
      <c r="B30" s="40"/>
      <c r="C30" s="30"/>
      <c r="D30" s="30"/>
      <c r="E30" s="30"/>
      <c r="F30" s="30">
        <v>12</v>
      </c>
      <c r="G30" s="30" t="s">
        <v>57</v>
      </c>
      <c r="H30" s="30" t="s">
        <v>195</v>
      </c>
      <c r="I30" s="30"/>
      <c r="J30" s="30" t="s">
        <v>71</v>
      </c>
      <c r="K30" s="46" t="s">
        <v>99</v>
      </c>
      <c r="L30" s="46">
        <f>SUMIFS($A$11:$A$401,$B$11:$B$401,"CH",$F$11:$F$401,"28")</f>
        <v>0</v>
      </c>
      <c r="M30" s="46" t="s">
        <v>6</v>
      </c>
      <c r="N30" s="46">
        <f>SUMIFS($A$11:$A$401,$B$11:$B$401,"RT",$F$11:$F$401,"28")</f>
        <v>0</v>
      </c>
      <c r="O30" s="46" t="s">
        <v>13</v>
      </c>
    </row>
    <row r="31" spans="1:27" x14ac:dyDescent="0.35">
      <c r="A31" s="30">
        <v>3</v>
      </c>
      <c r="B31" s="40" t="s">
        <v>13</v>
      </c>
      <c r="C31" s="30">
        <v>150</v>
      </c>
      <c r="D31" s="30" t="s">
        <v>70</v>
      </c>
      <c r="E31" s="30">
        <v>2</v>
      </c>
      <c r="F31" s="30">
        <v>13</v>
      </c>
      <c r="G31" s="30" t="s">
        <v>20</v>
      </c>
      <c r="H31" s="30"/>
      <c r="I31" s="30"/>
      <c r="J31" s="30"/>
      <c r="K31" s="46" t="s">
        <v>100</v>
      </c>
      <c r="L31" s="46">
        <f>SUMIFS($A$11:$A$401,$B$11:$B$401,"CH",$F$11:$F$401,"29")</f>
        <v>0</v>
      </c>
      <c r="M31" s="46" t="s">
        <v>6</v>
      </c>
      <c r="N31" s="46">
        <f>SUMIFS($A$11:$A$401,$B$11:$B$401,"RT",$F$11:$F$401,"29")</f>
        <v>0</v>
      </c>
      <c r="O31" s="46" t="s">
        <v>13</v>
      </c>
    </row>
    <row r="32" spans="1:27" x14ac:dyDescent="0.35">
      <c r="A32" s="30">
        <v>2</v>
      </c>
      <c r="B32" s="40" t="s">
        <v>13</v>
      </c>
      <c r="C32" s="30">
        <v>200</v>
      </c>
      <c r="D32" s="30" t="s">
        <v>70</v>
      </c>
      <c r="E32" s="30">
        <v>2</v>
      </c>
      <c r="F32" s="30">
        <v>13</v>
      </c>
      <c r="G32" s="30" t="s">
        <v>20</v>
      </c>
      <c r="H32" s="30"/>
      <c r="I32" s="87"/>
      <c r="J32" s="30"/>
      <c r="K32" s="46" t="s">
        <v>101</v>
      </c>
      <c r="L32" s="46">
        <f>SUMIFS($A$11:$A$401,$B$11:$B$401,"CH",$F$11:$F$401,"30")</f>
        <v>0</v>
      </c>
      <c r="M32" s="46" t="s">
        <v>6</v>
      </c>
      <c r="N32" s="46">
        <f>SUMIFS($A$11:$A$401,$B$11:$B$401,"RT",$F$11:$F$401,"30")</f>
        <v>0</v>
      </c>
      <c r="O32" s="46" t="s">
        <v>13</v>
      </c>
    </row>
    <row r="33" spans="1:15" x14ac:dyDescent="0.35">
      <c r="A33" s="77">
        <v>1</v>
      </c>
      <c r="B33" s="77" t="s">
        <v>13</v>
      </c>
      <c r="C33" s="77">
        <v>60</v>
      </c>
      <c r="D33" s="77" t="s">
        <v>70</v>
      </c>
      <c r="E33" s="77">
        <v>2</v>
      </c>
      <c r="F33" s="77">
        <v>13</v>
      </c>
      <c r="G33" s="77" t="s">
        <v>20</v>
      </c>
      <c r="H33" s="77"/>
      <c r="I33" s="77"/>
      <c r="J33" s="77"/>
      <c r="K33" s="46" t="s">
        <v>102</v>
      </c>
      <c r="L33" s="46">
        <f>SUMIFS($A$11:$A$401,$B$11:$B$401,"CH",$F$11:$F$401,"31")</f>
        <v>0</v>
      </c>
      <c r="M33" s="46" t="s">
        <v>6</v>
      </c>
      <c r="N33" s="46">
        <f>SUMIFS($A$11:$A$401,$B$11:$B$401,"RT",$F$11:$F$401,"31")</f>
        <v>0</v>
      </c>
      <c r="O33" s="46" t="s">
        <v>13</v>
      </c>
    </row>
    <row r="34" spans="1:15" x14ac:dyDescent="0.35">
      <c r="A34" s="77">
        <v>1</v>
      </c>
      <c r="B34" s="77" t="s">
        <v>13</v>
      </c>
      <c r="C34" s="77">
        <v>60</v>
      </c>
      <c r="D34" s="77" t="s">
        <v>70</v>
      </c>
      <c r="E34" s="77">
        <v>2</v>
      </c>
      <c r="F34" s="77">
        <v>14</v>
      </c>
      <c r="G34" s="77" t="s">
        <v>57</v>
      </c>
      <c r="H34" s="77"/>
      <c r="I34" s="77">
        <v>600</v>
      </c>
      <c r="J34" s="77"/>
      <c r="K34" s="46" t="s">
        <v>103</v>
      </c>
      <c r="L34" s="46">
        <f>SUMIFS($A$11:$A$401,$B$11:$B$401,"CH",$F$11:$F$401,"32")</f>
        <v>0</v>
      </c>
      <c r="M34" s="46" t="s">
        <v>6</v>
      </c>
      <c r="N34" s="46">
        <f>SUMIFS($A$11:$A$401,$B$11:$B$401,"RT",$F$11:$F$401,"32")</f>
        <v>0</v>
      </c>
      <c r="O34" s="46" t="s">
        <v>13</v>
      </c>
    </row>
    <row r="35" spans="1:15" x14ac:dyDescent="0.35">
      <c r="K35" s="46" t="s">
        <v>104</v>
      </c>
      <c r="L35" s="46">
        <f>SUMIFS($A$11:$A$401,$B$11:$B$401,"CH",$F$11:$F$401,"33")</f>
        <v>0</v>
      </c>
      <c r="M35" s="46" t="s">
        <v>6</v>
      </c>
      <c r="N35" s="46">
        <f>SUMIFS($A$11:$A$401,$B$11:$B$401,"RT",$F$11:$F$401,"33")</f>
        <v>0</v>
      </c>
      <c r="O35" s="46" t="s">
        <v>13</v>
      </c>
    </row>
    <row r="36" spans="1:15" x14ac:dyDescent="0.35">
      <c r="K36" s="46" t="s">
        <v>105</v>
      </c>
      <c r="L36" s="46">
        <f>SUMIFS($A$11:$A$401,$B$11:$B$401,"CH",$F$11:$F$401,"34")</f>
        <v>0</v>
      </c>
      <c r="M36" s="46" t="s">
        <v>6</v>
      </c>
      <c r="N36" s="46">
        <f>SUMIFS($A$11:$A$401,$B$11:$B$401,"RT",$F$11:$F$401,"34")</f>
        <v>0</v>
      </c>
      <c r="O36" s="46" t="s">
        <v>13</v>
      </c>
    </row>
    <row r="37" spans="1:15" x14ac:dyDescent="0.35">
      <c r="K37" s="46" t="s">
        <v>106</v>
      </c>
      <c r="L37" s="46">
        <f>SUMIFS($A$11:$A$401,$B$11:$B$401,"CH",$F$11:$F$401,"35")</f>
        <v>0</v>
      </c>
      <c r="M37" s="46" t="s">
        <v>6</v>
      </c>
      <c r="N37" s="46">
        <f>SUMIFS($A$11:$A$401,$B$11:$B$401,"RT",$F$11:$F$401,"35")</f>
        <v>0</v>
      </c>
      <c r="O37" s="46" t="s">
        <v>13</v>
      </c>
    </row>
    <row r="38" spans="1:15" x14ac:dyDescent="0.35">
      <c r="K38" s="46" t="s">
        <v>107</v>
      </c>
      <c r="L38" s="46">
        <f>SUMIFS($A$11:$A$401,$B$11:$B$401,"CH",$F$11:$F$401,"36")</f>
        <v>0</v>
      </c>
      <c r="M38" s="46" t="s">
        <v>6</v>
      </c>
      <c r="N38" s="46">
        <f>SUMIFS($A$11:$A$401,$B$11:$B$401,"RT",$F$11:$F$401,"36")</f>
        <v>0</v>
      </c>
      <c r="O38" s="46" t="s">
        <v>13</v>
      </c>
    </row>
    <row r="39" spans="1:15" x14ac:dyDescent="0.35">
      <c r="K39" s="46" t="s">
        <v>108</v>
      </c>
      <c r="L39" s="46">
        <f>SUMIFS($A$11:$A$401,$B$11:$B$401,"CH",$F$11:$F$401,"37")</f>
        <v>0</v>
      </c>
      <c r="M39" s="46" t="s">
        <v>6</v>
      </c>
      <c r="N39" s="46">
        <f>SUMIFS($A$11:$A$401,$B$11:$B$401,"RT",$F$11:$F$401,"37")</f>
        <v>0</v>
      </c>
      <c r="O39" s="46" t="s">
        <v>13</v>
      </c>
    </row>
    <row r="40" spans="1:15" x14ac:dyDescent="0.35">
      <c r="K40" s="46" t="s">
        <v>109</v>
      </c>
      <c r="L40" s="46">
        <f>SUMIFS($A$11:$A$401,$B$11:$B$401,"CH",$F$11:$F$401,"38")</f>
        <v>0</v>
      </c>
      <c r="M40" s="46" t="s">
        <v>6</v>
      </c>
      <c r="N40" s="46">
        <f>SUMIFS($A$11:$A$401,$B$11:$B$401,"RT",$F$11:$F$401,"38")</f>
        <v>0</v>
      </c>
      <c r="O40" s="46" t="s">
        <v>13</v>
      </c>
    </row>
    <row r="41" spans="1:15" x14ac:dyDescent="0.35">
      <c r="K41" s="46" t="s">
        <v>110</v>
      </c>
      <c r="L41" s="46">
        <f>SUMIFS($A$11:$A$401,$B$11:$B$401,"CH",$F$11:$F$401,"39")</f>
        <v>0</v>
      </c>
      <c r="M41" s="46" t="s">
        <v>6</v>
      </c>
      <c r="N41" s="46">
        <f>SUMIFS($A$11:$A$401,$B$11:$B$401,"RT",$F$11:$F$401,"39")</f>
        <v>0</v>
      </c>
      <c r="O41" s="46" t="s">
        <v>13</v>
      </c>
    </row>
    <row r="42" spans="1:15" x14ac:dyDescent="0.35">
      <c r="K42" s="46" t="s">
        <v>111</v>
      </c>
      <c r="L42" s="46">
        <f>SUMIFS($A$11:$A$401,$B$11:$B$401,"CH",$F$11:$F$401,"40")</f>
        <v>0</v>
      </c>
      <c r="M42" s="46" t="s">
        <v>6</v>
      </c>
      <c r="N42" s="46">
        <f>SUMIFS($A$11:$A$401,$B$11:$B$401,"RT",$F$11:$F$401,"40")</f>
        <v>0</v>
      </c>
      <c r="O42" s="46" t="s">
        <v>13</v>
      </c>
    </row>
    <row r="43" spans="1:15" x14ac:dyDescent="0.35">
      <c r="K43" s="46" t="s">
        <v>112</v>
      </c>
      <c r="L43" s="46">
        <f>SUMIFS($A$11:$A$401,$B$11:$B$401,"CH",$F$11:$F$401,"41")</f>
        <v>0</v>
      </c>
      <c r="M43" s="46" t="s">
        <v>6</v>
      </c>
      <c r="N43" s="46">
        <f>SUMIFS($A$11:$A$401,$B$11:$B$401,"RT",$F$11:$F$401,"41")</f>
        <v>0</v>
      </c>
      <c r="O43" s="46" t="s">
        <v>13</v>
      </c>
    </row>
    <row r="44" spans="1:15" x14ac:dyDescent="0.35">
      <c r="K44" s="46"/>
      <c r="L44" s="46">
        <f>SUMIFS($A$11:$A$401,$B$11:$B$401,"CH",$F$11:$F$401,"")</f>
        <v>0</v>
      </c>
      <c r="M44" s="46" t="s">
        <v>6</v>
      </c>
      <c r="N44" s="46">
        <f>SUMIFS($A$11:$A$401,$B$11:$B$401,"RT",$F$11:$F$401,"")</f>
        <v>0</v>
      </c>
      <c r="O44" s="46" t="s">
        <v>13</v>
      </c>
    </row>
    <row r="45" spans="1:15" x14ac:dyDescent="0.35">
      <c r="K45" s="46" t="s">
        <v>113</v>
      </c>
      <c r="L45" s="46">
        <f>SUM(L3:L44)</f>
        <v>1</v>
      </c>
      <c r="M45" s="46" t="s">
        <v>6</v>
      </c>
      <c r="N45" s="46">
        <f>SUM(N3:N44)</f>
        <v>16</v>
      </c>
      <c r="O45" s="46" t="s">
        <v>13</v>
      </c>
    </row>
    <row r="46" spans="1:15" x14ac:dyDescent="0.35">
      <c r="K46" s="46"/>
      <c r="L46" s="46"/>
      <c r="M46" s="46"/>
      <c r="N46" s="46"/>
    </row>
    <row r="47" spans="1:15" x14ac:dyDescent="0.35">
      <c r="K47" s="46"/>
      <c r="N47" s="46"/>
    </row>
    <row r="48" spans="1:15" x14ac:dyDescent="0.35">
      <c r="K48" s="46"/>
      <c r="N48" s="46"/>
    </row>
    <row r="49" spans="11:14" x14ac:dyDescent="0.35">
      <c r="K49" s="46"/>
      <c r="N49" s="46"/>
    </row>
    <row r="50" spans="11:14" x14ac:dyDescent="0.35">
      <c r="K50" s="46"/>
      <c r="N50" s="46"/>
    </row>
    <row r="51" spans="11:14" x14ac:dyDescent="0.35">
      <c r="K51" s="46"/>
      <c r="N51" s="46"/>
    </row>
    <row r="52" spans="11:14" x14ac:dyDescent="0.35">
      <c r="K52" s="46"/>
      <c r="N52" s="46"/>
    </row>
    <row r="53" spans="11:14" x14ac:dyDescent="0.35">
      <c r="K53" s="46"/>
      <c r="N53" s="46"/>
    </row>
    <row r="54" spans="11:14" x14ac:dyDescent="0.35">
      <c r="K54" s="46"/>
      <c r="N54" s="46"/>
    </row>
    <row r="55" spans="11:14" x14ac:dyDescent="0.35">
      <c r="K55" s="46"/>
      <c r="N55" s="46"/>
    </row>
    <row r="56" spans="11:14" x14ac:dyDescent="0.35">
      <c r="K56" s="46"/>
      <c r="N56" s="46"/>
    </row>
    <row r="57" spans="11:14" x14ac:dyDescent="0.35">
      <c r="K57" s="46"/>
      <c r="N57" s="46"/>
    </row>
    <row r="58" spans="11:14" x14ac:dyDescent="0.35">
      <c r="K58" s="46"/>
      <c r="N58" s="46"/>
    </row>
    <row r="59" spans="11:14" x14ac:dyDescent="0.35">
      <c r="K59" s="46"/>
      <c r="N59" s="46"/>
    </row>
    <row r="60" spans="11:14" x14ac:dyDescent="0.35">
      <c r="K60" s="46"/>
      <c r="N60" s="46"/>
    </row>
    <row r="61" spans="11:14" x14ac:dyDescent="0.35">
      <c r="K61" s="46"/>
      <c r="N61" s="46"/>
    </row>
    <row r="62" spans="11:14" x14ac:dyDescent="0.35">
      <c r="K62" s="46"/>
      <c r="N62" s="46"/>
    </row>
    <row r="63" spans="11:14" x14ac:dyDescent="0.35">
      <c r="K63" s="46"/>
      <c r="N63" s="46"/>
    </row>
    <row r="64" spans="11:14" x14ac:dyDescent="0.35">
      <c r="K64" s="46"/>
      <c r="N64" s="46"/>
    </row>
    <row r="65" spans="11:14" x14ac:dyDescent="0.35">
      <c r="K65" s="46"/>
      <c r="N65" s="46"/>
    </row>
    <row r="66" spans="11:14" x14ac:dyDescent="0.35">
      <c r="K66" s="46"/>
      <c r="N66" s="46"/>
    </row>
    <row r="67" spans="11:14" x14ac:dyDescent="0.35">
      <c r="K67" s="46"/>
      <c r="N67" s="46"/>
    </row>
    <row r="68" spans="11:14" x14ac:dyDescent="0.35">
      <c r="K68" s="46"/>
      <c r="N68" s="46"/>
    </row>
    <row r="69" spans="11:14" x14ac:dyDescent="0.35">
      <c r="K69" s="46"/>
      <c r="N69" s="46"/>
    </row>
    <row r="70" spans="11:14" x14ac:dyDescent="0.35">
      <c r="K70" s="46"/>
      <c r="N70" s="46"/>
    </row>
    <row r="71" spans="11:14" x14ac:dyDescent="0.35">
      <c r="K71" s="46"/>
      <c r="N71" s="46"/>
    </row>
    <row r="72" spans="11:14" x14ac:dyDescent="0.35">
      <c r="K72" s="46"/>
      <c r="N72" s="46"/>
    </row>
    <row r="73" spans="11:14" x14ac:dyDescent="0.35">
      <c r="K73" s="46"/>
      <c r="N73" s="46"/>
    </row>
    <row r="74" spans="11:14" x14ac:dyDescent="0.35">
      <c r="K74" s="46"/>
      <c r="N74" s="46"/>
    </row>
    <row r="75" spans="11:14" x14ac:dyDescent="0.35">
      <c r="K75" s="46"/>
      <c r="N75" s="46"/>
    </row>
    <row r="76" spans="11:14" x14ac:dyDescent="0.35">
      <c r="K76" s="46"/>
      <c r="N76" s="46"/>
    </row>
    <row r="77" spans="11:14" x14ac:dyDescent="0.35">
      <c r="K77" s="46"/>
      <c r="N77" s="46"/>
    </row>
    <row r="78" spans="11:14" x14ac:dyDescent="0.35">
      <c r="K78" s="46"/>
      <c r="N78" s="46"/>
    </row>
    <row r="79" spans="11:14" x14ac:dyDescent="0.35">
      <c r="K79" s="46"/>
      <c r="N79" s="46"/>
    </row>
    <row r="80" spans="11:14" x14ac:dyDescent="0.35">
      <c r="K80" s="46"/>
      <c r="N80" s="46"/>
    </row>
    <row r="81" spans="11:14" x14ac:dyDescent="0.35">
      <c r="K81" s="46"/>
      <c r="N81" s="46"/>
    </row>
    <row r="82" spans="11:14" x14ac:dyDescent="0.35">
      <c r="K82" s="46"/>
      <c r="N82" s="46"/>
    </row>
    <row r="83" spans="11:14" x14ac:dyDescent="0.35">
      <c r="K83" s="46"/>
      <c r="N83" s="46"/>
    </row>
    <row r="84" spans="11:14" x14ac:dyDescent="0.35">
      <c r="K84" s="46"/>
      <c r="N84" s="46"/>
    </row>
    <row r="85" spans="11:14" x14ac:dyDescent="0.35">
      <c r="K85" s="46"/>
      <c r="N85" s="46"/>
    </row>
    <row r="86" spans="11:14" x14ac:dyDescent="0.35">
      <c r="K86" s="46"/>
      <c r="N86" s="46"/>
    </row>
    <row r="87" spans="11:14" x14ac:dyDescent="0.35">
      <c r="K87" s="46"/>
      <c r="N87" s="46"/>
    </row>
    <row r="88" spans="11:14" x14ac:dyDescent="0.35">
      <c r="K88" s="46"/>
      <c r="N88" s="46"/>
    </row>
    <row r="89" spans="11:14" x14ac:dyDescent="0.35">
      <c r="K89" s="47"/>
      <c r="N89" s="4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1819C-DA37-4E30-85DA-BD7CA94EA188}">
  <dimension ref="A1:Z132"/>
  <sheetViews>
    <sheetView zoomScaleNormal="100" workbookViewId="0"/>
  </sheetViews>
  <sheetFormatPr defaultRowHeight="14.5" x14ac:dyDescent="0.35"/>
  <cols>
    <col min="1" max="1" width="11" customWidth="1"/>
    <col min="2" max="2" width="9.7265625" customWidth="1"/>
    <col min="3" max="3" width="11.6328125" customWidth="1"/>
    <col min="7" max="7" width="16" customWidth="1"/>
    <col min="9" max="9" width="10.6328125" customWidth="1"/>
    <col min="10" max="10" width="10.90625" customWidth="1"/>
    <col min="11" max="11" width="8.08984375" customWidth="1"/>
    <col min="12" max="12" width="8.6328125" customWidth="1"/>
    <col min="13" max="15" width="8.453125" customWidth="1"/>
    <col min="23" max="23" width="8.7265625" style="98"/>
  </cols>
  <sheetData>
    <row r="1" spans="1:26" ht="15.5" thickTop="1" thickBot="1" x14ac:dyDescent="0.4">
      <c r="A1" s="1"/>
      <c r="B1" s="2"/>
      <c r="C1" s="2"/>
      <c r="D1" s="3" t="s">
        <v>165</v>
      </c>
      <c r="E1" s="2"/>
      <c r="F1" s="2"/>
      <c r="G1" s="2"/>
      <c r="H1" s="4"/>
      <c r="I1" s="37" t="s">
        <v>69</v>
      </c>
      <c r="J1" s="45" t="s">
        <v>240</v>
      </c>
      <c r="K1" s="48" t="s">
        <v>114</v>
      </c>
      <c r="L1" s="34"/>
      <c r="M1" s="35"/>
      <c r="N1" s="35"/>
      <c r="Q1" s="42" t="s">
        <v>233</v>
      </c>
      <c r="R1" s="42"/>
      <c r="S1" s="42"/>
      <c r="T1" s="42" t="s">
        <v>257</v>
      </c>
      <c r="X1" t="s">
        <v>234</v>
      </c>
    </row>
    <row r="2" spans="1:26" ht="15.5" thickTop="1" thickBot="1" x14ac:dyDescent="0.4">
      <c r="A2" s="37" t="s">
        <v>52</v>
      </c>
      <c r="B2" s="2" t="s">
        <v>215</v>
      </c>
      <c r="C2" s="2"/>
      <c r="D2" s="3"/>
      <c r="E2" s="2"/>
      <c r="F2" s="2"/>
      <c r="G2" s="6"/>
      <c r="H2" s="32"/>
      <c r="I2" s="37" t="s">
        <v>60</v>
      </c>
      <c r="J2" s="5" t="s">
        <v>61</v>
      </c>
      <c r="K2" s="34" t="s">
        <v>46</v>
      </c>
      <c r="L2" s="34" t="s">
        <v>41</v>
      </c>
      <c r="M2" s="34" t="s">
        <v>42</v>
      </c>
      <c r="N2" s="34" t="s">
        <v>41</v>
      </c>
      <c r="O2" s="34" t="s">
        <v>42</v>
      </c>
      <c r="Q2" s="42" t="s">
        <v>235</v>
      </c>
      <c r="R2" s="42"/>
      <c r="S2" s="42" t="s">
        <v>265</v>
      </c>
      <c r="T2" s="42"/>
      <c r="X2" t="s">
        <v>236</v>
      </c>
    </row>
    <row r="3" spans="1:26" ht="15.5" thickTop="1" thickBot="1" x14ac:dyDescent="0.4">
      <c r="A3" s="37" t="s">
        <v>0</v>
      </c>
      <c r="B3" s="33" t="s">
        <v>178</v>
      </c>
      <c r="C3" s="7" t="s">
        <v>1</v>
      </c>
      <c r="D3" s="8"/>
      <c r="E3" s="7" t="s">
        <v>2</v>
      </c>
      <c r="F3" s="9"/>
      <c r="G3" s="10" t="s">
        <v>3</v>
      </c>
      <c r="H3" s="8"/>
      <c r="I3" s="35" t="s">
        <v>70</v>
      </c>
      <c r="J3" s="9">
        <v>1</v>
      </c>
      <c r="K3" s="46" t="s">
        <v>72</v>
      </c>
      <c r="L3" s="46">
        <f>SUMIFS($A$11:$A$401,$B$11:$B$401,"CH",$F$11:$F$401,"1")</f>
        <v>0</v>
      </c>
      <c r="M3" s="46" t="s">
        <v>6</v>
      </c>
      <c r="N3" s="46">
        <f>SUMIFS($A$11:$A$401,$B$11:$B$401,"RT",$F$11:$F$401,"1")</f>
        <v>133</v>
      </c>
      <c r="O3" s="46" t="s">
        <v>13</v>
      </c>
      <c r="Q3" s="42" t="s">
        <v>47</v>
      </c>
      <c r="R3" s="42" t="s">
        <v>46</v>
      </c>
      <c r="S3" s="42" t="s">
        <v>199</v>
      </c>
      <c r="T3" s="42" t="s">
        <v>200</v>
      </c>
      <c r="U3" t="s">
        <v>200</v>
      </c>
      <c r="V3" t="s">
        <v>200</v>
      </c>
      <c r="W3" s="98" t="s">
        <v>264</v>
      </c>
      <c r="X3" t="s">
        <v>266</v>
      </c>
      <c r="Z3" t="s">
        <v>201</v>
      </c>
    </row>
    <row r="4" spans="1:26" ht="15" thickTop="1" x14ac:dyDescent="0.35">
      <c r="A4" s="78" t="s">
        <v>4</v>
      </c>
      <c r="B4" s="84" t="s">
        <v>241</v>
      </c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5" t="s">
        <v>10</v>
      </c>
      <c r="I4" s="35" t="s">
        <v>59</v>
      </c>
      <c r="J4" s="9">
        <v>2</v>
      </c>
      <c r="K4" s="46" t="s">
        <v>73</v>
      </c>
      <c r="L4" s="46">
        <f>SUMIFS($A$11:$A$401,$B$11:$B$401,"CH",$F$11:$F$401,"2")</f>
        <v>0</v>
      </c>
      <c r="M4" s="46" t="s">
        <v>6</v>
      </c>
      <c r="N4" s="46">
        <f>SUMIFS($A$11:$A$401,$B$11:$B$401,"RT",$F$11:$F$401,"2")</f>
        <v>3</v>
      </c>
      <c r="O4" s="46" t="s">
        <v>13</v>
      </c>
      <c r="Q4" s="42" t="s">
        <v>62</v>
      </c>
      <c r="R4" s="42">
        <v>1</v>
      </c>
      <c r="S4" s="42">
        <v>464</v>
      </c>
      <c r="T4" s="42">
        <v>15.6</v>
      </c>
      <c r="U4">
        <v>14.8</v>
      </c>
      <c r="V4">
        <v>13.6</v>
      </c>
      <c r="W4" s="98">
        <f>AVERAGE(T4:V4)</f>
        <v>14.666666666666666</v>
      </c>
      <c r="X4" s="98">
        <f>W4*S4</f>
        <v>6805.333333333333</v>
      </c>
      <c r="Z4" t="s">
        <v>237</v>
      </c>
    </row>
    <row r="5" spans="1:26" x14ac:dyDescent="0.35">
      <c r="A5" s="82" t="s">
        <v>11</v>
      </c>
      <c r="B5" s="83">
        <v>44433</v>
      </c>
      <c r="C5" s="11" t="s">
        <v>12</v>
      </c>
      <c r="D5" s="12" t="s">
        <v>13</v>
      </c>
      <c r="E5" s="13" t="s">
        <v>14</v>
      </c>
      <c r="F5" s="12" t="s">
        <v>15</v>
      </c>
      <c r="G5" s="14" t="s">
        <v>67</v>
      </c>
      <c r="H5" s="15" t="s">
        <v>16</v>
      </c>
      <c r="I5" s="35"/>
      <c r="J5" s="9"/>
      <c r="K5" s="46" t="s">
        <v>74</v>
      </c>
      <c r="L5" s="46">
        <f>SUMIFS($A$11:$A$401,$B$11:$B$401,"CH",$F$11:$F$401,"3")</f>
        <v>11</v>
      </c>
      <c r="M5" s="46" t="s">
        <v>6</v>
      </c>
      <c r="N5" s="46">
        <f>SUMIFS($A$11:$A$401,$B$11:$B$401,"RT",$F$11:$F$401,"3")</f>
        <v>296</v>
      </c>
      <c r="O5" s="46" t="s">
        <v>13</v>
      </c>
      <c r="Q5" s="42" t="s">
        <v>224</v>
      </c>
      <c r="R5" s="42">
        <v>2</v>
      </c>
      <c r="S5" s="42">
        <v>108</v>
      </c>
      <c r="T5" s="42">
        <v>11.8</v>
      </c>
      <c r="U5">
        <v>24.4</v>
      </c>
      <c r="V5">
        <v>26.5</v>
      </c>
      <c r="W5" s="98">
        <f t="shared" ref="W5:W7" si="0">AVERAGE(T5:V5)</f>
        <v>20.900000000000002</v>
      </c>
      <c r="X5" s="98">
        <f t="shared" ref="X5:X7" si="1">W5*S5</f>
        <v>2257.2000000000003</v>
      </c>
    </row>
    <row r="6" spans="1:26" x14ac:dyDescent="0.35">
      <c r="A6" s="79" t="s">
        <v>156</v>
      </c>
      <c r="B6" s="67" t="s">
        <v>216</v>
      </c>
      <c r="C6" s="11" t="s">
        <v>17</v>
      </c>
      <c r="D6" s="12" t="s">
        <v>18</v>
      </c>
      <c r="E6" s="13" t="s">
        <v>19</v>
      </c>
      <c r="F6" s="12" t="s">
        <v>20</v>
      </c>
      <c r="G6" s="14" t="s">
        <v>21</v>
      </c>
      <c r="H6" s="15" t="s">
        <v>22</v>
      </c>
      <c r="I6" s="35"/>
      <c r="J6" s="9"/>
      <c r="K6" s="46" t="s">
        <v>75</v>
      </c>
      <c r="L6" s="46">
        <f>SUMIFS($A$11:$A$401,$B$11:$B$401,"CH",$F$11:$F$401,"4")</f>
        <v>2</v>
      </c>
      <c r="M6" s="46" t="s">
        <v>6</v>
      </c>
      <c r="N6" s="46">
        <f>SUMIFS($A$11:$A$401,$B$11:$B$401,"RT",$F$11:$F$401,"4")</f>
        <v>90</v>
      </c>
      <c r="O6" s="46" t="s">
        <v>13</v>
      </c>
      <c r="Q6" s="42" t="s">
        <v>62</v>
      </c>
      <c r="R6" s="42">
        <v>3</v>
      </c>
      <c r="S6" s="42">
        <v>300</v>
      </c>
      <c r="T6" s="42">
        <v>19.3</v>
      </c>
      <c r="U6">
        <v>13.5</v>
      </c>
      <c r="W6" s="98">
        <f t="shared" si="0"/>
        <v>16.399999999999999</v>
      </c>
      <c r="X6" s="98">
        <f t="shared" si="1"/>
        <v>4920</v>
      </c>
      <c r="Z6" t="s">
        <v>237</v>
      </c>
    </row>
    <row r="7" spans="1:26" x14ac:dyDescent="0.35">
      <c r="A7" s="80" t="s">
        <v>23</v>
      </c>
      <c r="B7" s="68">
        <v>2</v>
      </c>
      <c r="C7" s="11" t="s">
        <v>24</v>
      </c>
      <c r="D7" s="12" t="s">
        <v>25</v>
      </c>
      <c r="E7" s="11" t="s">
        <v>68</v>
      </c>
      <c r="F7" s="12" t="s">
        <v>62</v>
      </c>
      <c r="G7" s="16" t="s">
        <v>136</v>
      </c>
      <c r="H7" s="70" t="s">
        <v>137</v>
      </c>
      <c r="I7" s="35"/>
      <c r="J7" s="9"/>
      <c r="K7" s="46" t="s">
        <v>76</v>
      </c>
      <c r="L7" s="46">
        <f>SUMIFS($A$11:$A$401,$B$11:$B$401,"CH",$F$11:$F$401,"5")</f>
        <v>0</v>
      </c>
      <c r="M7" s="46" t="s">
        <v>6</v>
      </c>
      <c r="N7" s="46">
        <f>SUMIFS($A$11:$A$401,$B$11:$B$401,"RT",$F$11:$F$401,"5")</f>
        <v>0</v>
      </c>
      <c r="O7" s="46" t="s">
        <v>13</v>
      </c>
      <c r="Q7" s="42" t="s">
        <v>224</v>
      </c>
      <c r="R7" s="42">
        <v>4</v>
      </c>
      <c r="S7" s="42">
        <v>49.5</v>
      </c>
      <c r="T7" s="42">
        <v>10.7</v>
      </c>
      <c r="U7">
        <v>6.2</v>
      </c>
      <c r="W7" s="98">
        <f t="shared" si="0"/>
        <v>8.4499999999999993</v>
      </c>
      <c r="X7" s="98">
        <f t="shared" si="1"/>
        <v>418.27499999999998</v>
      </c>
    </row>
    <row r="8" spans="1:26" ht="15" thickBot="1" x14ac:dyDescent="0.4">
      <c r="A8" s="81" t="s">
        <v>26</v>
      </c>
      <c r="B8" s="74">
        <v>1</v>
      </c>
      <c r="C8" s="13" t="s">
        <v>63</v>
      </c>
      <c r="D8" s="12" t="s">
        <v>64</v>
      </c>
      <c r="E8" s="13" t="s">
        <v>66</v>
      </c>
      <c r="F8" s="12" t="s">
        <v>58</v>
      </c>
      <c r="G8" s="16" t="s">
        <v>55</v>
      </c>
      <c r="H8" s="15" t="s">
        <v>53</v>
      </c>
      <c r="I8" s="35"/>
      <c r="J8" s="9"/>
      <c r="K8" s="46" t="s">
        <v>77</v>
      </c>
      <c r="L8" s="46">
        <f>SUMIFS($A$11:$A$401,$B$11:$B$401,"CH",$F$11:$F$401,"6")</f>
        <v>0</v>
      </c>
      <c r="M8" s="46" t="s">
        <v>6</v>
      </c>
      <c r="N8" s="46">
        <f>SUMIFS($A$11:$A$401,$B$11:$B$401,"RT",$F$11:$F$401,"6")</f>
        <v>0</v>
      </c>
      <c r="O8" s="46" t="s">
        <v>13</v>
      </c>
      <c r="Q8" s="42"/>
      <c r="R8" s="43"/>
      <c r="S8" s="42">
        <f>SUM(S4:S7)</f>
        <v>921.5</v>
      </c>
      <c r="T8" s="42" t="s">
        <v>273</v>
      </c>
      <c r="V8" t="s">
        <v>263</v>
      </c>
      <c r="W8" s="98">
        <f>AVERAGE(T4:V4,T5:V5,T6:U6,T7:U7)</f>
        <v>15.639999999999997</v>
      </c>
      <c r="X8" s="98">
        <f>SUM(X4:X7)</f>
        <v>14400.808333333332</v>
      </c>
      <c r="Y8" t="s">
        <v>260</v>
      </c>
    </row>
    <row r="9" spans="1:26" ht="15.5" thickTop="1" thickBot="1" x14ac:dyDescent="0.4">
      <c r="A9" s="38" t="s">
        <v>28</v>
      </c>
      <c r="B9" s="75"/>
      <c r="C9" s="11" t="s">
        <v>29</v>
      </c>
      <c r="D9" s="12" t="s">
        <v>27</v>
      </c>
      <c r="E9" s="18" t="s">
        <v>30</v>
      </c>
      <c r="F9" s="12" t="s">
        <v>31</v>
      </c>
      <c r="G9" s="17" t="s">
        <v>56</v>
      </c>
      <c r="H9" s="71" t="s">
        <v>54</v>
      </c>
      <c r="I9" s="69"/>
      <c r="J9" s="25"/>
      <c r="K9" s="46" t="s">
        <v>78</v>
      </c>
      <c r="L9" s="46">
        <f>SUMIFS($A$11:$A$401,$B$11:$B$401,"CH",$F$11:$F$401,"7")</f>
        <v>0</v>
      </c>
      <c r="M9" s="46" t="s">
        <v>6</v>
      </c>
      <c r="N9" s="46">
        <f>SUMIFS($A$11:$A$401,$B$11:$B$401,"RT",$F$11:$F$401,"7")</f>
        <v>0</v>
      </c>
      <c r="O9" s="46" t="s">
        <v>13</v>
      </c>
      <c r="R9" s="42"/>
      <c r="S9" s="98">
        <f>S8*0.3048</f>
        <v>280.8732</v>
      </c>
      <c r="T9" s="42" t="s">
        <v>274</v>
      </c>
      <c r="W9" s="98">
        <f>W8*0.3048</f>
        <v>4.7670719999999998</v>
      </c>
      <c r="X9" s="98">
        <f>X8*0.092903</f>
        <v>1337.8782965916666</v>
      </c>
      <c r="Y9" t="s">
        <v>261</v>
      </c>
    </row>
    <row r="10" spans="1:26" ht="15" thickTop="1" x14ac:dyDescent="0.35">
      <c r="A10" s="76" t="s">
        <v>217</v>
      </c>
      <c r="B10" s="8"/>
      <c r="C10" s="11" t="s">
        <v>32</v>
      </c>
      <c r="D10" s="12" t="s">
        <v>33</v>
      </c>
      <c r="E10" s="20" t="s">
        <v>34</v>
      </c>
      <c r="F10" s="21" t="s">
        <v>35</v>
      </c>
      <c r="G10" s="19" t="s">
        <v>138</v>
      </c>
      <c r="H10" s="9"/>
      <c r="I10" s="36" t="s">
        <v>36</v>
      </c>
      <c r="J10" s="8"/>
      <c r="K10" s="46" t="s">
        <v>79</v>
      </c>
      <c r="L10" s="46">
        <f>SUMIFS($A$11:$A$401,$B$11:$B$401,"CH",$F$11:$F$401,"8")</f>
        <v>0</v>
      </c>
      <c r="M10" s="46" t="s">
        <v>6</v>
      </c>
      <c r="N10" s="46">
        <f>SUMIFS($A$11:$A$401,$B$11:$B$401,"RT",$F$11:$F$401,"8")</f>
        <v>0</v>
      </c>
      <c r="O10" s="46" t="s">
        <v>13</v>
      </c>
      <c r="R10" s="42"/>
      <c r="S10" s="42"/>
      <c r="T10" s="42"/>
    </row>
    <row r="11" spans="1:26" ht="15" thickBot="1" x14ac:dyDescent="0.4">
      <c r="A11" s="22" t="s">
        <v>182</v>
      </c>
      <c r="B11" s="23"/>
      <c r="C11" s="22" t="s">
        <v>37</v>
      </c>
      <c r="D11" s="24" t="s">
        <v>38</v>
      </c>
      <c r="E11" s="20" t="s">
        <v>39</v>
      </c>
      <c r="F11" s="24" t="s">
        <v>57</v>
      </c>
      <c r="G11" t="s">
        <v>51</v>
      </c>
      <c r="H11" s="24" t="s">
        <v>40</v>
      </c>
      <c r="I11" s="44" t="s">
        <v>232</v>
      </c>
      <c r="J11" s="25"/>
      <c r="K11" s="46" t="s">
        <v>80</v>
      </c>
      <c r="L11" s="46">
        <f>SUMIFS($A$11:$A$401,$B$11:$B$401,"CH",$F$11:$F$401,"9")</f>
        <v>0</v>
      </c>
      <c r="M11" s="46" t="s">
        <v>6</v>
      </c>
      <c r="N11" s="46">
        <f>SUMIFS($A$11:$A$401,$B$11:$B$401,"RT",$F$11:$F$401,"9")</f>
        <v>0</v>
      </c>
      <c r="O11" s="46" t="s">
        <v>13</v>
      </c>
      <c r="Q11" s="42" t="s">
        <v>238</v>
      </c>
    </row>
    <row r="12" spans="1:26" ht="15.5" thickTop="1" thickBot="1" x14ac:dyDescent="0.4">
      <c r="A12" s="85" t="s">
        <v>41</v>
      </c>
      <c r="B12" s="86" t="s">
        <v>42</v>
      </c>
      <c r="C12" s="86" t="s">
        <v>43</v>
      </c>
      <c r="D12" s="86" t="s">
        <v>44</v>
      </c>
      <c r="E12" s="86" t="s">
        <v>45</v>
      </c>
      <c r="F12" s="86" t="s">
        <v>46</v>
      </c>
      <c r="G12" s="86" t="s">
        <v>47</v>
      </c>
      <c r="H12" s="86" t="s">
        <v>48</v>
      </c>
      <c r="I12" s="86" t="s">
        <v>49</v>
      </c>
      <c r="J12" s="86" t="s">
        <v>50</v>
      </c>
      <c r="K12" s="46" t="s">
        <v>81</v>
      </c>
      <c r="L12" s="46">
        <f>SUMIFS($A$11:$A$401,$B$11:$B$401,"CH",$F$11:$F$401,"10")</f>
        <v>0</v>
      </c>
      <c r="M12" s="46" t="s">
        <v>6</v>
      </c>
      <c r="N12" s="46">
        <f>SUMIFS($A$11:$A$401,$B$11:$B$401,"RT",$F$11:$F$401,"10")</f>
        <v>0</v>
      </c>
      <c r="O12" s="46" t="s">
        <v>13</v>
      </c>
      <c r="P12" s="42"/>
      <c r="Q12" s="42" t="s">
        <v>239</v>
      </c>
    </row>
    <row r="13" spans="1:26" ht="15" thickTop="1" x14ac:dyDescent="0.35">
      <c r="A13" s="91">
        <v>1</v>
      </c>
      <c r="B13" s="92" t="s">
        <v>13</v>
      </c>
      <c r="C13" s="91">
        <v>30</v>
      </c>
      <c r="D13" s="92" t="s">
        <v>70</v>
      </c>
      <c r="E13" s="91">
        <v>1</v>
      </c>
      <c r="F13" s="91">
        <v>1</v>
      </c>
      <c r="G13" s="91" t="s">
        <v>62</v>
      </c>
      <c r="H13" s="91" t="s">
        <v>218</v>
      </c>
      <c r="I13" s="91">
        <v>1040</v>
      </c>
      <c r="J13" s="91" t="s">
        <v>219</v>
      </c>
      <c r="K13" s="46" t="s">
        <v>82</v>
      </c>
      <c r="L13" s="46">
        <f>SUMIFS($A$11:$A$401,$B$11:$B$401,"CH",$F$11:$F$401,"11")</f>
        <v>0</v>
      </c>
      <c r="M13" s="46" t="s">
        <v>6</v>
      </c>
      <c r="N13" s="46">
        <f>SUMIFS($A$11:$A$401,$B$11:$B$401,"RT",$F$11:$F$401,"11")</f>
        <v>0</v>
      </c>
      <c r="O13" s="46" t="s">
        <v>13</v>
      </c>
      <c r="P13" s="42"/>
    </row>
    <row r="14" spans="1:26" x14ac:dyDescent="0.35">
      <c r="A14" s="93">
        <v>1</v>
      </c>
      <c r="B14" s="41" t="s">
        <v>13</v>
      </c>
      <c r="C14" s="93">
        <v>30</v>
      </c>
      <c r="D14" s="41" t="s">
        <v>59</v>
      </c>
      <c r="E14" s="93">
        <v>2</v>
      </c>
      <c r="F14" s="93">
        <v>1</v>
      </c>
      <c r="G14" s="93" t="s">
        <v>62</v>
      </c>
      <c r="H14" s="93" t="s">
        <v>220</v>
      </c>
      <c r="I14" s="93"/>
      <c r="J14" s="93" t="s">
        <v>221</v>
      </c>
      <c r="K14" s="46" t="s">
        <v>83</v>
      </c>
      <c r="L14" s="46">
        <f>SUMIFS($A$11:$A$401,$B$11:$B$401,"CH",$F$11:$F$401,"12")</f>
        <v>0</v>
      </c>
      <c r="M14" s="46" t="s">
        <v>6</v>
      </c>
      <c r="N14" s="46">
        <f>SUMIFS($A$11:$A$401,$B$11:$B$401,"RT",$F$11:$F$401,"12")</f>
        <v>0</v>
      </c>
      <c r="O14" s="46" t="s">
        <v>13</v>
      </c>
      <c r="P14" s="42"/>
      <c r="Q14" t="s">
        <v>267</v>
      </c>
    </row>
    <row r="15" spans="1:26" x14ac:dyDescent="0.35">
      <c r="A15" s="93">
        <v>1</v>
      </c>
      <c r="B15" s="41" t="s">
        <v>13</v>
      </c>
      <c r="C15" s="93">
        <v>40</v>
      </c>
      <c r="D15" s="93" t="s">
        <v>59</v>
      </c>
      <c r="E15" s="93">
        <v>2</v>
      </c>
      <c r="F15" s="93">
        <v>1</v>
      </c>
      <c r="G15" s="93" t="s">
        <v>62</v>
      </c>
      <c r="H15" s="93" t="s">
        <v>218</v>
      </c>
      <c r="I15" s="93"/>
      <c r="J15" s="93"/>
      <c r="K15" s="46" t="s">
        <v>84</v>
      </c>
      <c r="L15" s="46">
        <f>SUMIFS($A$11:$A$401,$B$11:$B$401,"CH",$F$11:$F$401,"13")</f>
        <v>0</v>
      </c>
      <c r="M15" s="46" t="s">
        <v>6</v>
      </c>
      <c r="N15" s="46">
        <f>SUMIFS($A$11:$A$401,$B$11:$B$401,"RT",$F$11:$F$401,"13")</f>
        <v>0</v>
      </c>
      <c r="O15" s="46" t="s">
        <v>13</v>
      </c>
      <c r="P15" s="42"/>
    </row>
    <row r="16" spans="1:26" x14ac:dyDescent="0.35">
      <c r="A16" s="93">
        <v>1</v>
      </c>
      <c r="B16" s="41" t="s">
        <v>13</v>
      </c>
      <c r="C16" s="93">
        <v>40</v>
      </c>
      <c r="D16" s="93" t="s">
        <v>59</v>
      </c>
      <c r="E16" s="93">
        <v>2</v>
      </c>
      <c r="F16" s="93">
        <v>1</v>
      </c>
      <c r="G16" s="93" t="s">
        <v>62</v>
      </c>
      <c r="H16" s="93" t="s">
        <v>218</v>
      </c>
      <c r="I16" s="93"/>
      <c r="J16" s="93"/>
      <c r="K16" s="46" t="s">
        <v>85</v>
      </c>
      <c r="L16" s="46">
        <f>SUMIFS($A$11:$A$401,$B$11:$B$401,"CH",$F$11:$F$401,"14")</f>
        <v>0</v>
      </c>
      <c r="M16" s="46" t="s">
        <v>6</v>
      </c>
      <c r="N16" s="46">
        <f>SUMIFS($A$11:$A$401,$B$11:$B$401,"RT",$F$11:$F$401,"14")</f>
        <v>0</v>
      </c>
      <c r="O16" s="46" t="s">
        <v>13</v>
      </c>
      <c r="P16" s="42"/>
    </row>
    <row r="17" spans="1:16" x14ac:dyDescent="0.35">
      <c r="A17" s="93">
        <v>1</v>
      </c>
      <c r="B17" s="41" t="s">
        <v>13</v>
      </c>
      <c r="C17" s="93">
        <v>20</v>
      </c>
      <c r="D17" s="93" t="s">
        <v>70</v>
      </c>
      <c r="E17" s="93">
        <v>1</v>
      </c>
      <c r="F17" s="93">
        <v>1</v>
      </c>
      <c r="G17" s="93" t="s">
        <v>62</v>
      </c>
      <c r="H17" s="93" t="s">
        <v>16</v>
      </c>
      <c r="I17" s="93"/>
      <c r="J17" s="93"/>
      <c r="K17" s="46" t="s">
        <v>86</v>
      </c>
      <c r="L17" s="46">
        <f>SUMIFS($A$11:$A$401,$B$11:$B$401,"CH",$F$11:$F$401,"15")</f>
        <v>0</v>
      </c>
      <c r="M17" s="46" t="s">
        <v>6</v>
      </c>
      <c r="N17" s="46">
        <f>SUMIFS($A$11:$A$401,$B$11:$B$401,"RT",$F$11:$F$401,"15")</f>
        <v>0</v>
      </c>
      <c r="O17" s="46" t="s">
        <v>13</v>
      </c>
      <c r="P17" s="42"/>
    </row>
    <row r="18" spans="1:16" x14ac:dyDescent="0.35">
      <c r="A18" s="93">
        <v>1</v>
      </c>
      <c r="B18" s="41" t="s">
        <v>13</v>
      </c>
      <c r="C18" s="93">
        <v>40</v>
      </c>
      <c r="D18" s="93" t="s">
        <v>59</v>
      </c>
      <c r="E18" s="93">
        <v>2</v>
      </c>
      <c r="F18" s="93">
        <v>1</v>
      </c>
      <c r="G18" s="93" t="s">
        <v>62</v>
      </c>
      <c r="H18" s="93" t="s">
        <v>16</v>
      </c>
      <c r="I18" s="93"/>
      <c r="J18" s="93"/>
      <c r="K18" s="46" t="s">
        <v>87</v>
      </c>
      <c r="L18" s="46">
        <f>SUMIFS($A$11:$A$401,$B$11:$B$401,"CH",$F$11:$F$401,"16")</f>
        <v>0</v>
      </c>
      <c r="M18" s="46" t="s">
        <v>6</v>
      </c>
      <c r="N18" s="46">
        <f>SUMIFS($A$11:$A$401,$B$11:$B$401,"RT",$F$11:$F$401,"16")</f>
        <v>0</v>
      </c>
      <c r="O18" s="46" t="s">
        <v>13</v>
      </c>
      <c r="P18" s="42"/>
    </row>
    <row r="19" spans="1:16" x14ac:dyDescent="0.35">
      <c r="A19" s="93">
        <v>1</v>
      </c>
      <c r="B19" s="41" t="s">
        <v>13</v>
      </c>
      <c r="C19" s="93">
        <v>50</v>
      </c>
      <c r="D19" s="93" t="s">
        <v>59</v>
      </c>
      <c r="E19" s="93">
        <v>2</v>
      </c>
      <c r="F19" s="93">
        <v>1</v>
      </c>
      <c r="G19" s="93" t="s">
        <v>62</v>
      </c>
      <c r="H19" s="93" t="s">
        <v>218</v>
      </c>
      <c r="I19" s="93"/>
      <c r="J19" s="93"/>
      <c r="K19" s="46" t="s">
        <v>88</v>
      </c>
      <c r="L19" s="46">
        <f>SUMIFS($A$11:$A$401,$B$11:$B$401,"CH",$F$11:$F$401,"17")</f>
        <v>0</v>
      </c>
      <c r="M19" s="46" t="s">
        <v>6</v>
      </c>
      <c r="N19" s="46">
        <f>SUMIFS($A$11:$A$401,$B$11:$B$401,"RT",$F$11:$F$401,"17")</f>
        <v>0</v>
      </c>
      <c r="O19" s="46" t="s">
        <v>13</v>
      </c>
      <c r="P19" s="42"/>
    </row>
    <row r="20" spans="1:16" x14ac:dyDescent="0.35">
      <c r="A20" s="93">
        <v>1</v>
      </c>
      <c r="B20" s="41" t="s">
        <v>13</v>
      </c>
      <c r="C20" s="93">
        <v>50</v>
      </c>
      <c r="D20" s="93" t="s">
        <v>59</v>
      </c>
      <c r="E20" s="93">
        <v>2</v>
      </c>
      <c r="F20" s="93">
        <v>1</v>
      </c>
      <c r="G20" s="93" t="s">
        <v>62</v>
      </c>
      <c r="H20" s="93" t="s">
        <v>220</v>
      </c>
      <c r="I20" s="93"/>
      <c r="J20" s="93"/>
      <c r="K20" s="46" t="s">
        <v>89</v>
      </c>
      <c r="L20" s="46">
        <f>SUMIFS($A$11:$A$401,$B$11:$B$401,"CH",$F$11:$F$401,"18")</f>
        <v>0</v>
      </c>
      <c r="M20" s="46" t="s">
        <v>6</v>
      </c>
      <c r="N20" s="46">
        <f>SUMIFS($A$11:$A$401,$B$11:$B$401,"RT",$F$11:$F$401,"18")</f>
        <v>0</v>
      </c>
      <c r="O20" s="46" t="s">
        <v>13</v>
      </c>
      <c r="P20" s="42"/>
    </row>
    <row r="21" spans="1:16" x14ac:dyDescent="0.35">
      <c r="A21" s="93">
        <v>20</v>
      </c>
      <c r="B21" s="41" t="s">
        <v>13</v>
      </c>
      <c r="C21" s="93">
        <v>60</v>
      </c>
      <c r="D21" s="93" t="s">
        <v>70</v>
      </c>
      <c r="E21" s="93">
        <v>1</v>
      </c>
      <c r="F21" s="93">
        <v>1</v>
      </c>
      <c r="G21" s="93" t="s">
        <v>62</v>
      </c>
      <c r="H21" s="93" t="s">
        <v>218</v>
      </c>
      <c r="I21" s="93"/>
      <c r="J21" s="93"/>
      <c r="K21" s="46" t="s">
        <v>90</v>
      </c>
      <c r="L21" s="46">
        <f>SUMIFS($A$11:$A$401,$B$11:$B$401,"CH",$F$11:$F$401,"19")</f>
        <v>0</v>
      </c>
      <c r="M21" s="46" t="s">
        <v>6</v>
      </c>
      <c r="N21" s="46">
        <f>SUMIFS($A$11:$A$401,$B$11:$B$401,"RT",$F$11:$F$401,"19")</f>
        <v>0</v>
      </c>
      <c r="O21" s="46" t="s">
        <v>13</v>
      </c>
      <c r="P21" s="42"/>
    </row>
    <row r="22" spans="1:16" x14ac:dyDescent="0.35">
      <c r="A22" s="93">
        <v>1</v>
      </c>
      <c r="B22" s="41" t="s">
        <v>13</v>
      </c>
      <c r="C22" s="93">
        <v>30</v>
      </c>
      <c r="D22" s="93" t="s">
        <v>70</v>
      </c>
      <c r="E22" s="93">
        <v>1</v>
      </c>
      <c r="F22" s="93">
        <v>1</v>
      </c>
      <c r="G22" s="93" t="s">
        <v>62</v>
      </c>
      <c r="H22" s="93" t="s">
        <v>218</v>
      </c>
      <c r="I22" s="93"/>
      <c r="J22" s="93"/>
      <c r="K22" s="46" t="s">
        <v>91</v>
      </c>
      <c r="L22" s="46">
        <f>SUMIFS($A$11:$A$401,$B$11:$B$401,"CH",$F$11:$F$401,"20")</f>
        <v>0</v>
      </c>
      <c r="M22" s="46" t="s">
        <v>6</v>
      </c>
      <c r="N22" s="46">
        <f>SUMIFS($A$11:$A$401,$B$11:$B$401,"RT",$F$11:$F$401,"20")</f>
        <v>0</v>
      </c>
      <c r="O22" s="46" t="s">
        <v>13</v>
      </c>
    </row>
    <row r="23" spans="1:16" x14ac:dyDescent="0.35">
      <c r="A23" s="93">
        <v>2</v>
      </c>
      <c r="B23" s="41" t="s">
        <v>13</v>
      </c>
      <c r="C23" s="93">
        <v>40</v>
      </c>
      <c r="D23" s="93" t="s">
        <v>59</v>
      </c>
      <c r="E23" s="93">
        <v>2</v>
      </c>
      <c r="F23" s="93">
        <v>1</v>
      </c>
      <c r="G23" s="93" t="s">
        <v>62</v>
      </c>
      <c r="H23" s="93" t="s">
        <v>220</v>
      </c>
      <c r="I23" s="93"/>
      <c r="J23" s="93"/>
      <c r="K23" s="46" t="s">
        <v>92</v>
      </c>
      <c r="L23" s="46">
        <f>SUMIFS($A$11:$A$401,$B$11:$B$401,"CH",$F$11:$F$401,"21")</f>
        <v>0</v>
      </c>
      <c r="M23" s="46" t="s">
        <v>6</v>
      </c>
      <c r="N23" s="46">
        <f>SUMIFS($A$11:$A$401,$B$11:$B$401,"RT",$F$11:$F$401,"21")</f>
        <v>0</v>
      </c>
      <c r="O23" s="46" t="s">
        <v>13</v>
      </c>
    </row>
    <row r="24" spans="1:16" x14ac:dyDescent="0.35">
      <c r="A24" s="93">
        <v>1</v>
      </c>
      <c r="B24" s="41" t="s">
        <v>13</v>
      </c>
      <c r="C24" s="93">
        <v>50</v>
      </c>
      <c r="D24" s="93" t="s">
        <v>70</v>
      </c>
      <c r="E24" s="93">
        <v>1</v>
      </c>
      <c r="F24" s="93">
        <v>1</v>
      </c>
      <c r="G24" s="93" t="s">
        <v>62</v>
      </c>
      <c r="H24" s="93" t="s">
        <v>218</v>
      </c>
      <c r="I24" s="93"/>
      <c r="J24" s="93"/>
      <c r="K24" s="46" t="s">
        <v>93</v>
      </c>
      <c r="L24" s="46">
        <f>SUMIFS($A$11:$A$401,$B$11:$B$401,"CH",$F$11:$F$401,"22")</f>
        <v>0</v>
      </c>
      <c r="M24" s="46" t="s">
        <v>6</v>
      </c>
      <c r="N24" s="46">
        <f>SUMIFS($A$11:$A$401,$B$11:$B$401,"RT",$F$11:$F$401,"22")</f>
        <v>0</v>
      </c>
      <c r="O24" s="46" t="s">
        <v>13</v>
      </c>
    </row>
    <row r="25" spans="1:16" x14ac:dyDescent="0.35">
      <c r="A25" s="93">
        <v>1</v>
      </c>
      <c r="B25" s="41" t="s">
        <v>13</v>
      </c>
      <c r="C25" s="93">
        <v>30</v>
      </c>
      <c r="D25" s="93" t="s">
        <v>59</v>
      </c>
      <c r="E25" s="93">
        <v>2</v>
      </c>
      <c r="F25" s="93">
        <v>1</v>
      </c>
      <c r="G25" s="93" t="s">
        <v>62</v>
      </c>
      <c r="H25" s="93" t="s">
        <v>220</v>
      </c>
      <c r="I25" s="93"/>
      <c r="J25" s="93"/>
      <c r="K25" s="46" t="s">
        <v>94</v>
      </c>
      <c r="L25" s="46">
        <f>SUMIFS($A$11:$A$401,$B$11:$B$401,"CH",$F$11:$F$401,"23")</f>
        <v>0</v>
      </c>
      <c r="M25" s="46" t="s">
        <v>6</v>
      </c>
      <c r="N25" s="46">
        <f>SUMIFS($A$11:$A$401,$B$11:$B$401,"RT",$F$11:$F$401,"23")</f>
        <v>0</v>
      </c>
      <c r="O25" s="46" t="s">
        <v>13</v>
      </c>
    </row>
    <row r="26" spans="1:16" x14ac:dyDescent="0.35">
      <c r="A26" s="93">
        <v>2</v>
      </c>
      <c r="B26" s="41" t="s">
        <v>13</v>
      </c>
      <c r="C26" s="93">
        <v>30</v>
      </c>
      <c r="D26" s="93" t="s">
        <v>70</v>
      </c>
      <c r="E26" s="93">
        <v>1</v>
      </c>
      <c r="F26" s="93">
        <v>1</v>
      </c>
      <c r="G26" s="93" t="s">
        <v>62</v>
      </c>
      <c r="H26" s="93" t="s">
        <v>220</v>
      </c>
      <c r="I26" s="93"/>
      <c r="J26" s="93"/>
      <c r="K26" s="46" t="s">
        <v>95</v>
      </c>
      <c r="L26" s="46">
        <f>SUMIFS($A$11:$A$401,$B$11:$B$401,"CH",$F$11:$F$401,"24")</f>
        <v>0</v>
      </c>
      <c r="M26" s="46" t="s">
        <v>6</v>
      </c>
      <c r="N26" s="46">
        <f>SUMIFS($A$11:$A$401,$B$11:$B$401,"RT",$F$11:$F$401,"24")</f>
        <v>0</v>
      </c>
      <c r="O26" s="46" t="s">
        <v>13</v>
      </c>
    </row>
    <row r="27" spans="1:16" x14ac:dyDescent="0.35">
      <c r="A27" s="93">
        <v>1</v>
      </c>
      <c r="B27" s="41" t="s">
        <v>13</v>
      </c>
      <c r="C27" s="93">
        <v>40</v>
      </c>
      <c r="D27" s="93" t="s">
        <v>59</v>
      </c>
      <c r="E27" s="93">
        <v>2</v>
      </c>
      <c r="F27" s="93">
        <v>1</v>
      </c>
      <c r="G27" s="93" t="s">
        <v>62</v>
      </c>
      <c r="H27" s="93" t="s">
        <v>220</v>
      </c>
      <c r="I27" s="93"/>
      <c r="J27" s="93"/>
      <c r="K27" s="46" t="s">
        <v>96</v>
      </c>
      <c r="L27" s="46">
        <f>SUMIFS($A$11:$A$401,$B$11:$B$401,"CH",$F$11:$F$401,"25")</f>
        <v>0</v>
      </c>
      <c r="M27" s="46" t="s">
        <v>6</v>
      </c>
      <c r="N27" s="46">
        <f>SUMIFS($A$11:$A$401,$B$11:$B$401,"RT",$F$11:$F$401,"25")</f>
        <v>0</v>
      </c>
      <c r="O27" s="46" t="s">
        <v>13</v>
      </c>
    </row>
    <row r="28" spans="1:16" x14ac:dyDescent="0.35">
      <c r="A28" s="93">
        <v>3</v>
      </c>
      <c r="B28" s="41" t="s">
        <v>13</v>
      </c>
      <c r="C28" s="93">
        <v>30</v>
      </c>
      <c r="D28" s="93" t="s">
        <v>70</v>
      </c>
      <c r="E28" s="93">
        <v>1</v>
      </c>
      <c r="F28" s="93">
        <v>1</v>
      </c>
      <c r="G28" s="93" t="s">
        <v>62</v>
      </c>
      <c r="H28" s="93" t="s">
        <v>220</v>
      </c>
      <c r="I28" s="93"/>
      <c r="J28" s="93"/>
      <c r="K28" s="46" t="s">
        <v>97</v>
      </c>
      <c r="L28" s="46">
        <f>SUMIFS($A$11:$A$401,$B$11:$B$401,"CH",$F$11:$F$401,"26")</f>
        <v>0</v>
      </c>
      <c r="M28" s="46" t="s">
        <v>6</v>
      </c>
      <c r="N28" s="46">
        <f>SUMIFS($A$11:$A$401,$B$11:$B$401,"RT",$F$11:$F$401,"26")</f>
        <v>0</v>
      </c>
      <c r="O28" s="46" t="s">
        <v>13</v>
      </c>
    </row>
    <row r="29" spans="1:16" x14ac:dyDescent="0.35">
      <c r="A29" s="93">
        <v>25</v>
      </c>
      <c r="B29" s="41" t="s">
        <v>64</v>
      </c>
      <c r="C29" s="93">
        <v>70</v>
      </c>
      <c r="D29" s="93" t="s">
        <v>59</v>
      </c>
      <c r="E29" s="93">
        <v>2</v>
      </c>
      <c r="F29" s="93">
        <v>1</v>
      </c>
      <c r="G29" s="93" t="s">
        <v>62</v>
      </c>
      <c r="H29" s="93" t="s">
        <v>218</v>
      </c>
      <c r="I29" s="93"/>
      <c r="J29" s="93"/>
      <c r="K29" s="46" t="s">
        <v>98</v>
      </c>
      <c r="L29" s="46">
        <f>SUMIFS($A$11:$A$401,$B$11:$B$401,"CH",$F$11:$F$401,"27")</f>
        <v>0</v>
      </c>
      <c r="M29" s="46" t="s">
        <v>6</v>
      </c>
      <c r="N29" s="46">
        <f>SUMIFS($A$11:$A$401,$B$11:$B$401,"RT",$F$11:$F$401,"27")</f>
        <v>0</v>
      </c>
      <c r="O29" s="46" t="s">
        <v>13</v>
      </c>
    </row>
    <row r="30" spans="1:16" x14ac:dyDescent="0.35">
      <c r="A30" s="93">
        <v>1</v>
      </c>
      <c r="B30" s="41" t="s">
        <v>13</v>
      </c>
      <c r="C30" s="93">
        <v>40</v>
      </c>
      <c r="D30" s="93" t="s">
        <v>59</v>
      </c>
      <c r="E30" s="93">
        <v>2</v>
      </c>
      <c r="F30" s="93">
        <v>1</v>
      </c>
      <c r="G30" s="93" t="s">
        <v>62</v>
      </c>
      <c r="H30" s="93" t="s">
        <v>220</v>
      </c>
      <c r="I30" s="93"/>
      <c r="J30" s="93"/>
      <c r="K30" s="46" t="s">
        <v>99</v>
      </c>
      <c r="L30" s="46">
        <f>SUMIFS($A$11:$A$401,$B$11:$B$401,"CH",$F$11:$F$401,"28")</f>
        <v>0</v>
      </c>
      <c r="M30" s="46" t="s">
        <v>6</v>
      </c>
      <c r="N30" s="46">
        <f>SUMIFS($A$11:$A$401,$B$11:$B$401,"RT",$F$11:$F$401,"28")</f>
        <v>0</v>
      </c>
      <c r="O30" s="46" t="s">
        <v>13</v>
      </c>
    </row>
    <row r="31" spans="1:16" x14ac:dyDescent="0.35">
      <c r="A31" s="93">
        <v>1</v>
      </c>
      <c r="B31" s="41" t="s">
        <v>13</v>
      </c>
      <c r="C31" s="93">
        <v>20</v>
      </c>
      <c r="D31" s="93" t="s">
        <v>59</v>
      </c>
      <c r="E31" s="93">
        <v>2</v>
      </c>
      <c r="F31" s="93">
        <v>1</v>
      </c>
      <c r="G31" s="93" t="s">
        <v>62</v>
      </c>
      <c r="H31" s="93" t="s">
        <v>220</v>
      </c>
      <c r="I31" s="93"/>
      <c r="J31" s="93"/>
      <c r="K31" s="46" t="s">
        <v>100</v>
      </c>
      <c r="L31" s="46">
        <f>SUMIFS($A$11:$A$401,$B$11:$B$401,"CH",$F$11:$F$401,"29")</f>
        <v>0</v>
      </c>
      <c r="M31" s="46" t="s">
        <v>6</v>
      </c>
      <c r="N31" s="46">
        <f>SUMIFS($A$11:$A$401,$B$11:$B$401,"RT",$F$11:$F$401,"29")</f>
        <v>0</v>
      </c>
      <c r="O31" s="46" t="s">
        <v>13</v>
      </c>
    </row>
    <row r="32" spans="1:16" x14ac:dyDescent="0.35">
      <c r="A32" s="93">
        <v>2</v>
      </c>
      <c r="B32" s="41" t="s">
        <v>13</v>
      </c>
      <c r="C32" s="93">
        <v>40</v>
      </c>
      <c r="D32" s="93" t="s">
        <v>70</v>
      </c>
      <c r="E32" s="93">
        <v>1</v>
      </c>
      <c r="F32" s="93">
        <v>1</v>
      </c>
      <c r="G32" s="93" t="s">
        <v>62</v>
      </c>
      <c r="H32" s="93" t="s">
        <v>16</v>
      </c>
      <c r="I32" s="94"/>
      <c r="J32" s="93"/>
      <c r="K32" s="46" t="s">
        <v>101</v>
      </c>
      <c r="L32" s="46">
        <f>SUMIFS($A$11:$A$401,$B$11:$B$401,"CH",$F$11:$F$401,"30")</f>
        <v>0</v>
      </c>
      <c r="M32" s="46" t="s">
        <v>6</v>
      </c>
      <c r="N32" s="46">
        <f>SUMIFS($A$11:$A$401,$B$11:$B$401,"RT",$F$11:$F$401,"30")</f>
        <v>0</v>
      </c>
      <c r="O32" s="46" t="s">
        <v>13</v>
      </c>
    </row>
    <row r="33" spans="1:15" x14ac:dyDescent="0.35">
      <c r="A33" s="95">
        <v>1</v>
      </c>
      <c r="B33" s="95" t="s">
        <v>13</v>
      </c>
      <c r="C33" s="95">
        <v>60</v>
      </c>
      <c r="D33" s="95" t="s">
        <v>70</v>
      </c>
      <c r="E33" s="95">
        <v>1</v>
      </c>
      <c r="F33" s="95">
        <v>1</v>
      </c>
      <c r="G33" s="95" t="s">
        <v>62</v>
      </c>
      <c r="H33" s="95" t="s">
        <v>16</v>
      </c>
      <c r="I33" s="95"/>
      <c r="J33" s="95"/>
      <c r="K33" s="46" t="s">
        <v>102</v>
      </c>
      <c r="L33" s="46">
        <f>SUMIFS($A$11:$A$401,$B$11:$B$401,"CH",$F$11:$F$401,"31")</f>
        <v>0</v>
      </c>
      <c r="M33" s="46" t="s">
        <v>6</v>
      </c>
      <c r="N33" s="46">
        <f>SUMIFS($A$11:$A$401,$B$11:$B$401,"RT",$F$11:$F$401,"31")</f>
        <v>0</v>
      </c>
      <c r="O33" s="46" t="s">
        <v>13</v>
      </c>
    </row>
    <row r="34" spans="1:15" x14ac:dyDescent="0.35">
      <c r="A34" s="95">
        <v>1</v>
      </c>
      <c r="B34" s="95" t="s">
        <v>13</v>
      </c>
      <c r="C34" s="95">
        <v>40</v>
      </c>
      <c r="D34" s="95" t="s">
        <v>70</v>
      </c>
      <c r="E34" s="95">
        <v>1</v>
      </c>
      <c r="F34" s="95">
        <v>1</v>
      </c>
      <c r="G34" s="95" t="s">
        <v>62</v>
      </c>
      <c r="H34" s="95" t="s">
        <v>16</v>
      </c>
      <c r="I34" s="95"/>
      <c r="J34" s="95"/>
      <c r="K34" s="46" t="s">
        <v>103</v>
      </c>
      <c r="L34" s="46">
        <f>SUMIFS($A$11:$A$401,$B$11:$B$401,"CH",$F$11:$F$401,"32")</f>
        <v>0</v>
      </c>
      <c r="M34" s="46" t="s">
        <v>6</v>
      </c>
      <c r="N34" s="46">
        <f>SUMIFS($A$11:$A$401,$B$11:$B$401,"RT",$F$11:$F$401,"32")</f>
        <v>0</v>
      </c>
      <c r="O34" s="46" t="s">
        <v>13</v>
      </c>
    </row>
    <row r="35" spans="1:15" x14ac:dyDescent="0.35">
      <c r="A35" s="95">
        <v>1</v>
      </c>
      <c r="B35" s="95" t="s">
        <v>13</v>
      </c>
      <c r="C35" s="95">
        <v>60</v>
      </c>
      <c r="D35" s="95" t="s">
        <v>70</v>
      </c>
      <c r="E35" s="95">
        <v>1</v>
      </c>
      <c r="F35" s="95">
        <v>1</v>
      </c>
      <c r="G35" s="95" t="s">
        <v>62</v>
      </c>
      <c r="H35" s="95" t="s">
        <v>16</v>
      </c>
      <c r="I35" s="95"/>
      <c r="J35" s="95"/>
      <c r="K35" s="46" t="s">
        <v>104</v>
      </c>
      <c r="L35" s="46">
        <f>SUMIFS($A$11:$A$401,$B$11:$B$401,"CH",$F$11:$F$401,"33")</f>
        <v>0</v>
      </c>
      <c r="M35" s="46" t="s">
        <v>6</v>
      </c>
      <c r="N35" s="46">
        <f>SUMIFS($A$11:$A$401,$B$11:$B$401,"RT",$F$11:$F$401,"33")</f>
        <v>0</v>
      </c>
      <c r="O35" s="46" t="s">
        <v>13</v>
      </c>
    </row>
    <row r="36" spans="1:15" x14ac:dyDescent="0.35">
      <c r="A36" s="95">
        <v>1</v>
      </c>
      <c r="B36" s="95" t="s">
        <v>13</v>
      </c>
      <c r="C36" s="95">
        <v>20</v>
      </c>
      <c r="D36" s="95" t="s">
        <v>70</v>
      </c>
      <c r="E36" s="95">
        <v>1</v>
      </c>
      <c r="F36" s="95">
        <v>1</v>
      </c>
      <c r="G36" s="95" t="s">
        <v>62</v>
      </c>
      <c r="H36" s="95" t="s">
        <v>16</v>
      </c>
      <c r="I36" s="95"/>
      <c r="J36" s="95"/>
      <c r="K36" s="46" t="s">
        <v>105</v>
      </c>
      <c r="L36" s="46">
        <f>SUMIFS($A$11:$A$401,$B$11:$B$401,"CH",$F$11:$F$401,"34")</f>
        <v>0</v>
      </c>
      <c r="M36" s="46" t="s">
        <v>6</v>
      </c>
      <c r="N36" s="46">
        <f>SUMIFS($A$11:$A$401,$B$11:$B$401,"RT",$F$11:$F$401,"34")</f>
        <v>0</v>
      </c>
      <c r="O36" s="46" t="s">
        <v>13</v>
      </c>
    </row>
    <row r="37" spans="1:15" x14ac:dyDescent="0.35">
      <c r="A37" s="95">
        <v>3</v>
      </c>
      <c r="B37" s="95" t="s">
        <v>13</v>
      </c>
      <c r="C37" s="95">
        <v>20</v>
      </c>
      <c r="D37" s="95" t="s">
        <v>70</v>
      </c>
      <c r="E37" s="95">
        <v>1</v>
      </c>
      <c r="F37" s="95">
        <v>2</v>
      </c>
      <c r="G37" s="95" t="s">
        <v>222</v>
      </c>
      <c r="H37" s="95" t="s">
        <v>218</v>
      </c>
      <c r="I37" s="95"/>
      <c r="J37" s="95" t="s">
        <v>223</v>
      </c>
      <c r="K37" s="46" t="s">
        <v>106</v>
      </c>
      <c r="L37" s="46">
        <f>SUMIFS($A$11:$A$401,$B$11:$B$401,"CH",$F$11:$F$401,"35")</f>
        <v>0</v>
      </c>
      <c r="M37" s="46" t="s">
        <v>6</v>
      </c>
      <c r="N37" s="46">
        <f>SUMIFS($A$11:$A$401,$B$11:$B$401,"RT",$F$11:$F$401,"35")</f>
        <v>0</v>
      </c>
      <c r="O37" s="46" t="s">
        <v>13</v>
      </c>
    </row>
    <row r="38" spans="1:15" x14ac:dyDescent="0.35">
      <c r="A38" s="95">
        <v>4</v>
      </c>
      <c r="B38" s="95" t="s">
        <v>13</v>
      </c>
      <c r="C38" s="95">
        <v>40</v>
      </c>
      <c r="D38" s="95" t="s">
        <v>59</v>
      </c>
      <c r="E38" s="95">
        <v>2</v>
      </c>
      <c r="F38" s="95">
        <v>4</v>
      </c>
      <c r="G38" s="95" t="s">
        <v>224</v>
      </c>
      <c r="H38" s="95" t="s">
        <v>218</v>
      </c>
      <c r="I38" s="95"/>
      <c r="J38" s="95"/>
      <c r="K38" s="46" t="s">
        <v>107</v>
      </c>
      <c r="L38" s="46">
        <f>SUMIFS($A$11:$A$401,$B$11:$B$401,"CH",$F$11:$F$401,"36")</f>
        <v>0</v>
      </c>
      <c r="M38" s="46" t="s">
        <v>6</v>
      </c>
      <c r="N38" s="46">
        <f>SUMIFS($A$11:$A$401,$B$11:$B$401,"RT",$F$11:$F$401,"36")</f>
        <v>0</v>
      </c>
      <c r="O38" s="46" t="s">
        <v>13</v>
      </c>
    </row>
    <row r="39" spans="1:15" x14ac:dyDescent="0.35">
      <c r="A39" s="95">
        <v>1</v>
      </c>
      <c r="B39" s="95" t="s">
        <v>64</v>
      </c>
      <c r="C39" s="95">
        <v>30</v>
      </c>
      <c r="D39" s="95" t="s">
        <v>59</v>
      </c>
      <c r="E39" s="95">
        <v>2</v>
      </c>
      <c r="F39" s="95">
        <v>4</v>
      </c>
      <c r="G39" s="95" t="s">
        <v>224</v>
      </c>
      <c r="H39" s="95" t="s">
        <v>218</v>
      </c>
      <c r="I39" s="95"/>
      <c r="J39" s="95"/>
      <c r="K39" s="46" t="s">
        <v>108</v>
      </c>
      <c r="L39" s="46">
        <f>SUMIFS($A$11:$A$401,$B$11:$B$401,"CH",$F$11:$F$401,"37")</f>
        <v>0</v>
      </c>
      <c r="M39" s="46" t="s">
        <v>6</v>
      </c>
      <c r="N39" s="46">
        <f>SUMIFS($A$11:$A$401,$B$11:$B$401,"RT",$F$11:$F$401,"37")</f>
        <v>0</v>
      </c>
      <c r="O39" s="46" t="s">
        <v>13</v>
      </c>
    </row>
    <row r="40" spans="1:15" x14ac:dyDescent="0.35">
      <c r="A40" s="95">
        <v>4</v>
      </c>
      <c r="B40" s="95" t="s">
        <v>13</v>
      </c>
      <c r="C40" s="95">
        <v>50</v>
      </c>
      <c r="D40" s="95" t="s">
        <v>70</v>
      </c>
      <c r="E40" s="95">
        <v>1</v>
      </c>
      <c r="F40" s="95">
        <v>4</v>
      </c>
      <c r="G40" s="95" t="s">
        <v>224</v>
      </c>
      <c r="H40" s="95" t="s">
        <v>218</v>
      </c>
      <c r="I40" s="95"/>
      <c r="J40" s="95"/>
      <c r="K40" s="46" t="s">
        <v>109</v>
      </c>
      <c r="L40" s="46">
        <f>SUMIFS($A$11:$A$401,$B$11:$B$401,"CH",$F$11:$F$401,"38")</f>
        <v>0</v>
      </c>
      <c r="M40" s="46" t="s">
        <v>6</v>
      </c>
      <c r="N40" s="46">
        <f>SUMIFS($A$11:$A$401,$B$11:$B$401,"RT",$F$11:$F$401,"38")</f>
        <v>0</v>
      </c>
      <c r="O40" s="46" t="s">
        <v>13</v>
      </c>
    </row>
    <row r="41" spans="1:15" x14ac:dyDescent="0.35">
      <c r="A41" s="95">
        <v>1</v>
      </c>
      <c r="B41" s="95" t="s">
        <v>13</v>
      </c>
      <c r="C41" s="95">
        <v>40</v>
      </c>
      <c r="D41" s="95" t="s">
        <v>70</v>
      </c>
      <c r="E41" s="95">
        <v>1</v>
      </c>
      <c r="F41" s="95">
        <v>4</v>
      </c>
      <c r="G41" s="95" t="s">
        <v>224</v>
      </c>
      <c r="H41" s="95" t="s">
        <v>220</v>
      </c>
      <c r="I41" s="95"/>
      <c r="J41" s="95"/>
      <c r="K41" s="46" t="s">
        <v>110</v>
      </c>
      <c r="L41" s="46">
        <f>SUMIFS($A$11:$A$401,$B$11:$B$401,"CH",$F$11:$F$401,"39")</f>
        <v>0</v>
      </c>
      <c r="M41" s="46" t="s">
        <v>6</v>
      </c>
      <c r="N41" s="46">
        <f>SUMIFS($A$11:$A$401,$B$11:$B$401,"RT",$F$11:$F$401,"39")</f>
        <v>0</v>
      </c>
      <c r="O41" s="46" t="s">
        <v>13</v>
      </c>
    </row>
    <row r="42" spans="1:15" x14ac:dyDescent="0.35">
      <c r="A42" s="95">
        <v>10</v>
      </c>
      <c r="B42" s="95" t="s">
        <v>13</v>
      </c>
      <c r="C42" s="95">
        <v>50</v>
      </c>
      <c r="D42" s="95" t="s">
        <v>59</v>
      </c>
      <c r="E42" s="95">
        <v>2</v>
      </c>
      <c r="F42" s="95">
        <v>4</v>
      </c>
      <c r="G42" s="95" t="s">
        <v>224</v>
      </c>
      <c r="H42" s="95" t="s">
        <v>218</v>
      </c>
      <c r="I42" s="95"/>
      <c r="J42" s="95"/>
      <c r="K42" s="46" t="s">
        <v>111</v>
      </c>
      <c r="L42" s="46">
        <f>SUMIFS($A$11:$A$401,$B$11:$B$401,"CH",$F$11:$F$401,"40")</f>
        <v>0</v>
      </c>
      <c r="M42" s="46" t="s">
        <v>6</v>
      </c>
      <c r="N42" s="46">
        <f>SUMIFS($A$11:$A$401,$B$11:$B$401,"RT",$F$11:$F$401,"40")</f>
        <v>0</v>
      </c>
      <c r="O42" s="46" t="s">
        <v>13</v>
      </c>
    </row>
    <row r="43" spans="1:15" x14ac:dyDescent="0.35">
      <c r="A43" s="95">
        <v>1</v>
      </c>
      <c r="B43" s="95" t="s">
        <v>13</v>
      </c>
      <c r="C43" s="95">
        <v>60</v>
      </c>
      <c r="D43" s="95" t="s">
        <v>70</v>
      </c>
      <c r="E43" s="95">
        <v>1</v>
      </c>
      <c r="F43" s="95">
        <v>4</v>
      </c>
      <c r="G43" s="95" t="s">
        <v>224</v>
      </c>
      <c r="H43" s="95" t="s">
        <v>220</v>
      </c>
      <c r="I43" s="95"/>
      <c r="J43" s="95"/>
      <c r="K43" s="46" t="s">
        <v>112</v>
      </c>
      <c r="L43" s="46">
        <f>SUMIFS($A$11:$A$401,$B$11:$B$401,"CH",$F$11:$F$401,"41")</f>
        <v>0</v>
      </c>
      <c r="M43" s="46" t="s">
        <v>6</v>
      </c>
      <c r="N43" s="46">
        <f>SUMIFS($A$11:$A$401,$B$11:$B$401,"RT",$F$11:$F$401,"41")</f>
        <v>0</v>
      </c>
      <c r="O43" s="46" t="s">
        <v>13</v>
      </c>
    </row>
    <row r="44" spans="1:15" x14ac:dyDescent="0.35">
      <c r="A44" s="95">
        <v>5</v>
      </c>
      <c r="B44" s="95" t="s">
        <v>13</v>
      </c>
      <c r="C44" s="95">
        <v>20</v>
      </c>
      <c r="D44" s="95" t="s">
        <v>70</v>
      </c>
      <c r="E44" s="95">
        <v>1</v>
      </c>
      <c r="F44" s="95">
        <v>4</v>
      </c>
      <c r="G44" s="95" t="s">
        <v>224</v>
      </c>
      <c r="H44" s="95" t="s">
        <v>218</v>
      </c>
      <c r="I44" s="95"/>
      <c r="J44" s="95"/>
      <c r="K44" s="46"/>
      <c r="L44" s="46">
        <f>SUMIFS($A$11:$A$401,$B$11:$B$401,"CH",$F$11:$F$401,"")</f>
        <v>0</v>
      </c>
      <c r="M44" s="46" t="s">
        <v>6</v>
      </c>
      <c r="N44" s="46">
        <f>SUMIFS($A$11:$A$401,$B$11:$B$401,"RT",$F$11:$F$401,"")</f>
        <v>0</v>
      </c>
      <c r="O44" s="46" t="s">
        <v>13</v>
      </c>
    </row>
    <row r="45" spans="1:15" x14ac:dyDescent="0.35">
      <c r="A45" s="95">
        <v>1</v>
      </c>
      <c r="B45" s="95" t="s">
        <v>13</v>
      </c>
      <c r="C45" s="95">
        <v>40</v>
      </c>
      <c r="D45" s="95" t="s">
        <v>59</v>
      </c>
      <c r="E45" s="95">
        <v>2</v>
      </c>
      <c r="F45" s="95">
        <v>4</v>
      </c>
      <c r="G45" s="95" t="s">
        <v>224</v>
      </c>
      <c r="H45" s="95" t="s">
        <v>218</v>
      </c>
      <c r="I45" s="95"/>
      <c r="J45" s="95" t="s">
        <v>225</v>
      </c>
      <c r="K45" s="46" t="s">
        <v>113</v>
      </c>
      <c r="L45" s="46">
        <f>SUM(L3:L44)</f>
        <v>13</v>
      </c>
      <c r="M45" s="46" t="s">
        <v>6</v>
      </c>
      <c r="N45" s="46">
        <f>SUM(N3:N44)</f>
        <v>522</v>
      </c>
      <c r="O45" s="46" t="s">
        <v>13</v>
      </c>
    </row>
    <row r="46" spans="1:15" x14ac:dyDescent="0.35">
      <c r="A46" s="95">
        <v>6</v>
      </c>
      <c r="B46" s="95" t="s">
        <v>13</v>
      </c>
      <c r="C46" s="95">
        <v>40</v>
      </c>
      <c r="D46" s="95" t="s">
        <v>70</v>
      </c>
      <c r="E46" s="95">
        <v>1</v>
      </c>
      <c r="F46" s="95">
        <v>4</v>
      </c>
      <c r="G46" s="95" t="s">
        <v>224</v>
      </c>
      <c r="H46" s="95" t="s">
        <v>218</v>
      </c>
      <c r="I46" s="95"/>
      <c r="J46" s="95"/>
      <c r="K46" s="46"/>
      <c r="L46" s="46"/>
      <c r="M46" s="46"/>
      <c r="N46" s="46"/>
    </row>
    <row r="47" spans="1:15" x14ac:dyDescent="0.35">
      <c r="A47" s="95">
        <v>1</v>
      </c>
      <c r="B47" s="95" t="s">
        <v>13</v>
      </c>
      <c r="C47" s="95">
        <v>40</v>
      </c>
      <c r="D47" s="95" t="s">
        <v>70</v>
      </c>
      <c r="E47" s="95">
        <v>1</v>
      </c>
      <c r="F47" s="95">
        <v>4</v>
      </c>
      <c r="G47" s="95" t="s">
        <v>224</v>
      </c>
      <c r="H47" s="95" t="s">
        <v>16</v>
      </c>
      <c r="I47" s="95"/>
      <c r="J47" s="95"/>
      <c r="K47" s="46"/>
      <c r="N47" s="46"/>
    </row>
    <row r="48" spans="1:15" x14ac:dyDescent="0.35">
      <c r="A48" s="95">
        <v>1</v>
      </c>
      <c r="B48" s="95" t="s">
        <v>13</v>
      </c>
      <c r="C48" s="95">
        <v>30</v>
      </c>
      <c r="D48" s="95" t="s">
        <v>70</v>
      </c>
      <c r="E48" s="95">
        <v>1</v>
      </c>
      <c r="F48" s="95">
        <v>4</v>
      </c>
      <c r="G48" s="95" t="s">
        <v>224</v>
      </c>
      <c r="H48" s="95" t="s">
        <v>218</v>
      </c>
      <c r="I48" s="95"/>
      <c r="J48" s="95"/>
      <c r="K48" s="46"/>
      <c r="N48" s="46"/>
    </row>
    <row r="49" spans="1:14" x14ac:dyDescent="0.35">
      <c r="A49" s="95">
        <v>1</v>
      </c>
      <c r="B49" s="95" t="s">
        <v>13</v>
      </c>
      <c r="C49" s="95">
        <v>30</v>
      </c>
      <c r="D49" s="95" t="s">
        <v>70</v>
      </c>
      <c r="E49" s="95">
        <v>1</v>
      </c>
      <c r="F49" s="95">
        <v>4</v>
      </c>
      <c r="G49" s="95" t="s">
        <v>224</v>
      </c>
      <c r="H49" s="95" t="s">
        <v>137</v>
      </c>
      <c r="I49" s="95"/>
      <c r="J49" s="95"/>
      <c r="K49" s="46"/>
      <c r="N49" s="46"/>
    </row>
    <row r="50" spans="1:14" x14ac:dyDescent="0.35">
      <c r="A50" s="95">
        <v>25</v>
      </c>
      <c r="B50" s="95" t="s">
        <v>13</v>
      </c>
      <c r="C50" s="95">
        <v>40</v>
      </c>
      <c r="D50" s="95" t="s">
        <v>59</v>
      </c>
      <c r="E50" s="95">
        <v>2</v>
      </c>
      <c r="F50" s="95">
        <v>4</v>
      </c>
      <c r="G50" s="95" t="s">
        <v>224</v>
      </c>
      <c r="H50" s="95" t="s">
        <v>218</v>
      </c>
      <c r="I50" s="95"/>
      <c r="J50" s="95"/>
      <c r="K50" s="46"/>
      <c r="N50" s="46"/>
    </row>
    <row r="51" spans="1:14" x14ac:dyDescent="0.35">
      <c r="A51" s="95">
        <v>3</v>
      </c>
      <c r="B51" s="95" t="s">
        <v>13</v>
      </c>
      <c r="C51" s="95">
        <v>30</v>
      </c>
      <c r="D51" s="95" t="s">
        <v>70</v>
      </c>
      <c r="E51" s="95">
        <v>1</v>
      </c>
      <c r="F51" s="95">
        <v>4</v>
      </c>
      <c r="G51" s="95" t="s">
        <v>224</v>
      </c>
      <c r="H51" s="95" t="s">
        <v>218</v>
      </c>
      <c r="I51" s="95"/>
      <c r="J51" s="95"/>
      <c r="K51" s="46"/>
      <c r="N51" s="46"/>
    </row>
    <row r="52" spans="1:14" x14ac:dyDescent="0.35">
      <c r="A52" s="95">
        <v>1</v>
      </c>
      <c r="B52" s="95" t="s">
        <v>13</v>
      </c>
      <c r="C52" s="95">
        <v>40</v>
      </c>
      <c r="D52" s="95" t="s">
        <v>70</v>
      </c>
      <c r="E52" s="95">
        <v>1</v>
      </c>
      <c r="F52" s="95">
        <v>4</v>
      </c>
      <c r="G52" s="95" t="s">
        <v>224</v>
      </c>
      <c r="H52" s="95" t="s">
        <v>218</v>
      </c>
      <c r="I52" s="95"/>
      <c r="J52" s="95" t="s">
        <v>226</v>
      </c>
      <c r="K52" s="46"/>
      <c r="N52" s="46"/>
    </row>
    <row r="53" spans="1:14" x14ac:dyDescent="0.35">
      <c r="A53" s="95">
        <v>2</v>
      </c>
      <c r="B53" s="95" t="s">
        <v>13</v>
      </c>
      <c r="C53" s="95">
        <v>40</v>
      </c>
      <c r="D53" s="95" t="s">
        <v>59</v>
      </c>
      <c r="E53" s="95">
        <v>2</v>
      </c>
      <c r="F53" s="95">
        <v>4</v>
      </c>
      <c r="G53" s="95" t="s">
        <v>224</v>
      </c>
      <c r="H53" s="95" t="s">
        <v>218</v>
      </c>
      <c r="I53" s="95"/>
      <c r="J53" s="95" t="s">
        <v>225</v>
      </c>
      <c r="K53" s="46"/>
      <c r="N53" s="46"/>
    </row>
    <row r="54" spans="1:14" x14ac:dyDescent="0.35">
      <c r="A54" s="95">
        <v>1</v>
      </c>
      <c r="B54" s="95" t="s">
        <v>13</v>
      </c>
      <c r="C54" s="95">
        <v>40</v>
      </c>
      <c r="D54" s="95" t="s">
        <v>70</v>
      </c>
      <c r="E54" s="95">
        <v>1</v>
      </c>
      <c r="F54" s="95">
        <v>4</v>
      </c>
      <c r="G54" s="95" t="s">
        <v>224</v>
      </c>
      <c r="H54" s="95" t="s">
        <v>137</v>
      </c>
      <c r="I54" s="95"/>
      <c r="J54" s="95"/>
      <c r="K54" s="46"/>
      <c r="N54" s="46"/>
    </row>
    <row r="55" spans="1:14" x14ac:dyDescent="0.35">
      <c r="A55" s="95">
        <v>20</v>
      </c>
      <c r="B55" s="95" t="s">
        <v>13</v>
      </c>
      <c r="C55" s="95">
        <v>40</v>
      </c>
      <c r="D55" s="95" t="s">
        <v>59</v>
      </c>
      <c r="E55" s="95">
        <v>2</v>
      </c>
      <c r="F55" s="95">
        <v>4</v>
      </c>
      <c r="G55" s="95" t="s">
        <v>224</v>
      </c>
      <c r="H55" s="95" t="s">
        <v>218</v>
      </c>
      <c r="I55" s="95"/>
      <c r="J55" s="95"/>
      <c r="K55" s="46"/>
      <c r="N55" s="46"/>
    </row>
    <row r="56" spans="1:14" x14ac:dyDescent="0.35">
      <c r="A56" s="95">
        <v>2</v>
      </c>
      <c r="B56" s="95" t="s">
        <v>6</v>
      </c>
      <c r="C56" s="95">
        <v>60</v>
      </c>
      <c r="D56" s="95" t="s">
        <v>59</v>
      </c>
      <c r="E56" s="95">
        <v>2</v>
      </c>
      <c r="F56" s="95">
        <v>4</v>
      </c>
      <c r="G56" s="95" t="s">
        <v>224</v>
      </c>
      <c r="H56" s="95" t="s">
        <v>218</v>
      </c>
      <c r="I56" s="95"/>
      <c r="J56" s="95"/>
      <c r="K56" s="46"/>
      <c r="N56" s="46"/>
    </row>
    <row r="57" spans="1:14" x14ac:dyDescent="0.35">
      <c r="A57" s="95">
        <v>15</v>
      </c>
      <c r="B57" s="95" t="s">
        <v>64</v>
      </c>
      <c r="C57" s="95">
        <v>60</v>
      </c>
      <c r="D57" s="95" t="s">
        <v>59</v>
      </c>
      <c r="E57" s="95">
        <v>2</v>
      </c>
      <c r="F57" s="95">
        <v>4</v>
      </c>
      <c r="G57" s="95" t="s">
        <v>224</v>
      </c>
      <c r="H57" s="95" t="s">
        <v>218</v>
      </c>
      <c r="I57" s="95"/>
      <c r="J57" s="95"/>
      <c r="K57" s="46"/>
      <c r="N57" s="46"/>
    </row>
    <row r="58" spans="1:14" x14ac:dyDescent="0.35">
      <c r="A58" s="95">
        <v>2</v>
      </c>
      <c r="B58" s="95" t="s">
        <v>13</v>
      </c>
      <c r="C58" s="95">
        <v>30</v>
      </c>
      <c r="D58" s="95" t="s">
        <v>70</v>
      </c>
      <c r="E58" s="95">
        <v>1</v>
      </c>
      <c r="F58" s="95">
        <v>4</v>
      </c>
      <c r="G58" s="95" t="s">
        <v>224</v>
      </c>
      <c r="H58" s="95" t="s">
        <v>218</v>
      </c>
      <c r="I58" s="95"/>
      <c r="J58" s="95"/>
      <c r="K58" s="46"/>
      <c r="N58" s="46"/>
    </row>
    <row r="59" spans="1:14" x14ac:dyDescent="0.35">
      <c r="A59" s="95">
        <v>1</v>
      </c>
      <c r="B59" s="95" t="s">
        <v>13</v>
      </c>
      <c r="C59" s="95">
        <v>30</v>
      </c>
      <c r="D59" s="95" t="s">
        <v>70</v>
      </c>
      <c r="E59" s="95">
        <v>1</v>
      </c>
      <c r="F59" s="95">
        <v>4</v>
      </c>
      <c r="G59" s="95" t="s">
        <v>224</v>
      </c>
      <c r="H59" s="95" t="s">
        <v>218</v>
      </c>
      <c r="I59" s="95"/>
      <c r="J59" s="95" t="s">
        <v>226</v>
      </c>
      <c r="K59" s="46"/>
      <c r="N59" s="46"/>
    </row>
    <row r="60" spans="1:14" x14ac:dyDescent="0.35">
      <c r="A60" s="95">
        <v>1</v>
      </c>
      <c r="B60" s="95" t="s">
        <v>13</v>
      </c>
      <c r="C60" s="95">
        <v>30</v>
      </c>
      <c r="D60" s="95" t="s">
        <v>70</v>
      </c>
      <c r="E60" s="95">
        <v>1</v>
      </c>
      <c r="F60" s="95">
        <v>1</v>
      </c>
      <c r="G60" s="95" t="s">
        <v>62</v>
      </c>
      <c r="H60" s="95" t="s">
        <v>220</v>
      </c>
      <c r="I60" s="95"/>
      <c r="J60" s="95"/>
      <c r="K60" s="46"/>
      <c r="N60" s="46"/>
    </row>
    <row r="61" spans="1:14" x14ac:dyDescent="0.35">
      <c r="A61" s="95">
        <v>5</v>
      </c>
      <c r="B61" s="95" t="s">
        <v>13</v>
      </c>
      <c r="C61" s="95">
        <v>40</v>
      </c>
      <c r="D61" s="95" t="s">
        <v>59</v>
      </c>
      <c r="E61" s="95">
        <v>2</v>
      </c>
      <c r="F61" s="95">
        <v>1</v>
      </c>
      <c r="G61" s="95" t="s">
        <v>62</v>
      </c>
      <c r="H61" s="95" t="s">
        <v>220</v>
      </c>
      <c r="I61" s="95"/>
      <c r="J61" s="95"/>
      <c r="K61" s="46"/>
      <c r="N61" s="46"/>
    </row>
    <row r="62" spans="1:14" x14ac:dyDescent="0.35">
      <c r="A62" s="95">
        <v>1</v>
      </c>
      <c r="B62" s="95" t="s">
        <v>13</v>
      </c>
      <c r="C62" s="95">
        <v>40</v>
      </c>
      <c r="D62" s="95" t="s">
        <v>59</v>
      </c>
      <c r="E62" s="95">
        <v>2</v>
      </c>
      <c r="F62" s="95">
        <v>1</v>
      </c>
      <c r="G62" s="95" t="s">
        <v>62</v>
      </c>
      <c r="H62" s="95" t="s">
        <v>220</v>
      </c>
      <c r="I62" s="95"/>
      <c r="J62" s="95" t="s">
        <v>226</v>
      </c>
      <c r="K62" s="46"/>
      <c r="N62" s="46"/>
    </row>
    <row r="63" spans="1:14" x14ac:dyDescent="0.35">
      <c r="A63" s="95">
        <v>4</v>
      </c>
      <c r="B63" s="95" t="s">
        <v>13</v>
      </c>
      <c r="C63" s="95">
        <v>40</v>
      </c>
      <c r="D63" s="95" t="s">
        <v>70</v>
      </c>
      <c r="E63" s="95">
        <v>1</v>
      </c>
      <c r="F63" s="95">
        <v>1</v>
      </c>
      <c r="G63" s="95" t="s">
        <v>62</v>
      </c>
      <c r="H63" s="95" t="s">
        <v>220</v>
      </c>
      <c r="I63" s="95"/>
      <c r="J63" s="95"/>
      <c r="K63" s="46"/>
      <c r="N63" s="46"/>
    </row>
    <row r="64" spans="1:14" x14ac:dyDescent="0.35">
      <c r="A64" s="95">
        <v>2</v>
      </c>
      <c r="B64" s="95" t="s">
        <v>13</v>
      </c>
      <c r="C64" s="95">
        <v>60</v>
      </c>
      <c r="D64" s="95" t="s">
        <v>70</v>
      </c>
      <c r="E64" s="95">
        <v>1</v>
      </c>
      <c r="F64" s="95">
        <v>1</v>
      </c>
      <c r="G64" s="95" t="s">
        <v>62</v>
      </c>
      <c r="H64" s="95" t="s">
        <v>220</v>
      </c>
      <c r="I64" s="95"/>
      <c r="J64" s="95"/>
      <c r="K64" s="46"/>
      <c r="N64" s="46"/>
    </row>
    <row r="65" spans="1:14" x14ac:dyDescent="0.35">
      <c r="A65" s="95">
        <v>5</v>
      </c>
      <c r="B65" s="95" t="s">
        <v>13</v>
      </c>
      <c r="C65" s="95">
        <v>40</v>
      </c>
      <c r="D65" s="95" t="s">
        <v>59</v>
      </c>
      <c r="E65" s="95">
        <v>2</v>
      </c>
      <c r="F65" s="95">
        <v>1</v>
      </c>
      <c r="G65" s="95" t="s">
        <v>62</v>
      </c>
      <c r="H65" s="95" t="s">
        <v>220</v>
      </c>
      <c r="I65" s="95"/>
      <c r="J65" s="95"/>
      <c r="K65" s="46"/>
      <c r="N65" s="46"/>
    </row>
    <row r="66" spans="1:14" x14ac:dyDescent="0.35">
      <c r="A66" s="95">
        <v>1</v>
      </c>
      <c r="B66" s="95" t="s">
        <v>64</v>
      </c>
      <c r="C66" s="95">
        <v>40</v>
      </c>
      <c r="D66" s="95" t="s">
        <v>59</v>
      </c>
      <c r="E66" s="95">
        <v>2</v>
      </c>
      <c r="F66" s="95">
        <v>1</v>
      </c>
      <c r="G66" s="95" t="s">
        <v>62</v>
      </c>
      <c r="H66" s="95" t="s">
        <v>220</v>
      </c>
      <c r="I66" s="95"/>
      <c r="J66" s="95"/>
      <c r="K66" s="46"/>
      <c r="N66" s="46"/>
    </row>
    <row r="67" spans="1:14" x14ac:dyDescent="0.35">
      <c r="A67" s="95">
        <v>10</v>
      </c>
      <c r="B67" s="95" t="s">
        <v>64</v>
      </c>
      <c r="C67" s="95">
        <v>60</v>
      </c>
      <c r="D67" s="95" t="s">
        <v>70</v>
      </c>
      <c r="E67" s="95">
        <v>1</v>
      </c>
      <c r="F67" s="95">
        <v>1</v>
      </c>
      <c r="G67" s="95" t="s">
        <v>62</v>
      </c>
      <c r="H67" s="95" t="s">
        <v>218</v>
      </c>
      <c r="I67" s="95"/>
      <c r="J67" s="95"/>
      <c r="K67" s="46"/>
      <c r="N67" s="46"/>
    </row>
    <row r="68" spans="1:14" x14ac:dyDescent="0.35">
      <c r="A68" s="95">
        <v>1</v>
      </c>
      <c r="B68" s="95" t="s">
        <v>13</v>
      </c>
      <c r="C68" s="95">
        <v>20</v>
      </c>
      <c r="D68" s="95" t="s">
        <v>70</v>
      </c>
      <c r="E68" s="95">
        <v>1</v>
      </c>
      <c r="F68" s="95">
        <v>1</v>
      </c>
      <c r="G68" s="95" t="s">
        <v>62</v>
      </c>
      <c r="H68" s="95" t="s">
        <v>218</v>
      </c>
      <c r="I68" s="95"/>
      <c r="J68" s="95"/>
      <c r="K68" s="46"/>
      <c r="N68" s="46"/>
    </row>
    <row r="69" spans="1:14" x14ac:dyDescent="0.35">
      <c r="A69" s="95">
        <v>5</v>
      </c>
      <c r="B69" s="95" t="s">
        <v>13</v>
      </c>
      <c r="C69" s="95">
        <v>40</v>
      </c>
      <c r="D69" s="95" t="s">
        <v>59</v>
      </c>
      <c r="E69" s="95">
        <v>2</v>
      </c>
      <c r="F69" s="95">
        <v>1</v>
      </c>
      <c r="G69" s="95" t="s">
        <v>62</v>
      </c>
      <c r="H69" s="95" t="s">
        <v>16</v>
      </c>
      <c r="I69" s="95"/>
      <c r="J69" s="95"/>
      <c r="K69" s="46"/>
      <c r="N69" s="46"/>
    </row>
    <row r="70" spans="1:14" x14ac:dyDescent="0.35">
      <c r="A70" s="95">
        <v>1</v>
      </c>
      <c r="B70" s="95" t="s">
        <v>13</v>
      </c>
      <c r="C70" s="95">
        <v>20</v>
      </c>
      <c r="D70" s="95" t="s">
        <v>70</v>
      </c>
      <c r="E70" s="95">
        <v>1</v>
      </c>
      <c r="F70" s="95">
        <v>1</v>
      </c>
      <c r="G70" s="95" t="s">
        <v>62</v>
      </c>
      <c r="H70" s="95" t="s">
        <v>218</v>
      </c>
      <c r="I70" s="95"/>
      <c r="J70" s="95"/>
      <c r="K70" s="46"/>
      <c r="N70" s="46"/>
    </row>
    <row r="71" spans="1:14" x14ac:dyDescent="0.35">
      <c r="A71" s="95">
        <v>5</v>
      </c>
      <c r="B71" s="95" t="s">
        <v>64</v>
      </c>
      <c r="C71" s="95">
        <v>50</v>
      </c>
      <c r="D71" s="95" t="s">
        <v>59</v>
      </c>
      <c r="E71" s="95">
        <v>2</v>
      </c>
      <c r="F71" s="95">
        <v>1</v>
      </c>
      <c r="G71" s="95" t="s">
        <v>62</v>
      </c>
      <c r="H71" s="95" t="s">
        <v>16</v>
      </c>
      <c r="I71" s="95"/>
      <c r="J71" s="95"/>
      <c r="K71" s="46"/>
      <c r="N71" s="46"/>
    </row>
    <row r="72" spans="1:14" x14ac:dyDescent="0.35">
      <c r="A72" s="95">
        <v>1</v>
      </c>
      <c r="B72" s="95" t="s">
        <v>13</v>
      </c>
      <c r="C72" s="95">
        <v>50</v>
      </c>
      <c r="D72" s="95" t="s">
        <v>59</v>
      </c>
      <c r="E72" s="95">
        <v>2</v>
      </c>
      <c r="F72" s="95">
        <v>1</v>
      </c>
      <c r="G72" s="95" t="s">
        <v>62</v>
      </c>
      <c r="H72" s="95" t="s">
        <v>16</v>
      </c>
      <c r="I72" s="95"/>
      <c r="J72" s="95"/>
      <c r="K72" s="46"/>
      <c r="N72" s="46"/>
    </row>
    <row r="73" spans="1:14" x14ac:dyDescent="0.35">
      <c r="A73" s="95">
        <v>70</v>
      </c>
      <c r="B73" s="95" t="s">
        <v>64</v>
      </c>
      <c r="C73" s="95">
        <v>70</v>
      </c>
      <c r="D73" s="95" t="s">
        <v>70</v>
      </c>
      <c r="E73" s="95">
        <v>1</v>
      </c>
      <c r="F73" s="95">
        <v>1</v>
      </c>
      <c r="G73" s="95" t="s">
        <v>62</v>
      </c>
      <c r="H73" s="95" t="s">
        <v>218</v>
      </c>
      <c r="I73" s="95"/>
      <c r="J73" s="95"/>
      <c r="K73" s="46"/>
      <c r="N73" s="46"/>
    </row>
    <row r="74" spans="1:14" x14ac:dyDescent="0.35">
      <c r="A74" s="95">
        <v>1</v>
      </c>
      <c r="B74" s="95" t="s">
        <v>13</v>
      </c>
      <c r="C74" s="95">
        <v>125</v>
      </c>
      <c r="D74" s="95" t="s">
        <v>59</v>
      </c>
      <c r="E74" s="95">
        <v>2</v>
      </c>
      <c r="F74" s="95">
        <v>1</v>
      </c>
      <c r="G74" s="95" t="s">
        <v>62</v>
      </c>
      <c r="H74" s="95" t="s">
        <v>218</v>
      </c>
      <c r="I74" s="95"/>
      <c r="J74" s="95"/>
      <c r="K74" s="46"/>
      <c r="N74" s="46"/>
    </row>
    <row r="75" spans="1:14" x14ac:dyDescent="0.35">
      <c r="A75" s="95">
        <v>1</v>
      </c>
      <c r="B75" s="95" t="s">
        <v>13</v>
      </c>
      <c r="C75" s="95">
        <v>50</v>
      </c>
      <c r="D75" s="95" t="s">
        <v>59</v>
      </c>
      <c r="E75" s="95">
        <v>2</v>
      </c>
      <c r="F75" s="95">
        <v>1</v>
      </c>
      <c r="G75" s="95" t="s">
        <v>62</v>
      </c>
      <c r="H75" s="95" t="s">
        <v>218</v>
      </c>
      <c r="I75" s="95"/>
      <c r="J75" s="95" t="s">
        <v>225</v>
      </c>
      <c r="K75" s="46"/>
      <c r="N75" s="46"/>
    </row>
    <row r="76" spans="1:14" x14ac:dyDescent="0.35">
      <c r="A76" s="95">
        <v>1</v>
      </c>
      <c r="B76" s="95" t="s">
        <v>13</v>
      </c>
      <c r="C76" s="95">
        <v>50</v>
      </c>
      <c r="D76" s="95" t="s">
        <v>59</v>
      </c>
      <c r="E76" s="95">
        <v>2</v>
      </c>
      <c r="F76" s="95">
        <v>1</v>
      </c>
      <c r="G76" s="95" t="s">
        <v>62</v>
      </c>
      <c r="H76" s="95" t="s">
        <v>218</v>
      </c>
      <c r="I76" s="95"/>
      <c r="J76" s="95" t="s">
        <v>226</v>
      </c>
      <c r="K76" s="46"/>
      <c r="N76" s="46"/>
    </row>
    <row r="77" spans="1:14" x14ac:dyDescent="0.35">
      <c r="A77" s="95">
        <v>1</v>
      </c>
      <c r="B77" s="95" t="s">
        <v>13</v>
      </c>
      <c r="C77" s="95">
        <v>50</v>
      </c>
      <c r="D77" s="95" t="s">
        <v>70</v>
      </c>
      <c r="E77" s="95">
        <v>1</v>
      </c>
      <c r="F77" s="95">
        <v>1</v>
      </c>
      <c r="G77" s="95" t="s">
        <v>62</v>
      </c>
      <c r="H77" s="95" t="s">
        <v>16</v>
      </c>
      <c r="I77" s="95"/>
      <c r="J77" s="95"/>
      <c r="K77" s="46"/>
      <c r="N77" s="46"/>
    </row>
    <row r="78" spans="1:14" x14ac:dyDescent="0.35">
      <c r="A78" s="95">
        <v>12</v>
      </c>
      <c r="B78" s="95" t="s">
        <v>64</v>
      </c>
      <c r="C78" s="95">
        <v>70</v>
      </c>
      <c r="D78" s="95" t="s">
        <v>59</v>
      </c>
      <c r="E78" s="95">
        <v>2</v>
      </c>
      <c r="F78" s="95">
        <v>1</v>
      </c>
      <c r="G78" s="95" t="s">
        <v>62</v>
      </c>
      <c r="H78" s="95" t="s">
        <v>16</v>
      </c>
      <c r="I78" s="95"/>
      <c r="J78" s="95"/>
      <c r="K78" s="46"/>
      <c r="N78" s="46"/>
    </row>
    <row r="79" spans="1:14" x14ac:dyDescent="0.35">
      <c r="A79" s="95">
        <v>1</v>
      </c>
      <c r="B79" s="95" t="s">
        <v>13</v>
      </c>
      <c r="C79" s="95">
        <v>40</v>
      </c>
      <c r="D79" s="95" t="s">
        <v>70</v>
      </c>
      <c r="E79" s="95">
        <v>1</v>
      </c>
      <c r="F79" s="95">
        <v>1</v>
      </c>
      <c r="G79" s="95" t="s">
        <v>62</v>
      </c>
      <c r="H79" s="95" t="s">
        <v>218</v>
      </c>
      <c r="I79" s="95"/>
      <c r="J79" s="95"/>
      <c r="K79" s="46"/>
      <c r="N79" s="46"/>
    </row>
    <row r="80" spans="1:14" x14ac:dyDescent="0.35">
      <c r="A80" s="95">
        <v>10</v>
      </c>
      <c r="B80" s="95" t="s">
        <v>13</v>
      </c>
      <c r="C80" s="95">
        <v>40</v>
      </c>
      <c r="D80" s="95" t="s">
        <v>70</v>
      </c>
      <c r="E80" s="95">
        <v>1</v>
      </c>
      <c r="F80" s="95">
        <v>1</v>
      </c>
      <c r="G80" s="95" t="s">
        <v>62</v>
      </c>
      <c r="H80" s="95" t="s">
        <v>218</v>
      </c>
      <c r="I80" s="95"/>
      <c r="J80" s="95"/>
      <c r="K80" s="46"/>
      <c r="N80" s="46"/>
    </row>
    <row r="81" spans="1:14" x14ac:dyDescent="0.35">
      <c r="A81" s="95">
        <v>20</v>
      </c>
      <c r="B81" s="95" t="s">
        <v>64</v>
      </c>
      <c r="C81" s="95">
        <v>60</v>
      </c>
      <c r="D81" s="95" t="s">
        <v>59</v>
      </c>
      <c r="E81" s="95">
        <v>2</v>
      </c>
      <c r="F81" s="95">
        <v>1</v>
      </c>
      <c r="G81" s="95" t="s">
        <v>62</v>
      </c>
      <c r="H81" s="95" t="s">
        <v>218</v>
      </c>
      <c r="I81" s="95"/>
      <c r="J81" s="95"/>
      <c r="K81" s="46"/>
      <c r="N81" s="46"/>
    </row>
    <row r="82" spans="1:14" x14ac:dyDescent="0.35">
      <c r="A82" s="95">
        <v>5</v>
      </c>
      <c r="B82" s="95" t="s">
        <v>13</v>
      </c>
      <c r="C82" s="95">
        <v>50</v>
      </c>
      <c r="D82" s="95" t="s">
        <v>59</v>
      </c>
      <c r="E82" s="95">
        <v>2</v>
      </c>
      <c r="F82" s="95">
        <v>1</v>
      </c>
      <c r="G82" s="95" t="s">
        <v>62</v>
      </c>
      <c r="H82" s="95" t="s">
        <v>218</v>
      </c>
      <c r="I82" s="95"/>
      <c r="J82" s="95"/>
      <c r="K82" s="46"/>
      <c r="N82" s="46"/>
    </row>
    <row r="83" spans="1:14" x14ac:dyDescent="0.35">
      <c r="A83" s="95">
        <v>2</v>
      </c>
      <c r="B83" s="95" t="s">
        <v>13</v>
      </c>
      <c r="C83" s="95">
        <v>50</v>
      </c>
      <c r="D83" s="95" t="s">
        <v>70</v>
      </c>
      <c r="E83" s="95">
        <v>1</v>
      </c>
      <c r="F83" s="95">
        <v>1</v>
      </c>
      <c r="G83" s="95" t="s">
        <v>62</v>
      </c>
      <c r="H83" s="95" t="s">
        <v>218</v>
      </c>
      <c r="I83" s="95"/>
      <c r="J83" s="95"/>
      <c r="K83" s="46"/>
      <c r="N83" s="46"/>
    </row>
    <row r="84" spans="1:14" x14ac:dyDescent="0.35">
      <c r="A84" s="95">
        <v>10</v>
      </c>
      <c r="B84" s="95" t="s">
        <v>13</v>
      </c>
      <c r="C84" s="95">
        <v>40</v>
      </c>
      <c r="D84" s="95" t="s">
        <v>70</v>
      </c>
      <c r="E84" s="95">
        <v>1</v>
      </c>
      <c r="F84" s="95">
        <v>1</v>
      </c>
      <c r="G84" s="95" t="s">
        <v>62</v>
      </c>
      <c r="H84" s="95" t="s">
        <v>218</v>
      </c>
      <c r="I84" s="95"/>
      <c r="J84" s="95" t="s">
        <v>226</v>
      </c>
      <c r="K84" s="46"/>
      <c r="N84" s="46"/>
    </row>
    <row r="85" spans="1:14" x14ac:dyDescent="0.35">
      <c r="A85" s="95">
        <v>1</v>
      </c>
      <c r="B85" s="95" t="s">
        <v>13</v>
      </c>
      <c r="C85" s="95">
        <v>70</v>
      </c>
      <c r="D85" s="95" t="s">
        <v>70</v>
      </c>
      <c r="E85" s="95">
        <v>1</v>
      </c>
      <c r="F85" s="95">
        <v>1</v>
      </c>
      <c r="G85" s="95" t="s">
        <v>62</v>
      </c>
      <c r="H85" s="95" t="s">
        <v>16</v>
      </c>
      <c r="I85" s="95"/>
      <c r="J85" s="95"/>
      <c r="K85" s="46"/>
      <c r="N85" s="46"/>
    </row>
    <row r="86" spans="1:14" x14ac:dyDescent="0.35">
      <c r="A86" s="95">
        <v>20</v>
      </c>
      <c r="B86" s="95" t="s">
        <v>13</v>
      </c>
      <c r="C86" s="95">
        <v>50</v>
      </c>
      <c r="D86" s="95" t="s">
        <v>59</v>
      </c>
      <c r="E86" s="95">
        <v>2</v>
      </c>
      <c r="F86" s="95">
        <v>1</v>
      </c>
      <c r="G86" s="95" t="s">
        <v>62</v>
      </c>
      <c r="H86" s="95" t="s">
        <v>227</v>
      </c>
      <c r="I86" s="95"/>
      <c r="J86" s="95"/>
      <c r="K86" s="46"/>
      <c r="N86" s="46"/>
    </row>
    <row r="87" spans="1:14" x14ac:dyDescent="0.35">
      <c r="A87" s="95">
        <v>7</v>
      </c>
      <c r="B87" s="95" t="s">
        <v>13</v>
      </c>
      <c r="C87" s="95">
        <v>40</v>
      </c>
      <c r="D87" s="95" t="s">
        <v>70</v>
      </c>
      <c r="E87" s="95">
        <v>1</v>
      </c>
      <c r="F87" s="95">
        <v>1</v>
      </c>
      <c r="G87" s="95" t="s">
        <v>62</v>
      </c>
      <c r="H87" s="95" t="s">
        <v>218</v>
      </c>
      <c r="I87" s="95"/>
      <c r="J87" s="95"/>
      <c r="K87" s="46"/>
      <c r="N87" s="46"/>
    </row>
    <row r="88" spans="1:14" x14ac:dyDescent="0.35">
      <c r="A88" s="95">
        <v>30</v>
      </c>
      <c r="B88" s="95" t="s">
        <v>13</v>
      </c>
      <c r="C88" s="95">
        <v>30</v>
      </c>
      <c r="D88" s="95" t="s">
        <v>59</v>
      </c>
      <c r="E88" s="95">
        <v>2</v>
      </c>
      <c r="F88" s="95">
        <v>3</v>
      </c>
      <c r="G88" s="95" t="s">
        <v>62</v>
      </c>
      <c r="H88" s="95" t="s">
        <v>218</v>
      </c>
      <c r="I88" s="95"/>
      <c r="J88" s="95"/>
      <c r="K88" s="46"/>
      <c r="N88" s="46"/>
    </row>
    <row r="89" spans="1:14" x14ac:dyDescent="0.35">
      <c r="A89" s="95">
        <v>5</v>
      </c>
      <c r="B89" s="95" t="s">
        <v>13</v>
      </c>
      <c r="C89" s="95">
        <v>30</v>
      </c>
      <c r="D89" s="95" t="s">
        <v>59</v>
      </c>
      <c r="E89" s="95">
        <v>2</v>
      </c>
      <c r="F89" s="95">
        <v>3</v>
      </c>
      <c r="G89" s="95" t="s">
        <v>62</v>
      </c>
      <c r="H89" s="95" t="s">
        <v>228</v>
      </c>
      <c r="I89" s="95"/>
      <c r="J89" s="95"/>
      <c r="K89" s="47"/>
      <c r="N89" s="47"/>
    </row>
    <row r="90" spans="1:14" x14ac:dyDescent="0.35">
      <c r="A90" s="95">
        <v>1</v>
      </c>
      <c r="B90" s="95" t="s">
        <v>64</v>
      </c>
      <c r="C90" s="95">
        <v>40</v>
      </c>
      <c r="D90" s="95" t="s">
        <v>59</v>
      </c>
      <c r="E90" s="95">
        <v>2</v>
      </c>
      <c r="F90" s="95">
        <v>3</v>
      </c>
      <c r="G90" s="95" t="s">
        <v>62</v>
      </c>
      <c r="H90" s="95" t="s">
        <v>218</v>
      </c>
      <c r="I90" s="95"/>
      <c r="J90" s="95"/>
    </row>
    <row r="91" spans="1:14" x14ac:dyDescent="0.35">
      <c r="A91" s="95">
        <v>8</v>
      </c>
      <c r="B91" s="95" t="s">
        <v>64</v>
      </c>
      <c r="C91" s="95">
        <v>40</v>
      </c>
      <c r="D91" s="95" t="s">
        <v>59</v>
      </c>
      <c r="E91" s="95">
        <v>2</v>
      </c>
      <c r="F91" s="95">
        <v>3</v>
      </c>
      <c r="G91" s="95" t="s">
        <v>62</v>
      </c>
      <c r="H91" s="95" t="s">
        <v>218</v>
      </c>
      <c r="I91" s="95"/>
      <c r="J91" s="95"/>
    </row>
    <row r="92" spans="1:14" x14ac:dyDescent="0.35">
      <c r="A92" s="95">
        <v>5</v>
      </c>
      <c r="B92" s="95" t="s">
        <v>13</v>
      </c>
      <c r="C92" s="95">
        <v>40</v>
      </c>
      <c r="D92" s="95" t="s">
        <v>59</v>
      </c>
      <c r="E92" s="95">
        <v>2</v>
      </c>
      <c r="F92" s="95">
        <v>3</v>
      </c>
      <c r="G92" s="95" t="s">
        <v>62</v>
      </c>
      <c r="H92" s="95" t="s">
        <v>218</v>
      </c>
      <c r="I92" s="95"/>
      <c r="J92" s="95"/>
    </row>
    <row r="93" spans="1:14" x14ac:dyDescent="0.35">
      <c r="A93" s="95">
        <v>8</v>
      </c>
      <c r="B93" s="95" t="s">
        <v>13</v>
      </c>
      <c r="C93" s="95">
        <v>40</v>
      </c>
      <c r="D93" s="95" t="s">
        <v>70</v>
      </c>
      <c r="E93" s="95">
        <v>1</v>
      </c>
      <c r="F93" s="95">
        <v>3</v>
      </c>
      <c r="G93" s="95" t="s">
        <v>62</v>
      </c>
      <c r="H93" s="95" t="s">
        <v>218</v>
      </c>
      <c r="I93" s="95"/>
      <c r="J93" s="95"/>
    </row>
    <row r="94" spans="1:14" x14ac:dyDescent="0.35">
      <c r="A94" s="95">
        <v>4</v>
      </c>
      <c r="B94" s="95" t="s">
        <v>13</v>
      </c>
      <c r="C94" s="95">
        <v>70</v>
      </c>
      <c r="D94" s="95" t="s">
        <v>70</v>
      </c>
      <c r="E94" s="95">
        <v>1</v>
      </c>
      <c r="F94" s="95">
        <v>3</v>
      </c>
      <c r="G94" s="95" t="s">
        <v>62</v>
      </c>
      <c r="H94" s="95" t="s">
        <v>218</v>
      </c>
      <c r="I94" s="95"/>
      <c r="J94" s="95"/>
    </row>
    <row r="95" spans="1:14" x14ac:dyDescent="0.35">
      <c r="A95" s="95">
        <v>2</v>
      </c>
      <c r="B95" s="95" t="s">
        <v>64</v>
      </c>
      <c r="C95" s="95">
        <v>40</v>
      </c>
      <c r="D95" s="95" t="s">
        <v>70</v>
      </c>
      <c r="E95" s="95">
        <v>1</v>
      </c>
      <c r="F95" s="95">
        <v>3</v>
      </c>
      <c r="G95" s="95" t="s">
        <v>62</v>
      </c>
      <c r="H95" s="95" t="s">
        <v>218</v>
      </c>
      <c r="I95" s="95"/>
      <c r="J95" s="95"/>
    </row>
    <row r="96" spans="1:14" x14ac:dyDescent="0.35">
      <c r="A96" s="95">
        <v>10</v>
      </c>
      <c r="B96" s="95" t="s">
        <v>13</v>
      </c>
      <c r="C96" s="95">
        <v>40</v>
      </c>
      <c r="D96" s="95" t="s">
        <v>59</v>
      </c>
      <c r="E96" s="95">
        <v>2</v>
      </c>
      <c r="F96" s="95">
        <v>3</v>
      </c>
      <c r="G96" s="95" t="s">
        <v>62</v>
      </c>
      <c r="H96" s="95" t="s">
        <v>220</v>
      </c>
      <c r="I96" s="95"/>
      <c r="J96" s="95"/>
    </row>
    <row r="97" spans="1:10" x14ac:dyDescent="0.35">
      <c r="A97" s="95">
        <v>30</v>
      </c>
      <c r="B97" s="95" t="s">
        <v>13</v>
      </c>
      <c r="C97" s="95">
        <v>20</v>
      </c>
      <c r="D97" s="95" t="s">
        <v>70</v>
      </c>
      <c r="E97" s="95">
        <v>1</v>
      </c>
      <c r="F97" s="95">
        <v>3</v>
      </c>
      <c r="G97" s="95" t="s">
        <v>62</v>
      </c>
      <c r="H97" s="95" t="s">
        <v>218</v>
      </c>
      <c r="I97" s="95"/>
      <c r="J97" s="95"/>
    </row>
    <row r="98" spans="1:10" x14ac:dyDescent="0.35">
      <c r="A98" s="95">
        <v>4</v>
      </c>
      <c r="B98" s="95" t="s">
        <v>13</v>
      </c>
      <c r="C98" s="95">
        <v>30</v>
      </c>
      <c r="D98" s="95" t="s">
        <v>59</v>
      </c>
      <c r="E98" s="95">
        <v>2</v>
      </c>
      <c r="F98" s="95">
        <v>3</v>
      </c>
      <c r="G98" s="95" t="s">
        <v>62</v>
      </c>
      <c r="H98" s="95" t="s">
        <v>218</v>
      </c>
      <c r="I98" s="95"/>
      <c r="J98" s="95"/>
    </row>
    <row r="99" spans="1:10" x14ac:dyDescent="0.35">
      <c r="A99" s="95">
        <v>4</v>
      </c>
      <c r="B99" s="95" t="s">
        <v>13</v>
      </c>
      <c r="C99" s="95">
        <v>60</v>
      </c>
      <c r="D99" s="95" t="s">
        <v>70</v>
      </c>
      <c r="E99" s="95">
        <v>1</v>
      </c>
      <c r="F99" s="95">
        <v>3</v>
      </c>
      <c r="G99" s="95" t="s">
        <v>62</v>
      </c>
      <c r="H99" s="95" t="s">
        <v>218</v>
      </c>
      <c r="I99" s="95"/>
      <c r="J99" s="95"/>
    </row>
    <row r="100" spans="1:10" x14ac:dyDescent="0.35">
      <c r="A100" s="95">
        <v>4</v>
      </c>
      <c r="B100" s="95" t="s">
        <v>13</v>
      </c>
      <c r="C100" s="95">
        <v>40</v>
      </c>
      <c r="D100" s="95" t="s">
        <v>59</v>
      </c>
      <c r="E100" s="95">
        <v>2</v>
      </c>
      <c r="F100" s="95">
        <v>3</v>
      </c>
      <c r="G100" s="95" t="s">
        <v>62</v>
      </c>
      <c r="H100" s="95" t="s">
        <v>228</v>
      </c>
      <c r="I100" s="95"/>
      <c r="J100" s="95"/>
    </row>
    <row r="101" spans="1:10" x14ac:dyDescent="0.35">
      <c r="A101" s="95">
        <v>15</v>
      </c>
      <c r="B101" s="95" t="s">
        <v>64</v>
      </c>
      <c r="C101" s="95">
        <v>50</v>
      </c>
      <c r="D101" s="95" t="s">
        <v>70</v>
      </c>
      <c r="E101" s="95">
        <v>1</v>
      </c>
      <c r="F101" s="95">
        <v>3</v>
      </c>
      <c r="G101" s="95" t="s">
        <v>62</v>
      </c>
      <c r="H101" s="95" t="s">
        <v>16</v>
      </c>
      <c r="I101" s="95"/>
      <c r="J101" s="95"/>
    </row>
    <row r="102" spans="1:10" x14ac:dyDescent="0.35">
      <c r="A102" s="95">
        <v>2</v>
      </c>
      <c r="B102" s="95" t="s">
        <v>13</v>
      </c>
      <c r="C102" s="95">
        <v>30</v>
      </c>
      <c r="D102" s="95" t="s">
        <v>59</v>
      </c>
      <c r="E102" s="95">
        <v>2</v>
      </c>
      <c r="F102" s="95">
        <v>3</v>
      </c>
      <c r="G102" s="95" t="s">
        <v>62</v>
      </c>
      <c r="H102" s="95" t="s">
        <v>228</v>
      </c>
      <c r="I102" s="95"/>
      <c r="J102" s="95"/>
    </row>
    <row r="103" spans="1:10" x14ac:dyDescent="0.35">
      <c r="A103" s="95">
        <v>5</v>
      </c>
      <c r="B103" s="95" t="s">
        <v>13</v>
      </c>
      <c r="C103" s="95">
        <v>30</v>
      </c>
      <c r="D103" s="95" t="s">
        <v>59</v>
      </c>
      <c r="E103" s="95">
        <v>2</v>
      </c>
      <c r="F103" s="95">
        <v>3</v>
      </c>
      <c r="G103" s="95" t="s">
        <v>62</v>
      </c>
      <c r="H103" s="95" t="s">
        <v>228</v>
      </c>
      <c r="I103" s="95"/>
      <c r="J103" s="95"/>
    </row>
    <row r="104" spans="1:10" x14ac:dyDescent="0.35">
      <c r="A104" s="95">
        <v>7</v>
      </c>
      <c r="B104" s="95" t="s">
        <v>13</v>
      </c>
      <c r="C104" s="95">
        <v>40</v>
      </c>
      <c r="D104" s="95" t="s">
        <v>70</v>
      </c>
      <c r="E104" s="95">
        <v>1</v>
      </c>
      <c r="F104" s="95">
        <v>3</v>
      </c>
      <c r="G104" s="95" t="s">
        <v>62</v>
      </c>
      <c r="H104" s="95" t="s">
        <v>218</v>
      </c>
      <c r="I104" s="95"/>
      <c r="J104" s="95"/>
    </row>
    <row r="105" spans="1:10" x14ac:dyDescent="0.35">
      <c r="A105" s="95">
        <v>10</v>
      </c>
      <c r="B105" s="95" t="s">
        <v>13</v>
      </c>
      <c r="C105" s="95">
        <v>40</v>
      </c>
      <c r="D105" s="95" t="s">
        <v>59</v>
      </c>
      <c r="E105" s="95">
        <v>2</v>
      </c>
      <c r="F105" s="95">
        <v>3</v>
      </c>
      <c r="G105" s="95" t="s">
        <v>62</v>
      </c>
      <c r="H105" s="95" t="s">
        <v>218</v>
      </c>
      <c r="I105" s="95"/>
      <c r="J105" s="95"/>
    </row>
    <row r="106" spans="1:10" x14ac:dyDescent="0.35">
      <c r="A106" s="95">
        <v>6</v>
      </c>
      <c r="B106" s="95" t="s">
        <v>13</v>
      </c>
      <c r="C106" s="95">
        <v>40</v>
      </c>
      <c r="D106" s="95" t="s">
        <v>70</v>
      </c>
      <c r="E106" s="95">
        <v>1</v>
      </c>
      <c r="F106" s="95">
        <v>3</v>
      </c>
      <c r="G106" s="95" t="s">
        <v>62</v>
      </c>
      <c r="H106" s="95" t="s">
        <v>16</v>
      </c>
      <c r="I106" s="95"/>
      <c r="J106" s="95"/>
    </row>
    <row r="107" spans="1:10" x14ac:dyDescent="0.35">
      <c r="A107" s="95">
        <v>10</v>
      </c>
      <c r="B107" s="95" t="s">
        <v>13</v>
      </c>
      <c r="C107" s="95">
        <v>40</v>
      </c>
      <c r="D107" s="95" t="s">
        <v>59</v>
      </c>
      <c r="E107" s="95">
        <v>2</v>
      </c>
      <c r="F107" s="95">
        <v>3</v>
      </c>
      <c r="G107" s="95" t="s">
        <v>62</v>
      </c>
      <c r="H107" s="95" t="s">
        <v>228</v>
      </c>
      <c r="I107" s="95"/>
      <c r="J107" s="95"/>
    </row>
    <row r="108" spans="1:10" x14ac:dyDescent="0.35">
      <c r="A108" s="95">
        <v>2</v>
      </c>
      <c r="B108" s="95" t="s">
        <v>64</v>
      </c>
      <c r="C108" s="95">
        <v>40</v>
      </c>
      <c r="D108" s="95" t="s">
        <v>59</v>
      </c>
      <c r="E108" s="95">
        <v>2</v>
      </c>
      <c r="F108" s="95">
        <v>3</v>
      </c>
      <c r="G108" s="95" t="s">
        <v>62</v>
      </c>
      <c r="H108" s="95" t="s">
        <v>218</v>
      </c>
      <c r="I108" s="95"/>
      <c r="J108" s="95"/>
    </row>
    <row r="109" spans="1:10" x14ac:dyDescent="0.35">
      <c r="A109" s="95">
        <v>3</v>
      </c>
      <c r="B109" s="95" t="s">
        <v>13</v>
      </c>
      <c r="C109" s="95">
        <v>70</v>
      </c>
      <c r="D109" s="95" t="s">
        <v>229</v>
      </c>
      <c r="E109" s="95">
        <v>1</v>
      </c>
      <c r="F109" s="95">
        <v>3</v>
      </c>
      <c r="G109" s="95" t="s">
        <v>62</v>
      </c>
      <c r="H109" s="95" t="s">
        <v>228</v>
      </c>
      <c r="I109" s="95"/>
      <c r="J109" s="95"/>
    </row>
    <row r="110" spans="1:10" x14ac:dyDescent="0.35">
      <c r="A110" s="95">
        <v>100</v>
      </c>
      <c r="B110" s="95" t="s">
        <v>64</v>
      </c>
      <c r="C110" s="95">
        <v>70</v>
      </c>
      <c r="D110" s="95" t="s">
        <v>229</v>
      </c>
      <c r="E110" s="95">
        <v>1</v>
      </c>
      <c r="F110" s="95">
        <v>3</v>
      </c>
      <c r="G110" s="95" t="s">
        <v>62</v>
      </c>
      <c r="H110" s="95" t="s">
        <v>218</v>
      </c>
      <c r="I110" s="95"/>
      <c r="J110" s="95"/>
    </row>
    <row r="111" spans="1:10" x14ac:dyDescent="0.35">
      <c r="A111" s="95">
        <v>40</v>
      </c>
      <c r="B111" s="95" t="s">
        <v>13</v>
      </c>
      <c r="C111" s="95">
        <v>30</v>
      </c>
      <c r="D111" s="95" t="s">
        <v>230</v>
      </c>
      <c r="E111" s="95">
        <v>1</v>
      </c>
      <c r="F111" s="95">
        <v>3</v>
      </c>
      <c r="G111" s="95" t="s">
        <v>62</v>
      </c>
      <c r="H111" s="95" t="s">
        <v>218</v>
      </c>
      <c r="I111" s="95"/>
      <c r="J111" s="95"/>
    </row>
    <row r="112" spans="1:10" x14ac:dyDescent="0.35">
      <c r="A112" s="95">
        <v>10</v>
      </c>
      <c r="B112" s="95" t="s">
        <v>13</v>
      </c>
      <c r="C112" s="95">
        <v>30</v>
      </c>
      <c r="D112" s="95" t="s">
        <v>59</v>
      </c>
      <c r="E112" s="95">
        <v>2</v>
      </c>
      <c r="F112" s="95">
        <v>3</v>
      </c>
      <c r="G112" s="95" t="s">
        <v>62</v>
      </c>
      <c r="H112" s="95" t="s">
        <v>220</v>
      </c>
      <c r="I112" s="95"/>
      <c r="J112" s="95"/>
    </row>
    <row r="113" spans="1:10" x14ac:dyDescent="0.35">
      <c r="A113" s="95">
        <v>30</v>
      </c>
      <c r="B113" s="95" t="s">
        <v>13</v>
      </c>
      <c r="C113" s="95">
        <v>60</v>
      </c>
      <c r="D113" s="95" t="s">
        <v>70</v>
      </c>
      <c r="E113" s="95">
        <v>1</v>
      </c>
      <c r="F113" s="95">
        <v>3</v>
      </c>
      <c r="G113" s="95" t="s">
        <v>62</v>
      </c>
      <c r="H113" s="95" t="s">
        <v>218</v>
      </c>
      <c r="I113" s="95"/>
      <c r="J113" s="95"/>
    </row>
    <row r="114" spans="1:10" x14ac:dyDescent="0.35">
      <c r="A114" s="95">
        <v>5</v>
      </c>
      <c r="B114" s="95" t="s">
        <v>13</v>
      </c>
      <c r="C114" s="95">
        <v>30</v>
      </c>
      <c r="D114" s="95" t="s">
        <v>59</v>
      </c>
      <c r="E114" s="95">
        <v>2</v>
      </c>
      <c r="F114" s="95">
        <v>3</v>
      </c>
      <c r="G114" s="95" t="s">
        <v>62</v>
      </c>
      <c r="H114" s="95" t="s">
        <v>228</v>
      </c>
      <c r="I114" s="95"/>
      <c r="J114" s="95"/>
    </row>
    <row r="115" spans="1:10" x14ac:dyDescent="0.35">
      <c r="A115" s="95">
        <v>2</v>
      </c>
      <c r="B115" s="95" t="s">
        <v>13</v>
      </c>
      <c r="C115" s="95">
        <v>40</v>
      </c>
      <c r="D115" s="95" t="s">
        <v>70</v>
      </c>
      <c r="E115" s="95">
        <v>1</v>
      </c>
      <c r="F115" s="95">
        <v>3</v>
      </c>
      <c r="G115" s="95" t="s">
        <v>62</v>
      </c>
      <c r="H115" s="95" t="s">
        <v>218</v>
      </c>
      <c r="I115" s="95"/>
      <c r="J115" s="95"/>
    </row>
    <row r="116" spans="1:10" x14ac:dyDescent="0.35">
      <c r="A116" s="95">
        <v>1</v>
      </c>
      <c r="B116" s="95" t="s">
        <v>13</v>
      </c>
      <c r="C116" s="95">
        <v>30</v>
      </c>
      <c r="D116" s="95" t="s">
        <v>70</v>
      </c>
      <c r="E116" s="95">
        <v>1</v>
      </c>
      <c r="F116" s="95">
        <v>3</v>
      </c>
      <c r="G116" s="95" t="s">
        <v>62</v>
      </c>
      <c r="H116" s="95" t="s">
        <v>218</v>
      </c>
      <c r="I116" s="95"/>
      <c r="J116" s="95" t="s">
        <v>226</v>
      </c>
    </row>
    <row r="117" spans="1:10" x14ac:dyDescent="0.35">
      <c r="A117" s="95">
        <v>3</v>
      </c>
      <c r="B117" s="95" t="s">
        <v>13</v>
      </c>
      <c r="C117" s="95">
        <v>30</v>
      </c>
      <c r="D117" s="95" t="s">
        <v>59</v>
      </c>
      <c r="E117" s="95">
        <v>2</v>
      </c>
      <c r="F117" s="95">
        <v>3</v>
      </c>
      <c r="G117" s="95" t="s">
        <v>62</v>
      </c>
      <c r="H117" s="95" t="s">
        <v>228</v>
      </c>
      <c r="I117" s="95"/>
      <c r="J117" s="95"/>
    </row>
    <row r="118" spans="1:10" x14ac:dyDescent="0.35">
      <c r="A118" s="95">
        <v>2</v>
      </c>
      <c r="B118" s="95" t="s">
        <v>13</v>
      </c>
      <c r="C118" s="95">
        <v>30</v>
      </c>
      <c r="D118" s="95" t="s">
        <v>70</v>
      </c>
      <c r="E118" s="95">
        <v>1</v>
      </c>
      <c r="F118" s="95">
        <v>3</v>
      </c>
      <c r="G118" s="95" t="s">
        <v>62</v>
      </c>
      <c r="H118" s="95" t="s">
        <v>218</v>
      </c>
      <c r="I118" s="95"/>
      <c r="J118" s="95" t="s">
        <v>226</v>
      </c>
    </row>
    <row r="119" spans="1:10" x14ac:dyDescent="0.35">
      <c r="A119" s="95">
        <v>3</v>
      </c>
      <c r="B119" s="95" t="s">
        <v>6</v>
      </c>
      <c r="C119" s="95">
        <v>70</v>
      </c>
      <c r="D119" s="95" t="s">
        <v>59</v>
      </c>
      <c r="E119" s="95">
        <v>2</v>
      </c>
      <c r="F119" s="95">
        <v>3</v>
      </c>
      <c r="G119" s="95" t="s">
        <v>62</v>
      </c>
      <c r="H119" s="95" t="s">
        <v>218</v>
      </c>
      <c r="I119" s="95"/>
      <c r="J119" s="95"/>
    </row>
    <row r="120" spans="1:10" x14ac:dyDescent="0.35">
      <c r="A120" s="95">
        <v>1</v>
      </c>
      <c r="B120" s="95" t="s">
        <v>13</v>
      </c>
      <c r="C120" s="95">
        <v>20</v>
      </c>
      <c r="D120" s="95" t="s">
        <v>59</v>
      </c>
      <c r="E120" s="95">
        <v>2</v>
      </c>
      <c r="F120" s="95">
        <v>3</v>
      </c>
      <c r="G120" s="95" t="s">
        <v>62</v>
      </c>
      <c r="H120" s="95" t="s">
        <v>218</v>
      </c>
      <c r="I120" s="95"/>
      <c r="J120" s="95" t="s">
        <v>225</v>
      </c>
    </row>
    <row r="121" spans="1:10" x14ac:dyDescent="0.35">
      <c r="A121" s="95">
        <v>3</v>
      </c>
      <c r="B121" s="95" t="s">
        <v>13</v>
      </c>
      <c r="C121" s="95">
        <v>30</v>
      </c>
      <c r="D121" s="95" t="s">
        <v>59</v>
      </c>
      <c r="E121" s="95">
        <v>2</v>
      </c>
      <c r="F121" s="95">
        <v>3</v>
      </c>
      <c r="G121" s="95" t="s">
        <v>62</v>
      </c>
      <c r="H121" s="95" t="s">
        <v>218</v>
      </c>
      <c r="I121" s="95"/>
      <c r="J121" s="95"/>
    </row>
    <row r="122" spans="1:10" x14ac:dyDescent="0.35">
      <c r="A122" s="95">
        <v>60</v>
      </c>
      <c r="B122" s="95" t="s">
        <v>64</v>
      </c>
      <c r="C122" s="95">
        <v>60</v>
      </c>
      <c r="D122" s="95" t="s">
        <v>59</v>
      </c>
      <c r="E122" s="95">
        <v>2</v>
      </c>
      <c r="F122" s="95">
        <v>3</v>
      </c>
      <c r="G122" s="95" t="s">
        <v>62</v>
      </c>
      <c r="H122" s="95" t="s">
        <v>218</v>
      </c>
      <c r="I122" s="95"/>
      <c r="J122" s="95"/>
    </row>
    <row r="123" spans="1:10" x14ac:dyDescent="0.35">
      <c r="A123" s="95">
        <v>8</v>
      </c>
      <c r="B123" s="95" t="s">
        <v>6</v>
      </c>
      <c r="C123" s="95">
        <v>70</v>
      </c>
      <c r="D123" s="95" t="s">
        <v>70</v>
      </c>
      <c r="E123" s="95">
        <v>1</v>
      </c>
      <c r="F123" s="95">
        <v>3</v>
      </c>
      <c r="G123" s="95" t="s">
        <v>62</v>
      </c>
      <c r="H123" s="95" t="s">
        <v>218</v>
      </c>
      <c r="I123" s="95"/>
      <c r="J123" s="95"/>
    </row>
    <row r="124" spans="1:10" x14ac:dyDescent="0.35">
      <c r="A124" s="95">
        <v>10</v>
      </c>
      <c r="B124" s="95" t="s">
        <v>64</v>
      </c>
      <c r="C124" s="95">
        <v>60</v>
      </c>
      <c r="D124" s="95" t="s">
        <v>59</v>
      </c>
      <c r="E124" s="95">
        <v>2</v>
      </c>
      <c r="F124" s="95">
        <v>3</v>
      </c>
      <c r="G124" s="95" t="s">
        <v>62</v>
      </c>
      <c r="H124" s="95" t="s">
        <v>218</v>
      </c>
      <c r="I124" s="95"/>
      <c r="J124" s="95"/>
    </row>
    <row r="125" spans="1:10" x14ac:dyDescent="0.35">
      <c r="A125" s="95">
        <v>5</v>
      </c>
      <c r="B125" s="95" t="s">
        <v>13</v>
      </c>
      <c r="C125" s="95">
        <v>30</v>
      </c>
      <c r="D125" s="95" t="s">
        <v>59</v>
      </c>
      <c r="E125" s="95">
        <v>2</v>
      </c>
      <c r="F125" s="95">
        <v>3</v>
      </c>
      <c r="G125" s="95" t="s">
        <v>62</v>
      </c>
      <c r="H125" s="95" t="s">
        <v>228</v>
      </c>
      <c r="I125" s="95"/>
      <c r="J125" s="95"/>
    </row>
    <row r="126" spans="1:10" x14ac:dyDescent="0.35">
      <c r="A126" s="95">
        <v>20</v>
      </c>
      <c r="B126" s="95" t="s">
        <v>13</v>
      </c>
      <c r="C126" s="95">
        <v>40</v>
      </c>
      <c r="D126" s="95" t="s">
        <v>70</v>
      </c>
      <c r="E126" s="95">
        <v>1</v>
      </c>
      <c r="F126" s="95">
        <v>3</v>
      </c>
      <c r="G126" s="95" t="s">
        <v>62</v>
      </c>
      <c r="H126" s="95" t="s">
        <v>16</v>
      </c>
      <c r="I126" s="95"/>
      <c r="J126" s="95"/>
    </row>
    <row r="127" spans="1:10" x14ac:dyDescent="0.35">
      <c r="A127" s="95">
        <v>1</v>
      </c>
      <c r="B127" s="95" t="s">
        <v>13</v>
      </c>
      <c r="C127" s="95">
        <v>30</v>
      </c>
      <c r="D127" s="95" t="s">
        <v>70</v>
      </c>
      <c r="E127" s="95">
        <v>1</v>
      </c>
      <c r="F127" s="95">
        <v>3</v>
      </c>
      <c r="G127" s="95" t="s">
        <v>62</v>
      </c>
      <c r="H127" s="95" t="s">
        <v>218</v>
      </c>
      <c r="I127" s="95"/>
      <c r="J127" s="95" t="s">
        <v>226</v>
      </c>
    </row>
    <row r="128" spans="1:10" x14ac:dyDescent="0.35">
      <c r="A128" s="95">
        <v>2</v>
      </c>
      <c r="B128" s="95" t="s">
        <v>13</v>
      </c>
      <c r="C128" s="95">
        <v>30</v>
      </c>
      <c r="D128" s="95" t="s">
        <v>59</v>
      </c>
      <c r="E128" s="95">
        <v>2</v>
      </c>
      <c r="F128" s="95">
        <v>3</v>
      </c>
      <c r="G128" s="95" t="s">
        <v>62</v>
      </c>
      <c r="H128" s="95" t="s">
        <v>218</v>
      </c>
      <c r="I128" s="95"/>
      <c r="J128" s="95" t="s">
        <v>226</v>
      </c>
    </row>
    <row r="129" spans="1:10" x14ac:dyDescent="0.35">
      <c r="A129" s="95">
        <v>3</v>
      </c>
      <c r="B129" s="95" t="s">
        <v>13</v>
      </c>
      <c r="C129" s="95">
        <v>30</v>
      </c>
      <c r="D129" s="95" t="s">
        <v>59</v>
      </c>
      <c r="E129" s="95">
        <v>2</v>
      </c>
      <c r="F129" s="95">
        <v>3</v>
      </c>
      <c r="G129" s="95" t="s">
        <v>62</v>
      </c>
      <c r="H129" s="95" t="s">
        <v>218</v>
      </c>
      <c r="I129" s="95"/>
      <c r="J129" s="95"/>
    </row>
    <row r="130" spans="1:10" x14ac:dyDescent="0.35">
      <c r="A130" s="95">
        <v>20</v>
      </c>
      <c r="B130" s="95" t="s">
        <v>13</v>
      </c>
      <c r="C130" s="95">
        <v>40</v>
      </c>
      <c r="D130" s="95" t="s">
        <v>59</v>
      </c>
      <c r="E130" s="95">
        <v>2</v>
      </c>
      <c r="F130" s="95">
        <v>3</v>
      </c>
      <c r="G130" s="95" t="s">
        <v>62</v>
      </c>
      <c r="H130" s="95" t="s">
        <v>218</v>
      </c>
      <c r="I130" s="95"/>
      <c r="J130" s="95"/>
    </row>
    <row r="131" spans="1:10" x14ac:dyDescent="0.35">
      <c r="A131" s="95">
        <v>10</v>
      </c>
      <c r="B131" s="95" t="s">
        <v>64</v>
      </c>
      <c r="C131" s="95">
        <v>50</v>
      </c>
      <c r="D131" s="95" t="s">
        <v>59</v>
      </c>
      <c r="E131" s="95">
        <v>2</v>
      </c>
      <c r="F131" s="95">
        <v>3</v>
      </c>
      <c r="G131" s="95" t="s">
        <v>62</v>
      </c>
      <c r="H131" s="95" t="s">
        <v>218</v>
      </c>
      <c r="I131" s="95"/>
      <c r="J131" s="95"/>
    </row>
    <row r="132" spans="1:10" x14ac:dyDescent="0.35">
      <c r="A132" s="95">
        <v>1</v>
      </c>
      <c r="B132" s="95" t="s">
        <v>13</v>
      </c>
      <c r="C132" s="95">
        <v>40</v>
      </c>
      <c r="D132" s="95" t="s">
        <v>70</v>
      </c>
      <c r="E132" s="95">
        <v>1</v>
      </c>
      <c r="F132" s="95">
        <v>3</v>
      </c>
      <c r="G132" s="95" t="s">
        <v>62</v>
      </c>
      <c r="H132" s="95" t="s">
        <v>218</v>
      </c>
      <c r="I132" s="95">
        <v>1157</v>
      </c>
      <c r="J132" s="95" t="s">
        <v>231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E8B97-823D-4A05-9D91-B1E7A71713D4}">
  <dimension ref="A1:AB92"/>
  <sheetViews>
    <sheetView zoomScaleNormal="100" workbookViewId="0"/>
  </sheetViews>
  <sheetFormatPr defaultRowHeight="14.5" x14ac:dyDescent="0.35"/>
  <cols>
    <col min="1" max="1" width="11" customWidth="1"/>
    <col min="2" max="2" width="9.7265625" customWidth="1"/>
    <col min="3" max="3" width="11.6328125" customWidth="1"/>
    <col min="7" max="7" width="16" customWidth="1"/>
    <col min="9" max="9" width="10.6328125" customWidth="1"/>
    <col min="10" max="10" width="10.90625" customWidth="1"/>
    <col min="11" max="11" width="8.08984375" customWidth="1"/>
    <col min="12" max="12" width="8.6328125" customWidth="1"/>
    <col min="13" max="15" width="8.453125" customWidth="1"/>
    <col min="26" max="27" width="8.7265625" style="98"/>
  </cols>
  <sheetData>
    <row r="1" spans="1:28" ht="15.5" thickTop="1" thickBot="1" x14ac:dyDescent="0.4">
      <c r="A1" s="1"/>
      <c r="B1" s="2"/>
      <c r="C1" s="2"/>
      <c r="D1" s="3" t="s">
        <v>165</v>
      </c>
      <c r="E1" s="2"/>
      <c r="F1" s="2"/>
      <c r="G1" s="2"/>
      <c r="H1" s="4"/>
      <c r="I1" s="37" t="s">
        <v>69</v>
      </c>
      <c r="J1" s="45" t="s">
        <v>190</v>
      </c>
      <c r="K1" s="48" t="s">
        <v>114</v>
      </c>
      <c r="L1" s="34"/>
      <c r="M1" s="35"/>
      <c r="N1" s="35"/>
      <c r="Q1" t="s">
        <v>196</v>
      </c>
      <c r="T1" t="s">
        <v>257</v>
      </c>
      <c r="X1" t="s">
        <v>197</v>
      </c>
    </row>
    <row r="2" spans="1:28" ht="15.5" thickTop="1" thickBot="1" x14ac:dyDescent="0.4">
      <c r="A2" s="37" t="s">
        <v>52</v>
      </c>
      <c r="B2" s="2" t="s">
        <v>134</v>
      </c>
      <c r="C2" s="2"/>
      <c r="D2" s="3"/>
      <c r="E2" s="2"/>
      <c r="F2" s="2"/>
      <c r="G2" s="6"/>
      <c r="H2" s="32"/>
      <c r="I2" s="37" t="s">
        <v>60</v>
      </c>
      <c r="J2" s="5" t="s">
        <v>61</v>
      </c>
      <c r="K2" s="34" t="s">
        <v>46</v>
      </c>
      <c r="L2" s="34" t="s">
        <v>41</v>
      </c>
      <c r="M2" s="34" t="s">
        <v>42</v>
      </c>
      <c r="N2" s="34" t="s">
        <v>41</v>
      </c>
      <c r="O2" s="34" t="s">
        <v>42</v>
      </c>
      <c r="Q2" t="s">
        <v>198</v>
      </c>
      <c r="S2" t="s">
        <v>268</v>
      </c>
      <c r="X2" t="s">
        <v>169</v>
      </c>
    </row>
    <row r="3" spans="1:28" ht="15.5" thickTop="1" thickBot="1" x14ac:dyDescent="0.4">
      <c r="A3" s="37" t="s">
        <v>0</v>
      </c>
      <c r="B3" s="33" t="s">
        <v>178</v>
      </c>
      <c r="C3" s="7" t="s">
        <v>1</v>
      </c>
      <c r="D3" s="8"/>
      <c r="E3" s="7" t="s">
        <v>2</v>
      </c>
      <c r="F3" s="9"/>
      <c r="G3" s="10" t="s">
        <v>3</v>
      </c>
      <c r="H3" s="8"/>
      <c r="I3" s="35" t="s">
        <v>183</v>
      </c>
      <c r="J3" s="9" t="s">
        <v>159</v>
      </c>
      <c r="K3" s="46" t="s">
        <v>72</v>
      </c>
      <c r="L3" s="46">
        <f>SUMIFS($A$11:$A$401,$B$11:$B$401,"CH",$F$11:$F$401,"1")</f>
        <v>0</v>
      </c>
      <c r="M3" s="46" t="s">
        <v>6</v>
      </c>
      <c r="N3" s="46">
        <f>SUMIFS($A$11:$A$401,$B$11:$B$401,"RT",$F$11:$F$401,"1")</f>
        <v>0</v>
      </c>
      <c r="O3" s="46" t="s">
        <v>13</v>
      </c>
      <c r="Q3" t="s">
        <v>47</v>
      </c>
      <c r="R3" t="s">
        <v>46</v>
      </c>
      <c r="S3" t="s">
        <v>199</v>
      </c>
      <c r="T3" t="s">
        <v>200</v>
      </c>
      <c r="U3" t="s">
        <v>200</v>
      </c>
      <c r="V3" t="s">
        <v>200</v>
      </c>
      <c r="W3" t="s">
        <v>200</v>
      </c>
      <c r="X3" t="s">
        <v>200</v>
      </c>
      <c r="Y3" t="s">
        <v>200</v>
      </c>
      <c r="Z3" s="98" t="s">
        <v>264</v>
      </c>
      <c r="AA3" s="98" t="s">
        <v>266</v>
      </c>
      <c r="AB3" t="s">
        <v>201</v>
      </c>
    </row>
    <row r="4" spans="1:28" ht="15" thickTop="1" x14ac:dyDescent="0.35">
      <c r="A4" s="78" t="s">
        <v>4</v>
      </c>
      <c r="B4" s="84" t="s">
        <v>179</v>
      </c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5" t="s">
        <v>10</v>
      </c>
      <c r="I4" s="35" t="s">
        <v>184</v>
      </c>
      <c r="J4" s="9" t="s">
        <v>161</v>
      </c>
      <c r="K4" s="46" t="s">
        <v>73</v>
      </c>
      <c r="L4" s="46">
        <f>SUMIFS($A$11:$A$401,$B$11:$B$401,"CH",$F$11:$F$401,"2")</f>
        <v>2</v>
      </c>
      <c r="M4" s="46" t="s">
        <v>6</v>
      </c>
      <c r="N4" s="46">
        <f>SUMIFS($A$11:$A$401,$B$11:$B$401,"RT",$F$11:$F$401,"2")</f>
        <v>4</v>
      </c>
      <c r="O4" s="46" t="s">
        <v>13</v>
      </c>
      <c r="Q4" t="s">
        <v>202</v>
      </c>
      <c r="R4">
        <v>1</v>
      </c>
      <c r="S4">
        <v>35.4</v>
      </c>
      <c r="T4">
        <v>43.8</v>
      </c>
      <c r="U4">
        <v>45</v>
      </c>
      <c r="V4">
        <v>47</v>
      </c>
      <c r="W4">
        <v>44.9</v>
      </c>
      <c r="Z4" s="98">
        <f>AVERAGE(T4:Y4)</f>
        <v>45.175000000000004</v>
      </c>
      <c r="AA4" s="98">
        <f>Z4*S4</f>
        <v>1599.1950000000002</v>
      </c>
      <c r="AB4" t="s">
        <v>203</v>
      </c>
    </row>
    <row r="5" spans="1:28" x14ac:dyDescent="0.35">
      <c r="A5" s="82" t="s">
        <v>11</v>
      </c>
      <c r="B5" s="83">
        <v>44426</v>
      </c>
      <c r="C5" s="11" t="s">
        <v>12</v>
      </c>
      <c r="D5" s="12" t="s">
        <v>13</v>
      </c>
      <c r="E5" s="13" t="s">
        <v>14</v>
      </c>
      <c r="F5" s="12" t="s">
        <v>15</v>
      </c>
      <c r="G5" s="14" t="s">
        <v>67</v>
      </c>
      <c r="H5" s="15" t="s">
        <v>16</v>
      </c>
      <c r="I5" s="35" t="s">
        <v>185</v>
      </c>
      <c r="J5" s="9" t="s">
        <v>163</v>
      </c>
      <c r="K5" s="46" t="s">
        <v>74</v>
      </c>
      <c r="L5" s="46">
        <f>SUMIFS($A$11:$A$401,$B$11:$B$401,"CH",$F$11:$F$401,"3")</f>
        <v>0</v>
      </c>
      <c r="M5" s="46" t="s">
        <v>6</v>
      </c>
      <c r="N5" s="46">
        <f>SUMIFS($A$11:$A$401,$B$11:$B$401,"RT",$F$11:$F$401,"3")</f>
        <v>4</v>
      </c>
      <c r="O5" s="46" t="s">
        <v>13</v>
      </c>
      <c r="Q5" t="s">
        <v>39</v>
      </c>
      <c r="R5">
        <v>2</v>
      </c>
      <c r="S5">
        <v>467</v>
      </c>
      <c r="T5">
        <v>36</v>
      </c>
      <c r="U5">
        <v>32.6</v>
      </c>
      <c r="V5">
        <v>38.200000000000003</v>
      </c>
      <c r="W5">
        <v>41</v>
      </c>
      <c r="Z5" s="98">
        <f t="shared" ref="Z5:Z28" si="0">AVERAGE(T5:Y5)</f>
        <v>36.950000000000003</v>
      </c>
      <c r="AA5" s="98">
        <f t="shared" ref="AA5:AA28" si="1">Z5*S5</f>
        <v>17255.650000000001</v>
      </c>
    </row>
    <row r="6" spans="1:28" x14ac:dyDescent="0.35">
      <c r="A6" s="79" t="s">
        <v>156</v>
      </c>
      <c r="B6" s="67" t="s">
        <v>180</v>
      </c>
      <c r="C6" s="11" t="s">
        <v>17</v>
      </c>
      <c r="D6" s="12" t="s">
        <v>18</v>
      </c>
      <c r="E6" s="13" t="s">
        <v>19</v>
      </c>
      <c r="F6" s="12" t="s">
        <v>20</v>
      </c>
      <c r="G6" s="14" t="s">
        <v>21</v>
      </c>
      <c r="H6" s="15" t="s">
        <v>22</v>
      </c>
      <c r="I6" s="35"/>
      <c r="J6" s="9"/>
      <c r="K6" s="46" t="s">
        <v>75</v>
      </c>
      <c r="L6" s="46">
        <f>SUMIFS($A$11:$A$401,$B$11:$B$401,"CH",$F$11:$F$401,"4")</f>
        <v>0</v>
      </c>
      <c r="M6" s="46" t="s">
        <v>6</v>
      </c>
      <c r="N6" s="46">
        <f>SUMIFS($A$11:$A$401,$B$11:$B$401,"RT",$F$11:$F$401,"4")</f>
        <v>2</v>
      </c>
      <c r="O6" s="46" t="s">
        <v>13</v>
      </c>
      <c r="Q6" t="s">
        <v>39</v>
      </c>
      <c r="R6">
        <v>3</v>
      </c>
      <c r="S6">
        <v>136</v>
      </c>
      <c r="T6">
        <v>18.7</v>
      </c>
      <c r="U6">
        <v>17.7</v>
      </c>
      <c r="V6">
        <v>27.2</v>
      </c>
      <c r="Z6" s="98">
        <f t="shared" si="0"/>
        <v>21.2</v>
      </c>
      <c r="AA6" s="98">
        <f t="shared" si="1"/>
        <v>2883.2</v>
      </c>
    </row>
    <row r="7" spans="1:28" x14ac:dyDescent="0.35">
      <c r="A7" s="80" t="s">
        <v>23</v>
      </c>
      <c r="B7" s="68">
        <v>2</v>
      </c>
      <c r="C7" s="11" t="s">
        <v>24</v>
      </c>
      <c r="D7" s="12" t="s">
        <v>25</v>
      </c>
      <c r="E7" s="11" t="s">
        <v>68</v>
      </c>
      <c r="F7" s="12" t="s">
        <v>62</v>
      </c>
      <c r="G7" s="16" t="s">
        <v>136</v>
      </c>
      <c r="H7" s="70" t="s">
        <v>137</v>
      </c>
      <c r="I7" s="35"/>
      <c r="J7" s="9"/>
      <c r="K7" s="46" t="s">
        <v>76</v>
      </c>
      <c r="L7" s="46">
        <f>SUMIFS($A$11:$A$401,$B$11:$B$401,"CH",$F$11:$F$401,"5")</f>
        <v>1</v>
      </c>
      <c r="M7" s="46" t="s">
        <v>6</v>
      </c>
      <c r="N7" s="46">
        <f>SUMIFS($A$11:$A$401,$B$11:$B$401,"RT",$F$11:$F$401,"5")</f>
        <v>5</v>
      </c>
      <c r="O7" s="46" t="s">
        <v>13</v>
      </c>
      <c r="Q7" t="s">
        <v>204</v>
      </c>
      <c r="R7">
        <v>4</v>
      </c>
      <c r="S7">
        <v>46</v>
      </c>
      <c r="T7">
        <v>24.4</v>
      </c>
      <c r="U7">
        <v>19.3</v>
      </c>
      <c r="Z7" s="98">
        <f t="shared" si="0"/>
        <v>21.85</v>
      </c>
      <c r="AA7" s="98">
        <f t="shared" si="1"/>
        <v>1005.1</v>
      </c>
    </row>
    <row r="8" spans="1:28" ht="15" thickBot="1" x14ac:dyDescent="0.4">
      <c r="A8" s="81" t="s">
        <v>26</v>
      </c>
      <c r="B8" s="74">
        <v>1</v>
      </c>
      <c r="C8" s="13" t="s">
        <v>63</v>
      </c>
      <c r="D8" s="12" t="s">
        <v>64</v>
      </c>
      <c r="E8" s="13" t="s">
        <v>66</v>
      </c>
      <c r="F8" s="12" t="s">
        <v>58</v>
      </c>
      <c r="G8" s="16" t="s">
        <v>55</v>
      </c>
      <c r="H8" s="15" t="s">
        <v>53</v>
      </c>
      <c r="I8" s="35"/>
      <c r="J8" s="9"/>
      <c r="K8" s="46" t="s">
        <v>77</v>
      </c>
      <c r="L8" s="46">
        <f>SUMIFS($A$11:$A$401,$B$11:$B$401,"CH",$F$11:$F$401,"6")</f>
        <v>8</v>
      </c>
      <c r="M8" s="46" t="s">
        <v>6</v>
      </c>
      <c r="N8" s="46">
        <f>SUMIFS($A$11:$A$401,$B$11:$B$401,"RT",$F$11:$F$401,"6")</f>
        <v>30</v>
      </c>
      <c r="O8" s="46" t="s">
        <v>13</v>
      </c>
      <c r="Q8" t="s">
        <v>202</v>
      </c>
      <c r="R8">
        <v>5</v>
      </c>
      <c r="S8">
        <v>61.3</v>
      </c>
      <c r="T8">
        <v>19.399999999999999</v>
      </c>
      <c r="U8">
        <v>22</v>
      </c>
      <c r="Z8" s="98">
        <f t="shared" si="0"/>
        <v>20.7</v>
      </c>
      <c r="AA8" s="98">
        <f t="shared" si="1"/>
        <v>1268.9099999999999</v>
      </c>
    </row>
    <row r="9" spans="1:28" ht="15.5" thickTop="1" thickBot="1" x14ac:dyDescent="0.4">
      <c r="A9" s="38" t="s">
        <v>28</v>
      </c>
      <c r="B9" s="75"/>
      <c r="C9" s="11" t="s">
        <v>29</v>
      </c>
      <c r="D9" s="12" t="s">
        <v>27</v>
      </c>
      <c r="E9" s="18" t="s">
        <v>30</v>
      </c>
      <c r="F9" s="12" t="s">
        <v>31</v>
      </c>
      <c r="G9" s="17" t="s">
        <v>56</v>
      </c>
      <c r="H9" s="71" t="s">
        <v>54</v>
      </c>
      <c r="I9" s="69"/>
      <c r="J9" s="25"/>
      <c r="K9" s="46" t="s">
        <v>78</v>
      </c>
      <c r="L9" s="46">
        <f>SUMIFS($A$11:$A$401,$B$11:$B$401,"CH",$F$11:$F$401,"7")</f>
        <v>0</v>
      </c>
      <c r="M9" s="46" t="s">
        <v>6</v>
      </c>
      <c r="N9" s="46">
        <f>SUMIFS($A$11:$A$401,$B$11:$B$401,"RT",$F$11:$F$401,"7")</f>
        <v>0</v>
      </c>
      <c r="O9" s="46" t="s">
        <v>13</v>
      </c>
      <c r="Q9" t="s">
        <v>39</v>
      </c>
      <c r="R9">
        <v>6</v>
      </c>
      <c r="S9">
        <v>385.6</v>
      </c>
      <c r="T9">
        <v>18</v>
      </c>
      <c r="U9">
        <v>17.8</v>
      </c>
      <c r="V9">
        <v>9.1999999999999993</v>
      </c>
      <c r="W9">
        <v>9.8000000000000007</v>
      </c>
      <c r="X9">
        <v>10.4</v>
      </c>
      <c r="Y9">
        <v>33.5</v>
      </c>
      <c r="Z9" s="98">
        <f t="shared" si="0"/>
        <v>16.45</v>
      </c>
      <c r="AA9" s="98">
        <f t="shared" si="1"/>
        <v>6343.12</v>
      </c>
    </row>
    <row r="10" spans="1:28" ht="15" thickTop="1" x14ac:dyDescent="0.35">
      <c r="A10" s="76" t="s">
        <v>181</v>
      </c>
      <c r="B10" s="8"/>
      <c r="C10" s="11" t="s">
        <v>32</v>
      </c>
      <c r="D10" s="12" t="s">
        <v>33</v>
      </c>
      <c r="E10" s="20" t="s">
        <v>34</v>
      </c>
      <c r="F10" s="21" t="s">
        <v>35</v>
      </c>
      <c r="G10" s="19" t="s">
        <v>138</v>
      </c>
      <c r="H10" s="9"/>
      <c r="I10" s="36" t="s">
        <v>36</v>
      </c>
      <c r="J10" s="8"/>
      <c r="K10" s="46" t="s">
        <v>79</v>
      </c>
      <c r="L10" s="46">
        <f>SUMIFS($A$11:$A$401,$B$11:$B$401,"CH",$F$11:$F$401,"8")</f>
        <v>10</v>
      </c>
      <c r="M10" s="46" t="s">
        <v>6</v>
      </c>
      <c r="N10" s="46">
        <f>SUMIFS($A$11:$A$401,$B$11:$B$401,"RT",$F$11:$F$401,"8")</f>
        <v>0</v>
      </c>
      <c r="O10" s="46" t="s">
        <v>13</v>
      </c>
      <c r="Q10" t="s">
        <v>204</v>
      </c>
      <c r="R10">
        <v>7</v>
      </c>
      <c r="S10">
        <v>25.7</v>
      </c>
      <c r="T10">
        <v>31</v>
      </c>
      <c r="U10">
        <v>29.8</v>
      </c>
      <c r="Z10" s="98">
        <f t="shared" si="0"/>
        <v>30.4</v>
      </c>
      <c r="AA10" s="98">
        <f t="shared" si="1"/>
        <v>781.28</v>
      </c>
    </row>
    <row r="11" spans="1:28" ht="15" thickBot="1" x14ac:dyDescent="0.4">
      <c r="A11" s="22" t="s">
        <v>182</v>
      </c>
      <c r="B11" s="23"/>
      <c r="C11" s="22" t="s">
        <v>37</v>
      </c>
      <c r="D11" s="24" t="s">
        <v>38</v>
      </c>
      <c r="E11" s="20" t="s">
        <v>39</v>
      </c>
      <c r="F11" s="24" t="s">
        <v>57</v>
      </c>
      <c r="G11" t="s">
        <v>51</v>
      </c>
      <c r="H11" s="24" t="s">
        <v>40</v>
      </c>
      <c r="I11" s="44" t="s">
        <v>164</v>
      </c>
      <c r="J11" s="25"/>
      <c r="K11" s="46" t="s">
        <v>80</v>
      </c>
      <c r="L11" s="46">
        <f>SUMIFS($A$11:$A$401,$B$11:$B$401,"CH",$F$11:$F$401,"9")</f>
        <v>7</v>
      </c>
      <c r="M11" s="46" t="s">
        <v>6</v>
      </c>
      <c r="N11" s="46">
        <f>SUMIFS($A$11:$A$401,$B$11:$B$401,"RT",$F$11:$F$401,"9")</f>
        <v>9</v>
      </c>
      <c r="O11" s="46" t="s">
        <v>13</v>
      </c>
      <c r="Q11" t="s">
        <v>202</v>
      </c>
      <c r="R11">
        <v>8</v>
      </c>
      <c r="S11">
        <v>149.19999999999999</v>
      </c>
      <c r="T11">
        <v>36.5</v>
      </c>
      <c r="U11">
        <v>32.1</v>
      </c>
      <c r="V11">
        <v>29.5</v>
      </c>
      <c r="Z11" s="98">
        <f t="shared" si="0"/>
        <v>32.699999999999996</v>
      </c>
      <c r="AA11" s="98">
        <f t="shared" si="1"/>
        <v>4878.8399999999992</v>
      </c>
    </row>
    <row r="12" spans="1:28" ht="15.5" thickTop="1" thickBot="1" x14ac:dyDescent="0.4">
      <c r="A12" s="26" t="s">
        <v>41</v>
      </c>
      <c r="B12" s="27" t="s">
        <v>42</v>
      </c>
      <c r="C12" s="27" t="s">
        <v>43</v>
      </c>
      <c r="D12" s="27" t="s">
        <v>44</v>
      </c>
      <c r="E12" s="27" t="s">
        <v>45</v>
      </c>
      <c r="F12" s="27" t="s">
        <v>46</v>
      </c>
      <c r="G12" s="27" t="s">
        <v>47</v>
      </c>
      <c r="H12" s="27" t="s">
        <v>48</v>
      </c>
      <c r="I12" s="27" t="s">
        <v>49</v>
      </c>
      <c r="J12" s="27" t="s">
        <v>50</v>
      </c>
      <c r="K12" s="46" t="s">
        <v>81</v>
      </c>
      <c r="L12" s="46">
        <f>SUMIFS($A$11:$A$401,$B$11:$B$401,"CH",$F$11:$F$401,"10")</f>
        <v>2</v>
      </c>
      <c r="M12" s="46" t="s">
        <v>6</v>
      </c>
      <c r="N12" s="46">
        <f>SUMIFS($A$11:$A$401,$B$11:$B$401,"RT",$F$11:$F$401,"10")</f>
        <v>6</v>
      </c>
      <c r="O12" s="46" t="s">
        <v>13</v>
      </c>
      <c r="P12" s="42"/>
      <c r="Q12" t="s">
        <v>204</v>
      </c>
      <c r="R12">
        <v>9</v>
      </c>
      <c r="S12">
        <v>136.80000000000001</v>
      </c>
      <c r="T12">
        <v>40</v>
      </c>
      <c r="U12">
        <v>37.5</v>
      </c>
      <c r="V12">
        <v>37</v>
      </c>
      <c r="W12">
        <v>31.6</v>
      </c>
      <c r="X12">
        <v>21.7</v>
      </c>
      <c r="Z12" s="98">
        <f t="shared" si="0"/>
        <v>33.559999999999995</v>
      </c>
      <c r="AA12" s="98">
        <f t="shared" si="1"/>
        <v>4591.0079999999998</v>
      </c>
    </row>
    <row r="13" spans="1:28" ht="15" thickTop="1" x14ac:dyDescent="0.35">
      <c r="A13" s="28">
        <v>5</v>
      </c>
      <c r="B13" s="39" t="s">
        <v>64</v>
      </c>
      <c r="C13" s="28">
        <v>250</v>
      </c>
      <c r="D13" s="29" t="s">
        <v>70</v>
      </c>
      <c r="E13" s="28" t="s">
        <v>163</v>
      </c>
      <c r="F13" s="28">
        <v>1</v>
      </c>
      <c r="G13" s="28" t="s">
        <v>186</v>
      </c>
      <c r="H13" s="28"/>
      <c r="I13" s="28" t="s">
        <v>187</v>
      </c>
      <c r="J13" s="28" t="s">
        <v>188</v>
      </c>
      <c r="K13" s="46" t="s">
        <v>82</v>
      </c>
      <c r="L13" s="46">
        <f>SUMIFS($A$11:$A$401,$B$11:$B$401,"CH",$F$11:$F$401,"11")</f>
        <v>6</v>
      </c>
      <c r="M13" s="46" t="s">
        <v>6</v>
      </c>
      <c r="N13" s="46">
        <f>SUMIFS($A$11:$A$401,$B$11:$B$401,"RT",$F$11:$F$401,"11")</f>
        <v>17</v>
      </c>
      <c r="O13" s="46" t="s">
        <v>13</v>
      </c>
      <c r="P13" s="42"/>
      <c r="Q13" t="s">
        <v>39</v>
      </c>
      <c r="R13">
        <v>10</v>
      </c>
      <c r="S13">
        <v>115.4</v>
      </c>
      <c r="T13">
        <v>23.7</v>
      </c>
      <c r="U13">
        <v>27.2</v>
      </c>
      <c r="V13">
        <v>29.7</v>
      </c>
      <c r="W13">
        <v>29</v>
      </c>
      <c r="Z13" s="98">
        <f t="shared" si="0"/>
        <v>27.4</v>
      </c>
      <c r="AA13" s="98">
        <f t="shared" si="1"/>
        <v>3161.96</v>
      </c>
    </row>
    <row r="14" spans="1:28" x14ac:dyDescent="0.35">
      <c r="A14" s="30">
        <v>2</v>
      </c>
      <c r="B14" s="40" t="s">
        <v>6</v>
      </c>
      <c r="C14" s="30">
        <v>60</v>
      </c>
      <c r="D14" s="31" t="s">
        <v>59</v>
      </c>
      <c r="E14" s="30" t="s">
        <v>159</v>
      </c>
      <c r="F14" s="30">
        <v>2</v>
      </c>
      <c r="G14" s="30" t="s">
        <v>57</v>
      </c>
      <c r="H14" s="30"/>
      <c r="I14" s="30"/>
      <c r="J14" s="30"/>
      <c r="K14" s="46" t="s">
        <v>83</v>
      </c>
      <c r="L14" s="46">
        <f>SUMIFS($A$11:$A$401,$B$11:$B$401,"CH",$F$11:$F$401,"12")</f>
        <v>2</v>
      </c>
      <c r="M14" s="46" t="s">
        <v>6</v>
      </c>
      <c r="N14" s="46">
        <f>SUMIFS($A$11:$A$401,$B$11:$B$401,"RT",$F$11:$F$401,"12")</f>
        <v>0</v>
      </c>
      <c r="O14" s="46" t="s">
        <v>13</v>
      </c>
      <c r="P14" s="42"/>
      <c r="Q14" t="s">
        <v>204</v>
      </c>
      <c r="R14">
        <v>11</v>
      </c>
      <c r="S14">
        <v>71</v>
      </c>
      <c r="T14">
        <v>21.6</v>
      </c>
      <c r="U14">
        <v>23.2</v>
      </c>
      <c r="V14">
        <v>24.6</v>
      </c>
      <c r="W14">
        <v>25.3</v>
      </c>
      <c r="Z14" s="98">
        <f t="shared" si="0"/>
        <v>23.675000000000001</v>
      </c>
      <c r="AA14" s="98">
        <f t="shared" si="1"/>
        <v>1680.925</v>
      </c>
    </row>
    <row r="15" spans="1:28" x14ac:dyDescent="0.35">
      <c r="A15" s="30">
        <v>3</v>
      </c>
      <c r="B15" s="40" t="s">
        <v>13</v>
      </c>
      <c r="C15" s="30">
        <v>125</v>
      </c>
      <c r="D15" s="30" t="s">
        <v>59</v>
      </c>
      <c r="E15" s="30" t="s">
        <v>159</v>
      </c>
      <c r="F15" s="30">
        <v>2</v>
      </c>
      <c r="G15" s="30" t="s">
        <v>57</v>
      </c>
      <c r="H15" s="30"/>
      <c r="I15" s="30"/>
      <c r="J15" s="30"/>
      <c r="K15" s="46" t="s">
        <v>84</v>
      </c>
      <c r="L15" s="46">
        <f>SUMIFS($A$11:$A$401,$B$11:$B$401,"CH",$F$11:$F$401,"13")</f>
        <v>3</v>
      </c>
      <c r="M15" s="46" t="s">
        <v>6</v>
      </c>
      <c r="N15" s="46">
        <f>SUMIFS($A$11:$A$401,$B$11:$B$401,"RT",$F$11:$F$401,"13")</f>
        <v>13</v>
      </c>
      <c r="O15" s="46" t="s">
        <v>13</v>
      </c>
      <c r="P15" s="42"/>
      <c r="Q15" t="s">
        <v>39</v>
      </c>
      <c r="R15">
        <v>12</v>
      </c>
      <c r="S15">
        <v>167.7</v>
      </c>
      <c r="T15">
        <v>43.2</v>
      </c>
      <c r="U15">
        <v>15.5</v>
      </c>
      <c r="V15">
        <v>15.9</v>
      </c>
      <c r="W15">
        <v>25</v>
      </c>
      <c r="X15">
        <v>27</v>
      </c>
      <c r="Z15" s="98">
        <f t="shared" si="0"/>
        <v>25.32</v>
      </c>
      <c r="AA15" s="98">
        <f t="shared" si="1"/>
        <v>4246.1639999999998</v>
      </c>
    </row>
    <row r="16" spans="1:28" x14ac:dyDescent="0.35">
      <c r="A16" s="30">
        <v>1</v>
      </c>
      <c r="B16" s="40" t="s">
        <v>13</v>
      </c>
      <c r="C16" s="30">
        <v>60</v>
      </c>
      <c r="D16" s="30" t="s">
        <v>70</v>
      </c>
      <c r="E16" s="30" t="s">
        <v>163</v>
      </c>
      <c r="F16" s="30">
        <v>2</v>
      </c>
      <c r="G16" s="30" t="s">
        <v>57</v>
      </c>
      <c r="H16" s="30"/>
      <c r="I16" s="30"/>
      <c r="J16" s="30"/>
      <c r="K16" s="46" t="s">
        <v>85</v>
      </c>
      <c r="L16" s="46">
        <f>SUMIFS($A$11:$A$401,$B$11:$B$401,"CH",$F$11:$F$401,"14")</f>
        <v>0</v>
      </c>
      <c r="M16" s="46" t="s">
        <v>6</v>
      </c>
      <c r="N16" s="46">
        <f>SUMIFS($A$11:$A$401,$B$11:$B$401,"RT",$F$11:$F$401,"14")</f>
        <v>0</v>
      </c>
      <c r="O16" s="46" t="s">
        <v>13</v>
      </c>
      <c r="P16" s="42"/>
      <c r="Q16" t="s">
        <v>39</v>
      </c>
      <c r="R16">
        <v>13</v>
      </c>
      <c r="S16">
        <v>127</v>
      </c>
      <c r="T16">
        <v>18.7</v>
      </c>
      <c r="U16">
        <v>22.2</v>
      </c>
      <c r="V16">
        <v>19.8</v>
      </c>
      <c r="W16">
        <v>18.8</v>
      </c>
      <c r="X16">
        <v>14.9</v>
      </c>
      <c r="Z16" s="98">
        <f t="shared" si="0"/>
        <v>18.880000000000003</v>
      </c>
      <c r="AA16" s="98">
        <f t="shared" si="1"/>
        <v>2397.7600000000002</v>
      </c>
    </row>
    <row r="17" spans="1:28" x14ac:dyDescent="0.35">
      <c r="A17" s="30">
        <v>2</v>
      </c>
      <c r="B17" s="40" t="s">
        <v>13</v>
      </c>
      <c r="C17" s="30">
        <v>150</v>
      </c>
      <c r="D17" s="30" t="s">
        <v>59</v>
      </c>
      <c r="E17" s="30" t="s">
        <v>159</v>
      </c>
      <c r="F17" s="30">
        <v>3</v>
      </c>
      <c r="G17" s="30" t="s">
        <v>57</v>
      </c>
      <c r="H17" s="30"/>
      <c r="I17" s="30"/>
      <c r="J17" s="30"/>
      <c r="K17" s="46" t="s">
        <v>86</v>
      </c>
      <c r="L17" s="46">
        <f>SUMIFS($A$11:$A$401,$B$11:$B$401,"CH",$F$11:$F$401,"15")</f>
        <v>0</v>
      </c>
      <c r="M17" s="46" t="s">
        <v>6</v>
      </c>
      <c r="N17" s="46">
        <f>SUMIFS($A$11:$A$401,$B$11:$B$401,"RT",$F$11:$F$401,"15")</f>
        <v>0</v>
      </c>
      <c r="O17" s="46" t="s">
        <v>13</v>
      </c>
      <c r="P17" s="42"/>
      <c r="Q17" t="s">
        <v>202</v>
      </c>
      <c r="R17">
        <v>14</v>
      </c>
      <c r="S17">
        <v>22</v>
      </c>
      <c r="T17">
        <v>25.5</v>
      </c>
      <c r="U17">
        <v>30</v>
      </c>
      <c r="V17">
        <v>31</v>
      </c>
      <c r="W17">
        <v>36</v>
      </c>
      <c r="X17">
        <v>15.4</v>
      </c>
      <c r="Z17" s="98">
        <f t="shared" si="0"/>
        <v>27.580000000000002</v>
      </c>
      <c r="AA17" s="98">
        <f t="shared" si="1"/>
        <v>606.76</v>
      </c>
    </row>
    <row r="18" spans="1:28" x14ac:dyDescent="0.35">
      <c r="A18" s="30">
        <v>1</v>
      </c>
      <c r="B18" s="40" t="s">
        <v>13</v>
      </c>
      <c r="C18" s="30">
        <v>175</v>
      </c>
      <c r="D18" s="30" t="s">
        <v>70</v>
      </c>
      <c r="E18" s="30" t="s">
        <v>163</v>
      </c>
      <c r="F18" s="30">
        <v>3</v>
      </c>
      <c r="G18" s="30" t="s">
        <v>57</v>
      </c>
      <c r="H18" s="30"/>
      <c r="I18" s="30"/>
      <c r="J18" s="30"/>
      <c r="K18" s="46" t="s">
        <v>87</v>
      </c>
      <c r="L18" s="46">
        <f>SUMIFS($A$11:$A$401,$B$11:$B$401,"CH",$F$11:$F$401,"16")</f>
        <v>0</v>
      </c>
      <c r="M18" s="46" t="s">
        <v>6</v>
      </c>
      <c r="N18" s="46">
        <f>SUMIFS($A$11:$A$401,$B$11:$B$401,"RT",$F$11:$F$401,"16")</f>
        <v>0</v>
      </c>
      <c r="O18" s="46" t="s">
        <v>13</v>
      </c>
      <c r="P18" s="42"/>
      <c r="Q18" t="s">
        <v>39</v>
      </c>
      <c r="R18">
        <v>15</v>
      </c>
      <c r="S18">
        <v>36</v>
      </c>
      <c r="T18">
        <v>15</v>
      </c>
      <c r="U18">
        <v>15.5</v>
      </c>
      <c r="V18">
        <v>13</v>
      </c>
      <c r="Z18" s="98">
        <f t="shared" si="0"/>
        <v>14.5</v>
      </c>
      <c r="AA18" s="98">
        <f t="shared" si="1"/>
        <v>522</v>
      </c>
    </row>
    <row r="19" spans="1:28" x14ac:dyDescent="0.35">
      <c r="A19" s="30">
        <v>1</v>
      </c>
      <c r="B19" s="40" t="s">
        <v>13</v>
      </c>
      <c r="C19" s="30">
        <v>90</v>
      </c>
      <c r="D19" s="30" t="s">
        <v>70</v>
      </c>
      <c r="E19" s="30" t="s">
        <v>163</v>
      </c>
      <c r="F19" s="30">
        <v>3</v>
      </c>
      <c r="G19" s="30" t="s">
        <v>57</v>
      </c>
      <c r="H19" s="30"/>
      <c r="I19" s="30"/>
      <c r="J19" s="30"/>
      <c r="K19" s="46" t="s">
        <v>88</v>
      </c>
      <c r="L19" s="46">
        <f>SUMIFS($A$11:$A$401,$B$11:$B$401,"CH",$F$11:$F$401,"17")</f>
        <v>0</v>
      </c>
      <c r="M19" s="46" t="s">
        <v>6</v>
      </c>
      <c r="N19" s="46">
        <f>SUMIFS($A$11:$A$401,$B$11:$B$401,"RT",$F$11:$F$401,"17")</f>
        <v>0</v>
      </c>
      <c r="O19" s="46" t="s">
        <v>13</v>
      </c>
      <c r="P19" s="42"/>
      <c r="Q19" t="s">
        <v>202</v>
      </c>
      <c r="R19">
        <v>16</v>
      </c>
      <c r="S19">
        <v>153</v>
      </c>
      <c r="T19">
        <v>13</v>
      </c>
      <c r="U19">
        <v>13</v>
      </c>
      <c r="V19">
        <v>19</v>
      </c>
      <c r="W19">
        <v>31</v>
      </c>
      <c r="X19">
        <v>24</v>
      </c>
      <c r="Z19" s="98">
        <f t="shared" si="0"/>
        <v>20</v>
      </c>
      <c r="AA19" s="98">
        <f t="shared" si="1"/>
        <v>3060</v>
      </c>
    </row>
    <row r="20" spans="1:28" x14ac:dyDescent="0.35">
      <c r="A20" s="30">
        <v>1</v>
      </c>
      <c r="B20" s="40" t="s">
        <v>13</v>
      </c>
      <c r="C20" s="30">
        <v>60</v>
      </c>
      <c r="D20" s="30" t="s">
        <v>70</v>
      </c>
      <c r="E20" s="30" t="s">
        <v>163</v>
      </c>
      <c r="F20" s="30">
        <v>4</v>
      </c>
      <c r="G20" s="30" t="s">
        <v>20</v>
      </c>
      <c r="H20" s="30" t="s">
        <v>139</v>
      </c>
      <c r="I20" s="30"/>
      <c r="J20" s="30"/>
      <c r="K20" s="46" t="s">
        <v>89</v>
      </c>
      <c r="L20" s="46">
        <f>SUMIFS($A$11:$A$401,$B$11:$B$401,"CH",$F$11:$F$401,"18")</f>
        <v>0</v>
      </c>
      <c r="M20" s="46" t="s">
        <v>6</v>
      </c>
      <c r="N20" s="46">
        <f>SUMIFS($A$11:$A$401,$B$11:$B$401,"RT",$F$11:$F$401,"18")</f>
        <v>0</v>
      </c>
      <c r="O20" s="46" t="s">
        <v>13</v>
      </c>
      <c r="P20" s="42"/>
      <c r="Q20" t="s">
        <v>39</v>
      </c>
      <c r="R20">
        <v>17</v>
      </c>
      <c r="S20">
        <v>59</v>
      </c>
      <c r="T20">
        <v>6.5</v>
      </c>
      <c r="U20">
        <v>5</v>
      </c>
      <c r="V20">
        <v>7</v>
      </c>
      <c r="Z20" s="98">
        <f t="shared" si="0"/>
        <v>6.166666666666667</v>
      </c>
      <c r="AA20" s="98">
        <f t="shared" si="1"/>
        <v>363.83333333333337</v>
      </c>
    </row>
    <row r="21" spans="1:28" x14ac:dyDescent="0.35">
      <c r="A21" s="30">
        <v>1</v>
      </c>
      <c r="B21" s="40" t="s">
        <v>13</v>
      </c>
      <c r="C21" s="30">
        <v>125</v>
      </c>
      <c r="D21" s="30" t="s">
        <v>70</v>
      </c>
      <c r="E21" s="30" t="s">
        <v>163</v>
      </c>
      <c r="F21" s="30">
        <v>4</v>
      </c>
      <c r="G21" s="30" t="s">
        <v>20</v>
      </c>
      <c r="H21" s="30" t="s">
        <v>139</v>
      </c>
      <c r="I21" s="30"/>
      <c r="J21" s="30"/>
      <c r="K21" s="46" t="s">
        <v>90</v>
      </c>
      <c r="L21" s="46">
        <f>SUMIFS($A$11:$A$401,$B$11:$B$401,"CH",$F$11:$F$401,"19")</f>
        <v>0</v>
      </c>
      <c r="M21" s="46" t="s">
        <v>6</v>
      </c>
      <c r="N21" s="46">
        <f>SUMIFS($A$11:$A$401,$B$11:$B$401,"RT",$F$11:$F$401,"19")</f>
        <v>0</v>
      </c>
      <c r="O21" s="46" t="s">
        <v>13</v>
      </c>
      <c r="P21" s="42"/>
      <c r="Q21" t="s">
        <v>202</v>
      </c>
      <c r="R21">
        <v>18</v>
      </c>
      <c r="S21">
        <v>66</v>
      </c>
      <c r="T21">
        <v>15</v>
      </c>
      <c r="U21">
        <v>15.4</v>
      </c>
      <c r="V21">
        <v>13.6</v>
      </c>
      <c r="W21">
        <v>14.4</v>
      </c>
      <c r="X21">
        <v>17.399999999999999</v>
      </c>
      <c r="Z21" s="98">
        <f t="shared" si="0"/>
        <v>15.16</v>
      </c>
      <c r="AA21" s="98">
        <f t="shared" si="1"/>
        <v>1000.5600000000001</v>
      </c>
    </row>
    <row r="22" spans="1:28" x14ac:dyDescent="0.35">
      <c r="A22" s="30">
        <v>1</v>
      </c>
      <c r="B22" s="40" t="s">
        <v>6</v>
      </c>
      <c r="C22" s="30">
        <v>60</v>
      </c>
      <c r="D22" s="30" t="s">
        <v>70</v>
      </c>
      <c r="E22" s="30" t="s">
        <v>159</v>
      </c>
      <c r="F22" s="30">
        <v>5</v>
      </c>
      <c r="G22" s="30" t="s">
        <v>186</v>
      </c>
      <c r="H22" s="30" t="s">
        <v>139</v>
      </c>
      <c r="I22" s="30"/>
      <c r="J22" s="30"/>
      <c r="K22" s="46" t="s">
        <v>91</v>
      </c>
      <c r="L22" s="46">
        <f>SUMIFS($A$11:$A$401,$B$11:$B$401,"CH",$F$11:$F$401,"20")</f>
        <v>0</v>
      </c>
      <c r="M22" s="46" t="s">
        <v>6</v>
      </c>
      <c r="N22" s="46">
        <f>SUMIFS($A$11:$A$401,$B$11:$B$401,"RT",$F$11:$F$401,"20")</f>
        <v>0</v>
      </c>
      <c r="O22" s="46" t="s">
        <v>13</v>
      </c>
      <c r="Q22" t="s">
        <v>39</v>
      </c>
      <c r="R22">
        <v>19</v>
      </c>
      <c r="S22">
        <v>11</v>
      </c>
      <c r="T22">
        <v>4</v>
      </c>
      <c r="U22">
        <v>5</v>
      </c>
      <c r="V22">
        <v>4.9000000000000004</v>
      </c>
      <c r="Z22" s="98">
        <f t="shared" si="0"/>
        <v>4.6333333333333337</v>
      </c>
      <c r="AA22" s="98">
        <f t="shared" si="1"/>
        <v>50.966666666666669</v>
      </c>
    </row>
    <row r="23" spans="1:28" x14ac:dyDescent="0.35">
      <c r="A23" s="30">
        <v>2</v>
      </c>
      <c r="B23" s="40" t="s">
        <v>13</v>
      </c>
      <c r="C23" s="30">
        <v>100</v>
      </c>
      <c r="D23" s="30" t="s">
        <v>59</v>
      </c>
      <c r="E23" s="30" t="s">
        <v>159</v>
      </c>
      <c r="F23" s="30">
        <v>5</v>
      </c>
      <c r="G23" s="30" t="s">
        <v>186</v>
      </c>
      <c r="H23" s="30"/>
      <c r="I23" s="30"/>
      <c r="J23" s="30"/>
      <c r="K23" s="46" t="s">
        <v>92</v>
      </c>
      <c r="L23" s="46">
        <f>SUMIFS($A$11:$A$401,$B$11:$B$401,"CH",$F$11:$F$401,"21")</f>
        <v>0</v>
      </c>
      <c r="M23" s="46" t="s">
        <v>6</v>
      </c>
      <c r="N23" s="46">
        <f>SUMIFS($A$11:$A$401,$B$11:$B$401,"RT",$F$11:$F$401,"21")</f>
        <v>0</v>
      </c>
      <c r="O23" s="46" t="s">
        <v>13</v>
      </c>
      <c r="Q23" t="s">
        <v>202</v>
      </c>
      <c r="R23">
        <v>20</v>
      </c>
      <c r="S23">
        <v>41</v>
      </c>
      <c r="T23">
        <v>13</v>
      </c>
      <c r="U23">
        <v>14.7</v>
      </c>
      <c r="V23">
        <v>15</v>
      </c>
      <c r="W23">
        <v>7.7</v>
      </c>
      <c r="Z23" s="98">
        <f t="shared" si="0"/>
        <v>12.600000000000001</v>
      </c>
      <c r="AA23" s="98">
        <f t="shared" si="1"/>
        <v>516.6</v>
      </c>
    </row>
    <row r="24" spans="1:28" x14ac:dyDescent="0.35">
      <c r="A24" s="30">
        <v>3</v>
      </c>
      <c r="B24" s="40" t="s">
        <v>13</v>
      </c>
      <c r="C24" s="30">
        <v>125</v>
      </c>
      <c r="D24" s="30" t="s">
        <v>59</v>
      </c>
      <c r="E24" s="30" t="s">
        <v>159</v>
      </c>
      <c r="F24" s="30">
        <v>5</v>
      </c>
      <c r="G24" s="30" t="s">
        <v>186</v>
      </c>
      <c r="H24" s="30"/>
      <c r="I24" s="30"/>
      <c r="J24" s="30"/>
      <c r="K24" s="46" t="s">
        <v>93</v>
      </c>
      <c r="L24" s="46">
        <f>SUMIFS($A$11:$A$401,$B$11:$B$401,"CH",$F$11:$F$401,"22")</f>
        <v>0</v>
      </c>
      <c r="M24" s="46" t="s">
        <v>6</v>
      </c>
      <c r="N24" s="46">
        <f>SUMIFS($A$11:$A$401,$B$11:$B$401,"RT",$F$11:$F$401,"22")</f>
        <v>0</v>
      </c>
      <c r="O24" s="46" t="s">
        <v>13</v>
      </c>
      <c r="Q24" t="s">
        <v>39</v>
      </c>
      <c r="R24">
        <v>21</v>
      </c>
      <c r="S24">
        <v>68.5</v>
      </c>
      <c r="T24">
        <v>7</v>
      </c>
      <c r="U24">
        <v>8.1999999999999993</v>
      </c>
      <c r="V24">
        <v>7.5</v>
      </c>
      <c r="W24">
        <v>5.2</v>
      </c>
      <c r="X24">
        <v>4.5</v>
      </c>
      <c r="Z24" s="98">
        <f t="shared" si="0"/>
        <v>6.4799999999999995</v>
      </c>
      <c r="AA24" s="98">
        <f t="shared" si="1"/>
        <v>443.88</v>
      </c>
    </row>
    <row r="25" spans="1:28" x14ac:dyDescent="0.35">
      <c r="A25" s="30">
        <v>6</v>
      </c>
      <c r="B25" s="40" t="s">
        <v>13</v>
      </c>
      <c r="C25" s="30">
        <v>60</v>
      </c>
      <c r="D25" s="30" t="s">
        <v>70</v>
      </c>
      <c r="E25" s="30" t="s">
        <v>163</v>
      </c>
      <c r="F25" s="30">
        <v>6</v>
      </c>
      <c r="G25" s="30" t="s">
        <v>57</v>
      </c>
      <c r="H25" s="30"/>
      <c r="I25" s="30"/>
      <c r="J25" s="30"/>
      <c r="K25" s="46" t="s">
        <v>94</v>
      </c>
      <c r="L25" s="46">
        <f>SUMIFS($A$11:$A$401,$B$11:$B$401,"CH",$F$11:$F$401,"23")</f>
        <v>0</v>
      </c>
      <c r="M25" s="46" t="s">
        <v>6</v>
      </c>
      <c r="N25" s="46">
        <f>SUMIFS($A$11:$A$401,$B$11:$B$401,"RT",$F$11:$F$401,"23")</f>
        <v>0</v>
      </c>
      <c r="O25" s="46" t="s">
        <v>13</v>
      </c>
      <c r="Q25" t="s">
        <v>204</v>
      </c>
      <c r="R25">
        <v>22</v>
      </c>
      <c r="S25">
        <v>36</v>
      </c>
      <c r="T25">
        <v>15</v>
      </c>
      <c r="U25">
        <v>5.4</v>
      </c>
      <c r="V25">
        <v>11</v>
      </c>
      <c r="W25">
        <v>5.8</v>
      </c>
      <c r="X25">
        <v>9.3000000000000007</v>
      </c>
      <c r="Z25" s="98">
        <f t="shared" si="0"/>
        <v>9.3000000000000007</v>
      </c>
      <c r="AA25" s="98">
        <f t="shared" si="1"/>
        <v>334.8</v>
      </c>
    </row>
    <row r="26" spans="1:28" x14ac:dyDescent="0.35">
      <c r="A26" s="30">
        <v>1</v>
      </c>
      <c r="B26" s="40" t="s">
        <v>6</v>
      </c>
      <c r="C26" s="30">
        <v>60</v>
      </c>
      <c r="D26" s="30" t="s">
        <v>70</v>
      </c>
      <c r="E26" s="30" t="s">
        <v>163</v>
      </c>
      <c r="F26" s="30">
        <v>6</v>
      </c>
      <c r="G26" s="30" t="s">
        <v>57</v>
      </c>
      <c r="H26" s="30"/>
      <c r="I26" s="30"/>
      <c r="J26" s="30"/>
      <c r="K26" s="46" t="s">
        <v>95</v>
      </c>
      <c r="L26" s="46">
        <f>SUMIFS($A$11:$A$401,$B$11:$B$401,"CH",$F$11:$F$401,"24")</f>
        <v>0</v>
      </c>
      <c r="M26" s="46" t="s">
        <v>6</v>
      </c>
      <c r="N26" s="46">
        <f>SUMIFS($A$11:$A$401,$B$11:$B$401,"RT",$F$11:$F$401,"24")</f>
        <v>0</v>
      </c>
      <c r="O26" s="46" t="s">
        <v>13</v>
      </c>
      <c r="Q26" t="s">
        <v>202</v>
      </c>
      <c r="R26">
        <v>23</v>
      </c>
      <c r="S26">
        <v>110</v>
      </c>
      <c r="T26">
        <v>11</v>
      </c>
      <c r="U26">
        <v>14</v>
      </c>
      <c r="V26">
        <v>16</v>
      </c>
      <c r="W26">
        <v>21</v>
      </c>
      <c r="X26">
        <v>19</v>
      </c>
      <c r="Z26" s="98">
        <f t="shared" si="0"/>
        <v>16.2</v>
      </c>
      <c r="AA26" s="98">
        <f t="shared" si="1"/>
        <v>1782</v>
      </c>
    </row>
    <row r="27" spans="1:28" x14ac:dyDescent="0.35">
      <c r="A27" s="30">
        <v>1</v>
      </c>
      <c r="B27" s="40" t="s">
        <v>13</v>
      </c>
      <c r="C27" s="30">
        <v>150</v>
      </c>
      <c r="D27" s="30" t="s">
        <v>70</v>
      </c>
      <c r="E27" s="30" t="s">
        <v>163</v>
      </c>
      <c r="F27" s="30">
        <v>6</v>
      </c>
      <c r="G27" s="30" t="s">
        <v>57</v>
      </c>
      <c r="H27" s="30"/>
      <c r="I27" s="30"/>
      <c r="J27" s="30"/>
      <c r="K27" s="46" t="s">
        <v>96</v>
      </c>
      <c r="L27" s="46">
        <f>SUMIFS($A$11:$A$401,$B$11:$B$401,"CH",$F$11:$F$401,"25")</f>
        <v>0</v>
      </c>
      <c r="M27" s="46" t="s">
        <v>6</v>
      </c>
      <c r="N27" s="46">
        <f>SUMIFS($A$11:$A$401,$B$11:$B$401,"RT",$F$11:$F$401,"25")</f>
        <v>0</v>
      </c>
      <c r="O27" s="46" t="s">
        <v>13</v>
      </c>
      <c r="Q27" t="s">
        <v>39</v>
      </c>
      <c r="R27">
        <v>24</v>
      </c>
      <c r="S27">
        <v>185.5</v>
      </c>
      <c r="T27">
        <v>7</v>
      </c>
      <c r="U27">
        <v>8</v>
      </c>
      <c r="V27">
        <v>6.6</v>
      </c>
      <c r="W27">
        <v>7.2</v>
      </c>
      <c r="X27">
        <v>17.3</v>
      </c>
      <c r="Z27" s="98">
        <f t="shared" si="0"/>
        <v>9.2200000000000006</v>
      </c>
      <c r="AA27" s="98">
        <f t="shared" si="1"/>
        <v>1710.3100000000002</v>
      </c>
    </row>
    <row r="28" spans="1:28" x14ac:dyDescent="0.35">
      <c r="A28" s="30">
        <v>4</v>
      </c>
      <c r="B28" s="40" t="s">
        <v>13</v>
      </c>
      <c r="C28" s="30">
        <v>60</v>
      </c>
      <c r="D28" s="30" t="s">
        <v>70</v>
      </c>
      <c r="E28" s="30" t="s">
        <v>163</v>
      </c>
      <c r="F28" s="30">
        <v>6</v>
      </c>
      <c r="G28" s="30" t="s">
        <v>57</v>
      </c>
      <c r="H28" s="30" t="s">
        <v>139</v>
      </c>
      <c r="I28" s="30"/>
      <c r="J28" s="30"/>
      <c r="K28" s="46" t="s">
        <v>97</v>
      </c>
      <c r="L28" s="46">
        <f>SUMIFS($A$11:$A$401,$B$11:$B$401,"CH",$F$11:$F$401,"26")</f>
        <v>0</v>
      </c>
      <c r="M28" s="46" t="s">
        <v>6</v>
      </c>
      <c r="N28" s="46">
        <f>SUMIFS($A$11:$A$401,$B$11:$B$401,"RT",$F$11:$F$401,"26")</f>
        <v>0</v>
      </c>
      <c r="O28" s="46" t="s">
        <v>13</v>
      </c>
      <c r="Q28" t="s">
        <v>204</v>
      </c>
      <c r="R28">
        <v>25</v>
      </c>
      <c r="S28">
        <v>70</v>
      </c>
      <c r="T28">
        <v>39</v>
      </c>
      <c r="U28">
        <v>29</v>
      </c>
      <c r="V28">
        <v>28</v>
      </c>
      <c r="W28">
        <v>22.5</v>
      </c>
      <c r="X28">
        <v>20</v>
      </c>
      <c r="Z28" s="98">
        <f t="shared" si="0"/>
        <v>27.7</v>
      </c>
      <c r="AA28" s="98">
        <f t="shared" si="1"/>
        <v>1939</v>
      </c>
    </row>
    <row r="29" spans="1:28" x14ac:dyDescent="0.35">
      <c r="A29" s="30">
        <v>2</v>
      </c>
      <c r="B29" s="40" t="s">
        <v>13</v>
      </c>
      <c r="C29" s="30">
        <v>50</v>
      </c>
      <c r="D29" s="30" t="s">
        <v>70</v>
      </c>
      <c r="E29" s="30" t="s">
        <v>163</v>
      </c>
      <c r="F29" s="30">
        <v>6</v>
      </c>
      <c r="G29" s="30" t="s">
        <v>57</v>
      </c>
      <c r="H29" s="30"/>
      <c r="I29" s="30"/>
      <c r="J29" s="30"/>
      <c r="K29" s="46" t="s">
        <v>98</v>
      </c>
      <c r="L29" s="46">
        <f>SUMIFS($A$11:$A$401,$B$11:$B$401,"CH",$F$11:$F$401,"27")</f>
        <v>0</v>
      </c>
      <c r="M29" s="46" t="s">
        <v>6</v>
      </c>
      <c r="N29" s="46">
        <f>SUMIFS($A$11:$A$401,$B$11:$B$401,"RT",$F$11:$F$401,"27")</f>
        <v>0</v>
      </c>
      <c r="O29" s="46" t="s">
        <v>13</v>
      </c>
      <c r="S29">
        <f>SUM(S4:S28)</f>
        <v>2782.1000000000004</v>
      </c>
      <c r="T29" t="s">
        <v>273</v>
      </c>
      <c r="Y29" t="s">
        <v>269</v>
      </c>
      <c r="Z29" s="98">
        <f>AVERAGE(T4:Y28)</f>
        <v>20.709803921568632</v>
      </c>
      <c r="AA29" s="98">
        <f>SUM(AA4:AA28)</f>
        <v>64423.822</v>
      </c>
      <c r="AB29" t="s">
        <v>260</v>
      </c>
    </row>
    <row r="30" spans="1:28" x14ac:dyDescent="0.35">
      <c r="A30" s="30">
        <v>4</v>
      </c>
      <c r="B30" s="40" t="s">
        <v>13</v>
      </c>
      <c r="C30" s="30">
        <v>60</v>
      </c>
      <c r="D30" s="30" t="s">
        <v>59</v>
      </c>
      <c r="E30" s="30" t="s">
        <v>159</v>
      </c>
      <c r="F30" s="30">
        <v>6</v>
      </c>
      <c r="G30" s="30" t="s">
        <v>57</v>
      </c>
      <c r="H30" s="30"/>
      <c r="I30" s="30"/>
      <c r="J30" s="30"/>
      <c r="K30" s="46" t="s">
        <v>99</v>
      </c>
      <c r="L30" s="46">
        <f>SUMIFS($A$11:$A$401,$B$11:$B$401,"CH",$F$11:$F$401,"28")</f>
        <v>0</v>
      </c>
      <c r="M30" s="46" t="s">
        <v>6</v>
      </c>
      <c r="N30" s="46">
        <f>SUMIFS($A$11:$A$401,$B$11:$B$401,"RT",$F$11:$F$401,"28")</f>
        <v>0</v>
      </c>
      <c r="O30" s="46" t="s">
        <v>13</v>
      </c>
      <c r="S30" s="98">
        <f>S29*0.3048</f>
        <v>847.98408000000018</v>
      </c>
      <c r="T30" t="s">
        <v>274</v>
      </c>
      <c r="Z30" s="98">
        <f>Z29*0.3048</f>
        <v>6.3123482352941194</v>
      </c>
      <c r="AA30" s="98">
        <f>AA29*0.092903</f>
        <v>5985.1663352659998</v>
      </c>
      <c r="AB30" t="s">
        <v>261</v>
      </c>
    </row>
    <row r="31" spans="1:28" x14ac:dyDescent="0.35">
      <c r="A31" s="30">
        <v>1</v>
      </c>
      <c r="B31" s="40" t="s">
        <v>6</v>
      </c>
      <c r="C31" s="30">
        <v>60</v>
      </c>
      <c r="D31" s="30" t="s">
        <v>70</v>
      </c>
      <c r="E31" s="30" t="s">
        <v>163</v>
      </c>
      <c r="F31" s="30">
        <v>6</v>
      </c>
      <c r="G31" s="30" t="s">
        <v>57</v>
      </c>
      <c r="H31" s="30"/>
      <c r="I31" s="30"/>
      <c r="J31" s="30"/>
      <c r="K31" s="46" t="s">
        <v>100</v>
      </c>
      <c r="L31" s="46">
        <f>SUMIFS($A$11:$A$401,$B$11:$B$401,"CH",$F$11:$F$401,"29")</f>
        <v>0</v>
      </c>
      <c r="M31" s="46" t="s">
        <v>6</v>
      </c>
      <c r="N31" s="46">
        <f>SUMIFS($A$11:$A$401,$B$11:$B$401,"RT",$F$11:$F$401,"29")</f>
        <v>0</v>
      </c>
      <c r="O31" s="46" t="s">
        <v>13</v>
      </c>
    </row>
    <row r="32" spans="1:28" x14ac:dyDescent="0.35">
      <c r="A32" s="30">
        <v>1</v>
      </c>
      <c r="B32" s="40" t="s">
        <v>13</v>
      </c>
      <c r="C32" s="30">
        <v>70</v>
      </c>
      <c r="D32" s="30" t="s">
        <v>70</v>
      </c>
      <c r="E32" s="30" t="s">
        <v>163</v>
      </c>
      <c r="F32" s="30">
        <v>6</v>
      </c>
      <c r="G32" s="30" t="s">
        <v>57</v>
      </c>
      <c r="H32" s="30"/>
      <c r="I32" s="87"/>
      <c r="J32" s="30"/>
      <c r="K32" s="46" t="s">
        <v>101</v>
      </c>
      <c r="L32" s="46">
        <f>SUMIFS($A$11:$A$401,$B$11:$B$401,"CH",$F$11:$F$401,"30")</f>
        <v>0</v>
      </c>
      <c r="M32" s="46" t="s">
        <v>6</v>
      </c>
      <c r="N32" s="46">
        <f>SUMIFS($A$11:$A$401,$B$11:$B$401,"RT",$F$11:$F$401,"30")</f>
        <v>0</v>
      </c>
      <c r="O32" s="46" t="s">
        <v>13</v>
      </c>
      <c r="Q32" t="s">
        <v>210</v>
      </c>
    </row>
    <row r="33" spans="1:17" x14ac:dyDescent="0.35">
      <c r="A33" s="77">
        <v>1</v>
      </c>
      <c r="B33" s="77" t="s">
        <v>13</v>
      </c>
      <c r="C33" s="77">
        <v>60</v>
      </c>
      <c r="D33" s="77" t="s">
        <v>70</v>
      </c>
      <c r="E33" s="77" t="s">
        <v>163</v>
      </c>
      <c r="F33" s="77">
        <v>6</v>
      </c>
      <c r="G33" s="77" t="s">
        <v>57</v>
      </c>
      <c r="H33" s="77"/>
      <c r="I33" s="77"/>
      <c r="J33" s="77"/>
      <c r="K33" s="46" t="s">
        <v>102</v>
      </c>
      <c r="L33" s="46">
        <f>SUMIFS($A$11:$A$401,$B$11:$B$401,"CH",$F$11:$F$401,"31")</f>
        <v>0</v>
      </c>
      <c r="M33" s="46" t="s">
        <v>6</v>
      </c>
      <c r="N33" s="46">
        <f>SUMIFS($A$11:$A$401,$B$11:$B$401,"RT",$F$11:$F$401,"31")</f>
        <v>0</v>
      </c>
      <c r="O33" s="46" t="s">
        <v>13</v>
      </c>
      <c r="Q33" t="s">
        <v>211</v>
      </c>
    </row>
    <row r="34" spans="1:17" x14ac:dyDescent="0.35">
      <c r="A34" s="77">
        <v>1</v>
      </c>
      <c r="B34" s="77" t="s">
        <v>13</v>
      </c>
      <c r="C34" s="77">
        <v>50</v>
      </c>
      <c r="D34" s="77" t="s">
        <v>70</v>
      </c>
      <c r="E34" s="77" t="s">
        <v>163</v>
      </c>
      <c r="F34" s="77">
        <v>6</v>
      </c>
      <c r="G34" s="77" t="s">
        <v>57</v>
      </c>
      <c r="H34" s="77"/>
      <c r="I34" s="77"/>
      <c r="J34" s="77"/>
      <c r="K34" s="46" t="s">
        <v>103</v>
      </c>
      <c r="L34" s="46">
        <f>SUMIFS($A$11:$A$401,$B$11:$B$401,"CH",$F$11:$F$401,"32")</f>
        <v>0</v>
      </c>
      <c r="M34" s="46" t="s">
        <v>6</v>
      </c>
      <c r="N34" s="46">
        <f>SUMIFS($A$11:$A$401,$B$11:$B$401,"RT",$F$11:$F$401,"32")</f>
        <v>0</v>
      </c>
      <c r="O34" s="46" t="s">
        <v>13</v>
      </c>
      <c r="Q34" t="s">
        <v>212</v>
      </c>
    </row>
    <row r="35" spans="1:17" x14ac:dyDescent="0.35">
      <c r="A35" s="77">
        <v>1</v>
      </c>
      <c r="B35" s="77" t="s">
        <v>13</v>
      </c>
      <c r="C35" s="77">
        <v>50</v>
      </c>
      <c r="D35" s="77" t="s">
        <v>70</v>
      </c>
      <c r="E35" s="77" t="s">
        <v>163</v>
      </c>
      <c r="F35" s="77">
        <v>6</v>
      </c>
      <c r="G35" s="77" t="s">
        <v>57</v>
      </c>
      <c r="H35" s="77"/>
      <c r="I35" s="77"/>
      <c r="J35" s="77"/>
      <c r="K35" s="46" t="s">
        <v>104</v>
      </c>
      <c r="L35" s="46">
        <f>SUMIFS($A$11:$A$401,$B$11:$B$401,"CH",$F$11:$F$401,"33")</f>
        <v>0</v>
      </c>
      <c r="M35" s="46" t="s">
        <v>6</v>
      </c>
      <c r="N35" s="46">
        <f>SUMIFS($A$11:$A$401,$B$11:$B$401,"RT",$F$11:$F$401,"33")</f>
        <v>0</v>
      </c>
      <c r="O35" s="46" t="s">
        <v>13</v>
      </c>
      <c r="Q35" t="s">
        <v>214</v>
      </c>
    </row>
    <row r="36" spans="1:17" x14ac:dyDescent="0.35">
      <c r="A36" s="77">
        <v>1</v>
      </c>
      <c r="B36" s="77" t="s">
        <v>6</v>
      </c>
      <c r="C36" s="77">
        <v>50</v>
      </c>
      <c r="D36" s="77" t="s">
        <v>70</v>
      </c>
      <c r="E36" s="77" t="s">
        <v>163</v>
      </c>
      <c r="F36" s="77">
        <v>6</v>
      </c>
      <c r="G36" s="77" t="s">
        <v>57</v>
      </c>
      <c r="H36" s="77"/>
      <c r="I36" s="77"/>
      <c r="J36" s="77"/>
      <c r="K36" s="46" t="s">
        <v>105</v>
      </c>
      <c r="L36" s="46">
        <f>SUMIFS($A$11:$A$401,$B$11:$B$401,"CH",$F$11:$F$401,"34")</f>
        <v>0</v>
      </c>
      <c r="M36" s="46" t="s">
        <v>6</v>
      </c>
      <c r="N36" s="46">
        <f>SUMIFS($A$11:$A$401,$B$11:$B$401,"RT",$F$11:$F$401,"34")</f>
        <v>0</v>
      </c>
      <c r="O36" s="46" t="s">
        <v>13</v>
      </c>
      <c r="Q36" t="s">
        <v>213</v>
      </c>
    </row>
    <row r="37" spans="1:17" x14ac:dyDescent="0.35">
      <c r="A37" s="77">
        <v>2</v>
      </c>
      <c r="B37" s="77" t="s">
        <v>13</v>
      </c>
      <c r="C37" s="77">
        <v>50</v>
      </c>
      <c r="D37" s="77" t="s">
        <v>59</v>
      </c>
      <c r="E37" s="77" t="s">
        <v>159</v>
      </c>
      <c r="F37" s="77">
        <v>6</v>
      </c>
      <c r="G37" s="77" t="s">
        <v>57</v>
      </c>
      <c r="H37" s="77" t="s">
        <v>139</v>
      </c>
      <c r="I37" s="77"/>
      <c r="J37" s="77"/>
      <c r="K37" s="46" t="s">
        <v>106</v>
      </c>
      <c r="L37" s="46">
        <f>SUMIFS($A$11:$A$401,$B$11:$B$401,"CH",$F$11:$F$401,"35")</f>
        <v>0</v>
      </c>
      <c r="M37" s="46" t="s">
        <v>6</v>
      </c>
      <c r="N37" s="46">
        <f>SUMIFS($A$11:$A$401,$B$11:$B$401,"RT",$F$11:$F$401,"35")</f>
        <v>0</v>
      </c>
      <c r="O37" s="46" t="s">
        <v>13</v>
      </c>
    </row>
    <row r="38" spans="1:17" x14ac:dyDescent="0.35">
      <c r="A38" s="77">
        <v>1</v>
      </c>
      <c r="B38" s="77" t="s">
        <v>6</v>
      </c>
      <c r="C38" s="77">
        <v>40</v>
      </c>
      <c r="D38" s="77" t="s">
        <v>70</v>
      </c>
      <c r="E38" s="77" t="s">
        <v>163</v>
      </c>
      <c r="F38" s="77">
        <v>6</v>
      </c>
      <c r="G38" s="77" t="s">
        <v>57</v>
      </c>
      <c r="H38" s="77"/>
      <c r="I38" s="77"/>
      <c r="J38" s="77"/>
      <c r="K38" s="46" t="s">
        <v>107</v>
      </c>
      <c r="L38" s="46">
        <f>SUMIFS($A$11:$A$401,$B$11:$B$401,"CH",$F$11:$F$401,"36")</f>
        <v>0</v>
      </c>
      <c r="M38" s="46" t="s">
        <v>6</v>
      </c>
      <c r="N38" s="46">
        <f>SUMIFS($A$11:$A$401,$B$11:$B$401,"RT",$F$11:$F$401,"36")</f>
        <v>0</v>
      </c>
      <c r="O38" s="46" t="s">
        <v>13</v>
      </c>
    </row>
    <row r="39" spans="1:17" x14ac:dyDescent="0.35">
      <c r="A39" s="77">
        <v>3</v>
      </c>
      <c r="B39" s="77" t="s">
        <v>6</v>
      </c>
      <c r="C39" s="77">
        <v>55</v>
      </c>
      <c r="D39" s="77" t="s">
        <v>70</v>
      </c>
      <c r="E39" s="77" t="s">
        <v>163</v>
      </c>
      <c r="F39" s="77">
        <v>6</v>
      </c>
      <c r="G39" s="77" t="s">
        <v>57</v>
      </c>
      <c r="H39" s="77"/>
      <c r="I39" s="77"/>
      <c r="J39" s="77"/>
      <c r="K39" s="46" t="s">
        <v>108</v>
      </c>
      <c r="L39" s="46">
        <f>SUMIFS($A$11:$A$401,$B$11:$B$401,"CH",$F$11:$F$401,"37")</f>
        <v>0</v>
      </c>
      <c r="M39" s="46" t="s">
        <v>6</v>
      </c>
      <c r="N39" s="46">
        <f>SUMIFS($A$11:$A$401,$B$11:$B$401,"RT",$F$11:$F$401,"37")</f>
        <v>0</v>
      </c>
      <c r="O39" s="46" t="s">
        <v>13</v>
      </c>
    </row>
    <row r="40" spans="1:17" x14ac:dyDescent="0.35">
      <c r="A40" s="77">
        <v>1</v>
      </c>
      <c r="B40" s="77" t="s">
        <v>13</v>
      </c>
      <c r="C40" s="77">
        <v>60</v>
      </c>
      <c r="D40" s="77" t="s">
        <v>70</v>
      </c>
      <c r="E40" s="77" t="s">
        <v>163</v>
      </c>
      <c r="F40" s="77">
        <v>6</v>
      </c>
      <c r="G40" s="77" t="s">
        <v>57</v>
      </c>
      <c r="H40" s="77"/>
      <c r="I40" s="77"/>
      <c r="J40" s="77"/>
      <c r="K40" s="46" t="s">
        <v>109</v>
      </c>
      <c r="L40" s="46">
        <f>SUMIFS($A$11:$A$401,$B$11:$B$401,"CH",$F$11:$F$401,"38")</f>
        <v>0</v>
      </c>
      <c r="M40" s="46" t="s">
        <v>6</v>
      </c>
      <c r="N40" s="46">
        <f>SUMIFS($A$11:$A$401,$B$11:$B$401,"RT",$F$11:$F$401,"38")</f>
        <v>0</v>
      </c>
      <c r="O40" s="46" t="s">
        <v>13</v>
      </c>
    </row>
    <row r="41" spans="1:17" x14ac:dyDescent="0.35">
      <c r="A41" s="77">
        <v>3</v>
      </c>
      <c r="B41" s="77" t="s">
        <v>13</v>
      </c>
      <c r="C41" s="77">
        <v>60</v>
      </c>
      <c r="D41" s="77" t="s">
        <v>70</v>
      </c>
      <c r="E41" s="77" t="s">
        <v>163</v>
      </c>
      <c r="F41" s="77">
        <v>6</v>
      </c>
      <c r="G41" s="77" t="s">
        <v>57</v>
      </c>
      <c r="H41" s="77"/>
      <c r="I41" s="77"/>
      <c r="J41" s="77"/>
      <c r="K41" s="46" t="s">
        <v>110</v>
      </c>
      <c r="L41" s="46">
        <f>SUMIFS($A$11:$A$401,$B$11:$B$401,"CH",$F$11:$F$401,"39")</f>
        <v>0</v>
      </c>
      <c r="M41" s="46" t="s">
        <v>6</v>
      </c>
      <c r="N41" s="46">
        <f>SUMIFS($A$11:$A$401,$B$11:$B$401,"RT",$F$11:$F$401,"39")</f>
        <v>0</v>
      </c>
      <c r="O41" s="46" t="s">
        <v>13</v>
      </c>
    </row>
    <row r="42" spans="1:17" x14ac:dyDescent="0.35">
      <c r="A42" s="77">
        <v>1</v>
      </c>
      <c r="B42" s="77" t="s">
        <v>64</v>
      </c>
      <c r="C42" s="77">
        <v>90</v>
      </c>
      <c r="D42" s="77" t="s">
        <v>70</v>
      </c>
      <c r="E42" s="77" t="s">
        <v>163</v>
      </c>
      <c r="F42" s="77">
        <v>6</v>
      </c>
      <c r="G42" s="77" t="s">
        <v>57</v>
      </c>
      <c r="H42" s="77"/>
      <c r="I42" s="77"/>
      <c r="J42" s="77"/>
      <c r="K42" s="46" t="s">
        <v>111</v>
      </c>
      <c r="L42" s="46">
        <f>SUMIFS($A$11:$A$401,$B$11:$B$401,"CH",$F$11:$F$401,"40")</f>
        <v>0</v>
      </c>
      <c r="M42" s="46" t="s">
        <v>6</v>
      </c>
      <c r="N42" s="46">
        <f>SUMIFS($A$11:$A$401,$B$11:$B$401,"RT",$F$11:$F$401,"40")</f>
        <v>0</v>
      </c>
      <c r="O42" s="46" t="s">
        <v>13</v>
      </c>
    </row>
    <row r="43" spans="1:17" x14ac:dyDescent="0.35">
      <c r="A43" s="77">
        <v>3</v>
      </c>
      <c r="B43" s="77" t="s">
        <v>13</v>
      </c>
      <c r="C43" s="77">
        <v>60</v>
      </c>
      <c r="D43" s="77" t="s">
        <v>70</v>
      </c>
      <c r="E43" s="77" t="s">
        <v>163</v>
      </c>
      <c r="F43" s="77">
        <v>6</v>
      </c>
      <c r="G43" s="77" t="s">
        <v>57</v>
      </c>
      <c r="H43" s="77"/>
      <c r="I43" s="77"/>
      <c r="J43" s="77"/>
      <c r="K43" s="46" t="s">
        <v>112</v>
      </c>
      <c r="L43" s="46">
        <f>SUMIFS($A$11:$A$401,$B$11:$B$401,"CH",$F$11:$F$401,"41")</f>
        <v>0</v>
      </c>
      <c r="M43" s="46" t="s">
        <v>6</v>
      </c>
      <c r="N43" s="46">
        <f>SUMIFS($A$11:$A$401,$B$11:$B$401,"RT",$F$11:$F$401,"41")</f>
        <v>0</v>
      </c>
      <c r="O43" s="46" t="s">
        <v>13</v>
      </c>
    </row>
    <row r="44" spans="1:17" x14ac:dyDescent="0.35">
      <c r="A44" s="77">
        <v>1</v>
      </c>
      <c r="B44" s="77" t="s">
        <v>64</v>
      </c>
      <c r="C44" s="77">
        <v>90</v>
      </c>
      <c r="D44" s="77" t="s">
        <v>70</v>
      </c>
      <c r="E44" s="77" t="s">
        <v>163</v>
      </c>
      <c r="F44" s="77">
        <v>6</v>
      </c>
      <c r="G44" s="77" t="s">
        <v>57</v>
      </c>
      <c r="H44" s="77"/>
      <c r="I44" s="77"/>
      <c r="J44" s="77"/>
      <c r="K44" s="46"/>
      <c r="L44" s="46">
        <f>SUMIFS($A$11:$A$401,$B$11:$B$401,"CH",$F$11:$F$401,"")</f>
        <v>0</v>
      </c>
      <c r="M44" s="46" t="s">
        <v>6</v>
      </c>
      <c r="N44" s="46">
        <f>SUMIFS($A$11:$A$401,$B$11:$B$401,"RT",$F$11:$F$401,"")</f>
        <v>0</v>
      </c>
      <c r="O44" s="46" t="s">
        <v>13</v>
      </c>
    </row>
    <row r="45" spans="1:17" x14ac:dyDescent="0.35">
      <c r="A45" s="77">
        <v>1</v>
      </c>
      <c r="B45" s="77" t="s">
        <v>6</v>
      </c>
      <c r="C45" s="77">
        <v>90</v>
      </c>
      <c r="D45" s="77" t="s">
        <v>70</v>
      </c>
      <c r="E45" s="77" t="s">
        <v>163</v>
      </c>
      <c r="F45" s="77">
        <v>6</v>
      </c>
      <c r="G45" s="77" t="s">
        <v>57</v>
      </c>
      <c r="H45" s="77"/>
      <c r="I45" s="77"/>
      <c r="J45" s="77"/>
      <c r="K45" s="46" t="s">
        <v>113</v>
      </c>
      <c r="L45" s="46">
        <f>SUM(L3:L44)</f>
        <v>41</v>
      </c>
      <c r="M45" s="46" t="s">
        <v>6</v>
      </c>
      <c r="N45" s="46">
        <f>SUM(N3:N44)</f>
        <v>90</v>
      </c>
      <c r="O45" s="46" t="s">
        <v>13</v>
      </c>
    </row>
    <row r="46" spans="1:17" x14ac:dyDescent="0.35">
      <c r="A46" s="77">
        <v>0</v>
      </c>
      <c r="B46" s="77"/>
      <c r="C46" s="77">
        <v>0</v>
      </c>
      <c r="D46" s="77"/>
      <c r="E46" s="77"/>
      <c r="F46" s="77">
        <v>7</v>
      </c>
      <c r="G46" s="77" t="s">
        <v>20</v>
      </c>
      <c r="H46" s="77"/>
      <c r="I46" s="77"/>
      <c r="J46" s="77" t="s">
        <v>71</v>
      </c>
      <c r="K46" s="46"/>
      <c r="L46" s="46"/>
      <c r="M46" s="46"/>
      <c r="N46" s="46"/>
    </row>
    <row r="47" spans="1:17" x14ac:dyDescent="0.35">
      <c r="A47" s="77">
        <v>10</v>
      </c>
      <c r="B47" s="77" t="s">
        <v>6</v>
      </c>
      <c r="C47" s="77">
        <v>60</v>
      </c>
      <c r="D47" s="77" t="s">
        <v>59</v>
      </c>
      <c r="E47" s="77" t="s">
        <v>159</v>
      </c>
      <c r="F47" s="77">
        <v>8</v>
      </c>
      <c r="G47" s="77" t="s">
        <v>186</v>
      </c>
      <c r="H47" s="77"/>
      <c r="I47" s="77"/>
      <c r="J47" s="77"/>
      <c r="K47" s="46"/>
      <c r="N47" s="46"/>
    </row>
    <row r="48" spans="1:17" x14ac:dyDescent="0.35">
      <c r="A48" s="77">
        <v>2</v>
      </c>
      <c r="B48" s="77" t="s">
        <v>6</v>
      </c>
      <c r="C48" s="77">
        <v>70</v>
      </c>
      <c r="D48" s="77" t="s">
        <v>59</v>
      </c>
      <c r="E48" s="77" t="s">
        <v>159</v>
      </c>
      <c r="F48" s="77">
        <v>9</v>
      </c>
      <c r="G48" s="77" t="s">
        <v>20</v>
      </c>
      <c r="H48" s="77"/>
      <c r="I48" s="77"/>
      <c r="J48" s="77" t="s">
        <v>189</v>
      </c>
      <c r="K48" s="46"/>
      <c r="N48" s="46"/>
    </row>
    <row r="49" spans="1:14" x14ac:dyDescent="0.35">
      <c r="A49" s="77">
        <v>1</v>
      </c>
      <c r="B49" s="77" t="s">
        <v>6</v>
      </c>
      <c r="C49" s="77">
        <v>60</v>
      </c>
      <c r="D49" s="77" t="s">
        <v>59</v>
      </c>
      <c r="E49" s="77" t="s">
        <v>159</v>
      </c>
      <c r="F49" s="77">
        <v>9</v>
      </c>
      <c r="G49" s="77" t="s">
        <v>20</v>
      </c>
      <c r="H49" s="77"/>
      <c r="I49" s="77"/>
      <c r="J49" s="77" t="s">
        <v>189</v>
      </c>
      <c r="K49" s="46"/>
      <c r="N49" s="46"/>
    </row>
    <row r="50" spans="1:14" x14ac:dyDescent="0.35">
      <c r="A50" s="77">
        <v>4</v>
      </c>
      <c r="B50" s="77" t="s">
        <v>6</v>
      </c>
      <c r="C50" s="77">
        <v>70</v>
      </c>
      <c r="D50" s="77" t="s">
        <v>70</v>
      </c>
      <c r="E50" s="77" t="s">
        <v>163</v>
      </c>
      <c r="F50" s="77">
        <v>9</v>
      </c>
      <c r="G50" s="77" t="s">
        <v>20</v>
      </c>
      <c r="H50" s="77"/>
      <c r="I50" s="77"/>
      <c r="J50" s="77" t="s">
        <v>189</v>
      </c>
      <c r="K50" s="46"/>
      <c r="N50" s="46"/>
    </row>
    <row r="51" spans="1:14" x14ac:dyDescent="0.35">
      <c r="A51" s="77">
        <v>1</v>
      </c>
      <c r="B51" s="77" t="s">
        <v>13</v>
      </c>
      <c r="C51" s="77">
        <v>200</v>
      </c>
      <c r="D51" s="77" t="s">
        <v>70</v>
      </c>
      <c r="E51" s="77" t="s">
        <v>163</v>
      </c>
      <c r="F51" s="77">
        <v>9</v>
      </c>
      <c r="G51" s="77" t="s">
        <v>20</v>
      </c>
      <c r="H51" s="77"/>
      <c r="I51" s="77"/>
      <c r="J51" s="77" t="s">
        <v>189</v>
      </c>
      <c r="K51" s="46"/>
      <c r="N51" s="46"/>
    </row>
    <row r="52" spans="1:14" x14ac:dyDescent="0.35">
      <c r="A52" s="77">
        <v>8</v>
      </c>
      <c r="B52" s="77" t="s">
        <v>13</v>
      </c>
      <c r="C52" s="77">
        <v>60</v>
      </c>
      <c r="D52" s="77" t="s">
        <v>70</v>
      </c>
      <c r="E52" s="77" t="s">
        <v>163</v>
      </c>
      <c r="F52" s="77">
        <v>9</v>
      </c>
      <c r="G52" s="77" t="s">
        <v>20</v>
      </c>
      <c r="H52" s="77"/>
      <c r="I52" s="77"/>
      <c r="J52" s="77" t="s">
        <v>189</v>
      </c>
      <c r="K52" s="46"/>
      <c r="N52" s="46"/>
    </row>
    <row r="53" spans="1:14" x14ac:dyDescent="0.35">
      <c r="A53" s="77">
        <v>2</v>
      </c>
      <c r="B53" s="77" t="s">
        <v>6</v>
      </c>
      <c r="C53" s="77">
        <v>70</v>
      </c>
      <c r="D53" s="77" t="s">
        <v>59</v>
      </c>
      <c r="E53" s="77" t="s">
        <v>159</v>
      </c>
      <c r="F53" s="77">
        <v>10</v>
      </c>
      <c r="G53" s="77" t="s">
        <v>57</v>
      </c>
      <c r="H53" s="77"/>
      <c r="I53" s="77"/>
      <c r="J53" s="77" t="s">
        <v>189</v>
      </c>
      <c r="K53" s="46"/>
      <c r="N53" s="46"/>
    </row>
    <row r="54" spans="1:14" x14ac:dyDescent="0.35">
      <c r="A54" s="77">
        <v>2</v>
      </c>
      <c r="B54" s="77" t="s">
        <v>13</v>
      </c>
      <c r="C54" s="77">
        <v>60</v>
      </c>
      <c r="D54" s="77" t="s">
        <v>59</v>
      </c>
      <c r="E54" s="77" t="s">
        <v>159</v>
      </c>
      <c r="F54" s="77">
        <v>10</v>
      </c>
      <c r="G54" s="77" t="s">
        <v>57</v>
      </c>
      <c r="H54" s="77"/>
      <c r="I54" s="77"/>
      <c r="J54" s="77" t="s">
        <v>189</v>
      </c>
      <c r="K54" s="46"/>
      <c r="N54" s="46"/>
    </row>
    <row r="55" spans="1:14" x14ac:dyDescent="0.35">
      <c r="A55" s="77">
        <v>1</v>
      </c>
      <c r="B55" s="77" t="s">
        <v>13</v>
      </c>
      <c r="C55" s="77">
        <v>40</v>
      </c>
      <c r="D55" s="77" t="s">
        <v>70</v>
      </c>
      <c r="E55" s="77" t="s">
        <v>163</v>
      </c>
      <c r="F55" s="77">
        <v>10</v>
      </c>
      <c r="G55" s="77" t="s">
        <v>57</v>
      </c>
      <c r="H55" s="77"/>
      <c r="I55" s="77"/>
      <c r="J55" s="77" t="s">
        <v>189</v>
      </c>
      <c r="K55" s="46"/>
      <c r="N55" s="46"/>
    </row>
    <row r="56" spans="1:14" x14ac:dyDescent="0.35">
      <c r="A56" s="77">
        <v>1</v>
      </c>
      <c r="B56" s="77" t="s">
        <v>13</v>
      </c>
      <c r="C56" s="77">
        <v>100</v>
      </c>
      <c r="D56" s="77" t="s">
        <v>70</v>
      </c>
      <c r="E56" s="77" t="s">
        <v>163</v>
      </c>
      <c r="F56" s="77">
        <v>10</v>
      </c>
      <c r="G56" s="77" t="s">
        <v>57</v>
      </c>
      <c r="H56" s="77"/>
      <c r="I56" s="77"/>
      <c r="J56" s="77" t="s">
        <v>189</v>
      </c>
      <c r="K56" s="46"/>
      <c r="N56" s="46"/>
    </row>
    <row r="57" spans="1:14" x14ac:dyDescent="0.35">
      <c r="A57" s="77">
        <v>1</v>
      </c>
      <c r="B57" s="77" t="s">
        <v>13</v>
      </c>
      <c r="C57" s="77">
        <v>80</v>
      </c>
      <c r="D57" s="77" t="s">
        <v>70</v>
      </c>
      <c r="E57" s="77" t="s">
        <v>163</v>
      </c>
      <c r="F57" s="77">
        <v>10</v>
      </c>
      <c r="G57" s="77" t="s">
        <v>57</v>
      </c>
      <c r="H57" s="77"/>
      <c r="I57" s="77"/>
      <c r="J57" s="77" t="s">
        <v>189</v>
      </c>
      <c r="K57" s="46"/>
      <c r="N57" s="46"/>
    </row>
    <row r="58" spans="1:14" x14ac:dyDescent="0.35">
      <c r="A58" s="77">
        <v>1</v>
      </c>
      <c r="B58" s="77" t="s">
        <v>13</v>
      </c>
      <c r="C58" s="77">
        <v>60</v>
      </c>
      <c r="D58" s="77" t="s">
        <v>70</v>
      </c>
      <c r="E58" s="77" t="s">
        <v>163</v>
      </c>
      <c r="F58" s="77">
        <v>10</v>
      </c>
      <c r="G58" s="77" t="s">
        <v>57</v>
      </c>
      <c r="H58" s="77"/>
      <c r="I58" s="77"/>
      <c r="J58" s="77" t="s">
        <v>189</v>
      </c>
      <c r="K58" s="46"/>
      <c r="N58" s="46"/>
    </row>
    <row r="59" spans="1:14" x14ac:dyDescent="0.35">
      <c r="A59" s="77">
        <v>12</v>
      </c>
      <c r="B59" s="77" t="s">
        <v>13</v>
      </c>
      <c r="C59" s="77">
        <v>60</v>
      </c>
      <c r="D59" s="77" t="s">
        <v>70</v>
      </c>
      <c r="E59" s="77" t="s">
        <v>163</v>
      </c>
      <c r="F59" s="77">
        <v>11</v>
      </c>
      <c r="G59" s="77" t="s">
        <v>20</v>
      </c>
      <c r="H59" s="77"/>
      <c r="I59" s="77"/>
      <c r="J59" s="77" t="s">
        <v>189</v>
      </c>
      <c r="K59" s="46"/>
      <c r="N59" s="46"/>
    </row>
    <row r="60" spans="1:14" x14ac:dyDescent="0.35">
      <c r="A60" s="77">
        <v>2</v>
      </c>
      <c r="B60" s="77" t="s">
        <v>6</v>
      </c>
      <c r="C60" s="77">
        <v>60</v>
      </c>
      <c r="D60" s="77" t="s">
        <v>70</v>
      </c>
      <c r="E60" s="77" t="s">
        <v>163</v>
      </c>
      <c r="F60" s="77">
        <v>11</v>
      </c>
      <c r="G60" s="77" t="s">
        <v>20</v>
      </c>
      <c r="H60" s="77"/>
      <c r="I60" s="77"/>
      <c r="J60" s="77" t="s">
        <v>189</v>
      </c>
      <c r="K60" s="46"/>
      <c r="N60" s="46"/>
    </row>
    <row r="61" spans="1:14" x14ac:dyDescent="0.35">
      <c r="A61" s="77">
        <v>2</v>
      </c>
      <c r="B61" s="77" t="s">
        <v>13</v>
      </c>
      <c r="C61" s="77">
        <v>70</v>
      </c>
      <c r="D61" s="77" t="s">
        <v>59</v>
      </c>
      <c r="E61" s="77" t="s">
        <v>159</v>
      </c>
      <c r="F61" s="77">
        <v>11</v>
      </c>
      <c r="G61" s="77" t="s">
        <v>20</v>
      </c>
      <c r="H61" s="77"/>
      <c r="I61" s="77"/>
      <c r="J61" s="77" t="s">
        <v>189</v>
      </c>
      <c r="K61" s="46"/>
      <c r="N61" s="46"/>
    </row>
    <row r="62" spans="1:14" x14ac:dyDescent="0.35">
      <c r="A62" s="77">
        <v>2</v>
      </c>
      <c r="B62" s="77" t="s">
        <v>6</v>
      </c>
      <c r="C62" s="77">
        <v>60</v>
      </c>
      <c r="D62" s="77" t="s">
        <v>59</v>
      </c>
      <c r="E62" s="77" t="s">
        <v>159</v>
      </c>
      <c r="F62" s="77">
        <v>11</v>
      </c>
      <c r="G62" s="77" t="s">
        <v>20</v>
      </c>
      <c r="H62" s="77"/>
      <c r="I62" s="77"/>
      <c r="J62" s="77" t="s">
        <v>189</v>
      </c>
      <c r="K62" s="46"/>
      <c r="N62" s="46"/>
    </row>
    <row r="63" spans="1:14" x14ac:dyDescent="0.35">
      <c r="A63" s="77">
        <v>2</v>
      </c>
      <c r="B63" s="77" t="s">
        <v>6</v>
      </c>
      <c r="C63" s="77">
        <v>60</v>
      </c>
      <c r="D63" s="77" t="s">
        <v>70</v>
      </c>
      <c r="E63" s="77" t="s">
        <v>163</v>
      </c>
      <c r="F63" s="77">
        <v>11</v>
      </c>
      <c r="G63" s="77" t="s">
        <v>20</v>
      </c>
      <c r="H63" s="77"/>
      <c r="I63" s="77"/>
      <c r="J63" s="77" t="s">
        <v>189</v>
      </c>
      <c r="K63" s="46"/>
      <c r="N63" s="46"/>
    </row>
    <row r="64" spans="1:14" x14ac:dyDescent="0.35">
      <c r="A64" s="77">
        <v>1</v>
      </c>
      <c r="B64" s="77" t="s">
        <v>13</v>
      </c>
      <c r="C64" s="77">
        <v>125</v>
      </c>
      <c r="D64" s="77" t="s">
        <v>70</v>
      </c>
      <c r="E64" s="77" t="s">
        <v>163</v>
      </c>
      <c r="F64" s="77">
        <v>11</v>
      </c>
      <c r="G64" s="77" t="s">
        <v>20</v>
      </c>
      <c r="H64" s="77"/>
      <c r="I64" s="77"/>
      <c r="J64" s="77" t="s">
        <v>189</v>
      </c>
      <c r="K64" s="46"/>
      <c r="N64" s="46"/>
    </row>
    <row r="65" spans="1:14" x14ac:dyDescent="0.35">
      <c r="A65" s="77">
        <v>1</v>
      </c>
      <c r="B65" s="77" t="s">
        <v>13</v>
      </c>
      <c r="C65" s="77">
        <v>175</v>
      </c>
      <c r="D65" s="77" t="s">
        <v>70</v>
      </c>
      <c r="E65" s="77" t="s">
        <v>163</v>
      </c>
      <c r="F65" s="77">
        <v>11</v>
      </c>
      <c r="G65" s="77" t="s">
        <v>20</v>
      </c>
      <c r="H65" s="77"/>
      <c r="I65" s="77"/>
      <c r="J65" s="77" t="s">
        <v>189</v>
      </c>
      <c r="K65" s="46"/>
      <c r="N65" s="46"/>
    </row>
    <row r="66" spans="1:14" x14ac:dyDescent="0.35">
      <c r="A66" s="77">
        <v>1</v>
      </c>
      <c r="B66" s="77" t="s">
        <v>13</v>
      </c>
      <c r="C66" s="77">
        <v>150</v>
      </c>
      <c r="D66" s="77" t="s">
        <v>70</v>
      </c>
      <c r="E66" s="77" t="s">
        <v>163</v>
      </c>
      <c r="F66" s="77">
        <v>11</v>
      </c>
      <c r="G66" s="77" t="s">
        <v>20</v>
      </c>
      <c r="H66" s="77"/>
      <c r="I66" s="77"/>
      <c r="J66" s="77" t="s">
        <v>189</v>
      </c>
      <c r="K66" s="46"/>
      <c r="N66" s="46"/>
    </row>
    <row r="67" spans="1:14" x14ac:dyDescent="0.35">
      <c r="A67" s="77">
        <v>2</v>
      </c>
      <c r="B67" s="77" t="s">
        <v>6</v>
      </c>
      <c r="C67" s="77">
        <v>60</v>
      </c>
      <c r="D67" s="77" t="s">
        <v>70</v>
      </c>
      <c r="E67" s="77" t="s">
        <v>163</v>
      </c>
      <c r="F67" s="77">
        <v>12</v>
      </c>
      <c r="G67" s="77" t="s">
        <v>57</v>
      </c>
      <c r="H67" s="77"/>
      <c r="I67" s="77"/>
      <c r="J67" s="77" t="s">
        <v>189</v>
      </c>
      <c r="K67" s="46"/>
      <c r="N67" s="46"/>
    </row>
    <row r="68" spans="1:14" x14ac:dyDescent="0.35">
      <c r="A68" s="77">
        <v>1</v>
      </c>
      <c r="B68" s="77" t="s">
        <v>6</v>
      </c>
      <c r="C68" s="77">
        <v>90</v>
      </c>
      <c r="D68" s="77" t="s">
        <v>70</v>
      </c>
      <c r="E68" s="77" t="s">
        <v>163</v>
      </c>
      <c r="F68" s="77">
        <v>13</v>
      </c>
      <c r="G68" s="77" t="s">
        <v>57</v>
      </c>
      <c r="H68" s="77"/>
      <c r="I68" s="77"/>
      <c r="J68" s="77"/>
      <c r="K68" s="46"/>
      <c r="N68" s="46"/>
    </row>
    <row r="69" spans="1:14" x14ac:dyDescent="0.35">
      <c r="A69" s="77">
        <v>1</v>
      </c>
      <c r="B69" s="77" t="s">
        <v>13</v>
      </c>
      <c r="C69" s="77">
        <v>60</v>
      </c>
      <c r="D69" s="77" t="s">
        <v>70</v>
      </c>
      <c r="E69" s="77" t="s">
        <v>163</v>
      </c>
      <c r="F69" s="77">
        <v>13</v>
      </c>
      <c r="G69" s="77" t="s">
        <v>57</v>
      </c>
      <c r="H69" s="77"/>
      <c r="I69" s="77"/>
      <c r="J69" s="77"/>
      <c r="K69" s="46"/>
      <c r="N69" s="46"/>
    </row>
    <row r="70" spans="1:14" x14ac:dyDescent="0.35">
      <c r="A70" s="77">
        <v>1</v>
      </c>
      <c r="B70" s="77" t="s">
        <v>13</v>
      </c>
      <c r="C70" s="77">
        <v>60</v>
      </c>
      <c r="D70" s="77" t="s">
        <v>70</v>
      </c>
      <c r="E70" s="77" t="s">
        <v>163</v>
      </c>
      <c r="F70" s="77">
        <v>13</v>
      </c>
      <c r="G70" s="77" t="s">
        <v>57</v>
      </c>
      <c r="H70" s="77"/>
      <c r="I70" s="77"/>
      <c r="J70" s="77"/>
      <c r="K70" s="46"/>
      <c r="N70" s="46"/>
    </row>
    <row r="71" spans="1:14" x14ac:dyDescent="0.35">
      <c r="A71" s="77">
        <v>1</v>
      </c>
      <c r="B71" s="77" t="s">
        <v>13</v>
      </c>
      <c r="C71" s="77">
        <v>70</v>
      </c>
      <c r="D71" s="77" t="s">
        <v>59</v>
      </c>
      <c r="E71" s="77" t="s">
        <v>159</v>
      </c>
      <c r="F71" s="77">
        <v>13</v>
      </c>
      <c r="G71" s="77" t="s">
        <v>57</v>
      </c>
      <c r="H71" s="77"/>
      <c r="I71" s="77"/>
      <c r="J71" s="77"/>
      <c r="K71" s="46"/>
      <c r="N71" s="46"/>
    </row>
    <row r="72" spans="1:14" x14ac:dyDescent="0.35">
      <c r="A72" s="77">
        <v>1</v>
      </c>
      <c r="B72" s="77" t="s">
        <v>6</v>
      </c>
      <c r="C72" s="77">
        <v>60</v>
      </c>
      <c r="D72" s="77" t="s">
        <v>70</v>
      </c>
      <c r="E72" s="77" t="s">
        <v>163</v>
      </c>
      <c r="F72" s="77">
        <v>13</v>
      </c>
      <c r="G72" s="77" t="s">
        <v>57</v>
      </c>
      <c r="H72" s="77"/>
      <c r="I72" s="77"/>
      <c r="J72" s="77"/>
      <c r="K72" s="46"/>
      <c r="N72" s="46"/>
    </row>
    <row r="73" spans="1:14" x14ac:dyDescent="0.35">
      <c r="A73" s="77">
        <v>1</v>
      </c>
      <c r="B73" s="77" t="s">
        <v>13</v>
      </c>
      <c r="C73" s="77">
        <v>50</v>
      </c>
      <c r="D73" s="77" t="s">
        <v>70</v>
      </c>
      <c r="E73" s="77" t="s">
        <v>163</v>
      </c>
      <c r="F73" s="77">
        <v>13</v>
      </c>
      <c r="G73" s="77" t="s">
        <v>57</v>
      </c>
      <c r="H73" s="77"/>
      <c r="I73" s="77"/>
      <c r="J73" s="77"/>
      <c r="K73" s="46"/>
      <c r="N73" s="46"/>
    </row>
    <row r="74" spans="1:14" x14ac:dyDescent="0.35">
      <c r="A74" s="77">
        <v>2</v>
      </c>
      <c r="B74" s="77" t="s">
        <v>13</v>
      </c>
      <c r="C74" s="77">
        <v>60</v>
      </c>
      <c r="D74" s="77" t="s">
        <v>70</v>
      </c>
      <c r="E74" s="77" t="s">
        <v>163</v>
      </c>
      <c r="F74" s="77">
        <v>13</v>
      </c>
      <c r="G74" s="77" t="s">
        <v>57</v>
      </c>
      <c r="H74" s="77"/>
      <c r="I74" s="77"/>
      <c r="J74" s="77"/>
      <c r="K74" s="46"/>
      <c r="N74" s="46"/>
    </row>
    <row r="75" spans="1:14" x14ac:dyDescent="0.35">
      <c r="A75" s="77">
        <v>1</v>
      </c>
      <c r="B75" s="77" t="s">
        <v>13</v>
      </c>
      <c r="C75" s="77">
        <v>100</v>
      </c>
      <c r="D75" s="77" t="s">
        <v>70</v>
      </c>
      <c r="E75" s="77" t="s">
        <v>163</v>
      </c>
      <c r="F75" s="77">
        <v>13</v>
      </c>
      <c r="G75" s="77" t="s">
        <v>57</v>
      </c>
      <c r="H75" s="77"/>
      <c r="I75" s="77"/>
      <c r="J75" s="77"/>
      <c r="K75" s="46"/>
      <c r="N75" s="46"/>
    </row>
    <row r="76" spans="1:14" x14ac:dyDescent="0.35">
      <c r="A76" s="77">
        <v>1</v>
      </c>
      <c r="B76" s="77" t="s">
        <v>13</v>
      </c>
      <c r="C76" s="77">
        <v>80</v>
      </c>
      <c r="D76" s="77" t="s">
        <v>70</v>
      </c>
      <c r="E76" s="77" t="s">
        <v>163</v>
      </c>
      <c r="F76" s="77">
        <v>13</v>
      </c>
      <c r="G76" s="77" t="s">
        <v>57</v>
      </c>
      <c r="H76" s="77"/>
      <c r="I76" s="77"/>
      <c r="J76" s="77"/>
      <c r="K76" s="46"/>
      <c r="N76" s="46"/>
    </row>
    <row r="77" spans="1:14" x14ac:dyDescent="0.35">
      <c r="A77" s="77">
        <v>2</v>
      </c>
      <c r="B77" s="77" t="s">
        <v>13</v>
      </c>
      <c r="C77" s="77">
        <v>70</v>
      </c>
      <c r="D77" s="77" t="s">
        <v>70</v>
      </c>
      <c r="E77" s="77" t="s">
        <v>163</v>
      </c>
      <c r="F77" s="77">
        <v>13</v>
      </c>
      <c r="G77" s="77" t="s">
        <v>57</v>
      </c>
      <c r="H77" s="77"/>
      <c r="I77" s="77"/>
      <c r="J77" s="77"/>
      <c r="K77" s="46"/>
      <c r="N77" s="46"/>
    </row>
    <row r="78" spans="1:14" x14ac:dyDescent="0.35">
      <c r="A78" s="77">
        <v>2</v>
      </c>
      <c r="B78" s="77" t="s">
        <v>13</v>
      </c>
      <c r="C78" s="77">
        <v>60</v>
      </c>
      <c r="D78" s="77" t="s">
        <v>59</v>
      </c>
      <c r="E78" s="77" t="s">
        <v>159</v>
      </c>
      <c r="F78" s="77">
        <v>13</v>
      </c>
      <c r="G78" s="77" t="s">
        <v>57</v>
      </c>
      <c r="H78" s="77"/>
      <c r="I78" s="77"/>
      <c r="J78" s="77"/>
      <c r="K78" s="46"/>
      <c r="N78" s="46"/>
    </row>
    <row r="79" spans="1:14" x14ac:dyDescent="0.35">
      <c r="A79" s="77">
        <v>1</v>
      </c>
      <c r="B79" s="77" t="s">
        <v>6</v>
      </c>
      <c r="C79" s="77">
        <v>60</v>
      </c>
      <c r="D79" s="77" t="s">
        <v>59</v>
      </c>
      <c r="E79" s="77" t="s">
        <v>159</v>
      </c>
      <c r="F79" s="77">
        <v>13</v>
      </c>
      <c r="G79" s="77" t="s">
        <v>57</v>
      </c>
      <c r="H79" s="77"/>
      <c r="I79" s="77"/>
      <c r="J79" s="77"/>
      <c r="K79" s="46"/>
      <c r="N79" s="46"/>
    </row>
    <row r="80" spans="1:14" x14ac:dyDescent="0.35">
      <c r="A80" s="77">
        <v>1</v>
      </c>
      <c r="B80" s="77" t="s">
        <v>13</v>
      </c>
      <c r="C80" s="77">
        <v>70</v>
      </c>
      <c r="D80" s="77" t="s">
        <v>70</v>
      </c>
      <c r="E80" s="77" t="s">
        <v>163</v>
      </c>
      <c r="F80" s="77">
        <v>13</v>
      </c>
      <c r="G80" s="77" t="s">
        <v>57</v>
      </c>
      <c r="H80" s="77"/>
      <c r="I80" s="77"/>
      <c r="J80" s="77"/>
      <c r="K80" s="46"/>
      <c r="N80" s="46"/>
    </row>
    <row r="81" spans="1:14" x14ac:dyDescent="0.35">
      <c r="A81" s="77">
        <v>0</v>
      </c>
      <c r="B81" s="77"/>
      <c r="C81" s="77"/>
      <c r="D81" s="77"/>
      <c r="E81" s="77"/>
      <c r="F81" s="77">
        <v>14</v>
      </c>
      <c r="G81" s="77" t="s">
        <v>186</v>
      </c>
      <c r="H81" s="77"/>
      <c r="I81" s="77"/>
      <c r="J81" s="77" t="s">
        <v>71</v>
      </c>
      <c r="K81" s="46"/>
      <c r="N81" s="46"/>
    </row>
    <row r="82" spans="1:14" x14ac:dyDescent="0.35">
      <c r="A82" s="77">
        <v>0</v>
      </c>
      <c r="B82" s="77"/>
      <c r="C82" s="77"/>
      <c r="D82" s="77"/>
      <c r="E82" s="77"/>
      <c r="F82" s="77">
        <v>15</v>
      </c>
      <c r="G82" s="77" t="s">
        <v>57</v>
      </c>
      <c r="H82" s="77"/>
      <c r="I82" s="77"/>
      <c r="J82" s="77" t="s">
        <v>71</v>
      </c>
      <c r="K82" s="46"/>
      <c r="N82" s="46"/>
    </row>
    <row r="83" spans="1:14" x14ac:dyDescent="0.35">
      <c r="A83" s="77">
        <v>0</v>
      </c>
      <c r="B83" s="77"/>
      <c r="C83" s="77"/>
      <c r="D83" s="77"/>
      <c r="E83" s="77"/>
      <c r="F83" s="77">
        <v>16</v>
      </c>
      <c r="G83" s="77" t="s">
        <v>186</v>
      </c>
      <c r="H83" s="77"/>
      <c r="I83" s="77"/>
      <c r="J83" s="77" t="s">
        <v>71</v>
      </c>
      <c r="K83" s="46"/>
      <c r="N83" s="46"/>
    </row>
    <row r="84" spans="1:14" x14ac:dyDescent="0.35">
      <c r="A84" s="77">
        <v>0</v>
      </c>
      <c r="B84" s="77"/>
      <c r="C84" s="77"/>
      <c r="D84" s="77"/>
      <c r="E84" s="77"/>
      <c r="F84" s="77">
        <v>17</v>
      </c>
      <c r="G84" s="77" t="s">
        <v>57</v>
      </c>
      <c r="H84" s="77"/>
      <c r="I84" s="77"/>
      <c r="J84" s="77" t="s">
        <v>71</v>
      </c>
      <c r="K84" s="46"/>
      <c r="N84" s="46"/>
    </row>
    <row r="85" spans="1:14" x14ac:dyDescent="0.35">
      <c r="A85" s="77">
        <v>0</v>
      </c>
      <c r="B85" s="77"/>
      <c r="C85" s="77"/>
      <c r="D85" s="77"/>
      <c r="E85" s="77"/>
      <c r="F85" s="77">
        <v>18</v>
      </c>
      <c r="G85" s="77" t="s">
        <v>186</v>
      </c>
      <c r="H85" s="77"/>
      <c r="I85" s="77"/>
      <c r="J85" s="77" t="s">
        <v>71</v>
      </c>
      <c r="K85" s="46"/>
      <c r="N85" s="46"/>
    </row>
    <row r="86" spans="1:14" x14ac:dyDescent="0.35">
      <c r="A86" s="77">
        <v>0</v>
      </c>
      <c r="B86" s="77"/>
      <c r="C86" s="77"/>
      <c r="D86" s="77"/>
      <c r="E86" s="77"/>
      <c r="F86" s="77">
        <v>19</v>
      </c>
      <c r="G86" s="77" t="s">
        <v>57</v>
      </c>
      <c r="H86" s="77"/>
      <c r="I86" s="77"/>
      <c r="J86" s="77" t="s">
        <v>71</v>
      </c>
      <c r="K86" s="46"/>
      <c r="N86" s="46"/>
    </row>
    <row r="87" spans="1:14" x14ac:dyDescent="0.35">
      <c r="A87" s="77">
        <v>0</v>
      </c>
      <c r="B87" s="77"/>
      <c r="C87" s="77"/>
      <c r="D87" s="77"/>
      <c r="E87" s="77"/>
      <c r="F87" s="77">
        <v>20</v>
      </c>
      <c r="G87" s="77" t="s">
        <v>186</v>
      </c>
      <c r="H87" s="77"/>
      <c r="I87" s="77"/>
      <c r="J87" s="77" t="s">
        <v>71</v>
      </c>
      <c r="K87" s="46"/>
      <c r="N87" s="46"/>
    </row>
    <row r="88" spans="1:14" x14ac:dyDescent="0.35">
      <c r="A88" s="77">
        <v>0</v>
      </c>
      <c r="B88" s="77"/>
      <c r="C88" s="77"/>
      <c r="D88" s="77"/>
      <c r="E88" s="77"/>
      <c r="F88" s="77">
        <v>21</v>
      </c>
      <c r="G88" s="77" t="s">
        <v>57</v>
      </c>
      <c r="H88" s="77"/>
      <c r="I88" s="77"/>
      <c r="J88" s="77" t="s">
        <v>71</v>
      </c>
      <c r="K88" s="46"/>
      <c r="N88" s="46"/>
    </row>
    <row r="89" spans="1:14" x14ac:dyDescent="0.35">
      <c r="A89" s="77">
        <v>0</v>
      </c>
      <c r="B89" s="77"/>
      <c r="C89" s="77"/>
      <c r="D89" s="77"/>
      <c r="E89" s="77"/>
      <c r="F89" s="77">
        <v>22</v>
      </c>
      <c r="G89" s="77" t="s">
        <v>20</v>
      </c>
      <c r="H89" s="77"/>
      <c r="I89" s="77"/>
      <c r="J89" s="77" t="s">
        <v>71</v>
      </c>
      <c r="K89" s="47"/>
      <c r="N89" s="47"/>
    </row>
    <row r="90" spans="1:14" x14ac:dyDescent="0.35">
      <c r="A90" s="77">
        <v>0</v>
      </c>
      <c r="B90" s="77"/>
      <c r="C90" s="77"/>
      <c r="D90" s="77"/>
      <c r="E90" s="77"/>
      <c r="F90" s="77">
        <v>23</v>
      </c>
      <c r="G90" s="77" t="s">
        <v>186</v>
      </c>
      <c r="H90" s="77"/>
      <c r="I90" s="77"/>
      <c r="J90" s="77" t="s">
        <v>71</v>
      </c>
    </row>
    <row r="91" spans="1:14" x14ac:dyDescent="0.35">
      <c r="A91" s="77">
        <v>0</v>
      </c>
      <c r="B91" s="77"/>
      <c r="C91" s="77"/>
      <c r="D91" s="77"/>
      <c r="E91" s="77"/>
      <c r="F91" s="77">
        <v>24</v>
      </c>
      <c r="G91" s="77" t="s">
        <v>57</v>
      </c>
      <c r="H91" s="77"/>
      <c r="I91" s="77"/>
      <c r="J91" s="77" t="s">
        <v>71</v>
      </c>
    </row>
    <row r="92" spans="1:14" x14ac:dyDescent="0.35">
      <c r="A92" s="77">
        <v>0</v>
      </c>
      <c r="B92" s="77"/>
      <c r="C92" s="77"/>
      <c r="D92" s="77"/>
      <c r="E92" s="77"/>
      <c r="F92" s="77">
        <v>25</v>
      </c>
      <c r="G92" s="77" t="s">
        <v>20</v>
      </c>
      <c r="H92" s="77"/>
      <c r="I92" s="77"/>
      <c r="J92" s="77" t="s">
        <v>71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7A1B1-742B-4DC0-8E23-BA93C1E4B011}">
  <dimension ref="A1:Z89"/>
  <sheetViews>
    <sheetView zoomScaleNormal="100" workbookViewId="0"/>
  </sheetViews>
  <sheetFormatPr defaultRowHeight="14.5" x14ac:dyDescent="0.35"/>
  <cols>
    <col min="1" max="1" width="11.08984375" customWidth="1"/>
    <col min="2" max="2" width="10.26953125" customWidth="1"/>
    <col min="3" max="3" width="11.6328125" customWidth="1"/>
    <col min="7" max="7" width="16" customWidth="1"/>
    <col min="9" max="9" width="10.6328125" customWidth="1"/>
    <col min="10" max="10" width="10.90625" customWidth="1"/>
    <col min="11" max="11" width="8.08984375" customWidth="1"/>
    <col min="12" max="12" width="8.6328125" customWidth="1"/>
    <col min="13" max="15" width="8.453125" customWidth="1"/>
    <col min="24" max="25" width="8.7265625" style="98"/>
  </cols>
  <sheetData>
    <row r="1" spans="1:26" ht="15.5" thickTop="1" thickBot="1" x14ac:dyDescent="0.4">
      <c r="A1" s="1"/>
      <c r="B1" s="2"/>
      <c r="C1" s="2"/>
      <c r="D1" s="3" t="s">
        <v>165</v>
      </c>
      <c r="E1" s="2"/>
      <c r="F1" s="2"/>
      <c r="G1" s="2"/>
      <c r="H1" s="4"/>
      <c r="I1" s="37" t="s">
        <v>69</v>
      </c>
      <c r="J1" s="45" t="s">
        <v>190</v>
      </c>
      <c r="K1" s="48" t="s">
        <v>114</v>
      </c>
      <c r="L1" s="34"/>
      <c r="M1" s="35"/>
      <c r="N1" s="35"/>
      <c r="Q1" s="96" t="s">
        <v>166</v>
      </c>
      <c r="R1" s="96"/>
      <c r="S1" s="96"/>
      <c r="T1" s="96" t="s">
        <v>257</v>
      </c>
      <c r="U1" s="97"/>
      <c r="V1" s="97"/>
      <c r="W1" s="97"/>
      <c r="X1" s="100" t="s">
        <v>167</v>
      </c>
      <c r="Y1" s="100"/>
      <c r="Z1" s="97"/>
    </row>
    <row r="2" spans="1:26" ht="15.5" thickTop="1" thickBot="1" x14ac:dyDescent="0.4">
      <c r="A2" s="37" t="s">
        <v>52</v>
      </c>
      <c r="B2" s="2" t="s">
        <v>135</v>
      </c>
      <c r="C2" s="2"/>
      <c r="D2" s="3"/>
      <c r="E2" s="2"/>
      <c r="F2" s="2"/>
      <c r="G2" s="6"/>
      <c r="H2" s="32"/>
      <c r="I2" s="37" t="s">
        <v>60</v>
      </c>
      <c r="J2" s="5" t="s">
        <v>61</v>
      </c>
      <c r="K2" s="34" t="s">
        <v>46</v>
      </c>
      <c r="L2" s="34" t="s">
        <v>41</v>
      </c>
      <c r="M2" s="34" t="s">
        <v>42</v>
      </c>
      <c r="N2" s="34" t="s">
        <v>41</v>
      </c>
      <c r="O2" s="34" t="s">
        <v>42</v>
      </c>
      <c r="Q2" s="96" t="s">
        <v>168</v>
      </c>
      <c r="R2" s="96"/>
      <c r="S2" s="96" t="s">
        <v>272</v>
      </c>
      <c r="T2" s="96"/>
      <c r="U2" s="97"/>
      <c r="V2" s="97"/>
      <c r="W2" s="97"/>
      <c r="X2" s="100" t="s">
        <v>169</v>
      </c>
      <c r="Y2" s="100"/>
      <c r="Z2" s="97"/>
    </row>
    <row r="3" spans="1:26" ht="15.5" thickTop="1" thickBot="1" x14ac:dyDescent="0.4">
      <c r="A3" s="37" t="s">
        <v>0</v>
      </c>
      <c r="B3" s="33" t="s">
        <v>178</v>
      </c>
      <c r="C3" s="7" t="s">
        <v>1</v>
      </c>
      <c r="D3" s="8"/>
      <c r="E3" s="7" t="s">
        <v>2</v>
      </c>
      <c r="F3" s="9"/>
      <c r="G3" s="10" t="s">
        <v>3</v>
      </c>
      <c r="H3" s="8"/>
      <c r="I3" s="35" t="s">
        <v>158</v>
      </c>
      <c r="J3" s="9" t="s">
        <v>159</v>
      </c>
      <c r="K3" s="46" t="s">
        <v>72</v>
      </c>
      <c r="L3" s="46">
        <f>SUMIFS($A$11:$A$401,$B$11:$B$401,"CH",$F$11:$F$401,"1")</f>
        <v>0</v>
      </c>
      <c r="M3" s="46" t="s">
        <v>6</v>
      </c>
      <c r="N3" s="46">
        <f>SUMIFS($A$11:$A$401,$B$11:$B$401,"RT",$F$11:$F$401,"1")</f>
        <v>1</v>
      </c>
      <c r="O3" s="46" t="s">
        <v>13</v>
      </c>
      <c r="Q3" s="96" t="s">
        <v>47</v>
      </c>
      <c r="R3" s="96" t="s">
        <v>46</v>
      </c>
      <c r="S3" s="96" t="s">
        <v>170</v>
      </c>
      <c r="T3" s="96" t="s">
        <v>171</v>
      </c>
      <c r="U3" s="97" t="s">
        <v>171</v>
      </c>
      <c r="V3" s="97" t="s">
        <v>171</v>
      </c>
      <c r="W3" s="97" t="s">
        <v>171</v>
      </c>
      <c r="X3" s="100" t="s">
        <v>264</v>
      </c>
      <c r="Y3" s="100" t="s">
        <v>266</v>
      </c>
      <c r="Z3" s="97" t="s">
        <v>50</v>
      </c>
    </row>
    <row r="4" spans="1:26" ht="15" thickTop="1" x14ac:dyDescent="0.35">
      <c r="A4" s="78" t="s">
        <v>4</v>
      </c>
      <c r="B4" s="84">
        <v>1971</v>
      </c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5" t="s">
        <v>10</v>
      </c>
      <c r="I4" s="35" t="s">
        <v>160</v>
      </c>
      <c r="J4" s="9" t="s">
        <v>161</v>
      </c>
      <c r="K4" s="46" t="s">
        <v>73</v>
      </c>
      <c r="L4" s="46">
        <f>SUMIFS($A$11:$A$401,$B$11:$B$401,"CH",$F$11:$F$401,"2")</f>
        <v>0</v>
      </c>
      <c r="M4" s="46" t="s">
        <v>6</v>
      </c>
      <c r="N4" s="46">
        <f>SUMIFS($A$11:$A$401,$B$11:$B$401,"RT",$F$11:$F$401,"2")</f>
        <v>2</v>
      </c>
      <c r="O4" s="46" t="s">
        <v>13</v>
      </c>
      <c r="P4" s="99"/>
      <c r="Q4" s="96" t="s">
        <v>62</v>
      </c>
      <c r="R4" s="96">
        <v>1</v>
      </c>
      <c r="S4" s="96">
        <v>138</v>
      </c>
      <c r="T4" s="96">
        <v>40</v>
      </c>
      <c r="U4" s="97">
        <v>39</v>
      </c>
      <c r="V4" s="97">
        <v>40</v>
      </c>
      <c r="W4" s="97">
        <v>41</v>
      </c>
      <c r="X4" s="100">
        <f>AVERAGE(T4:W4)</f>
        <v>40</v>
      </c>
      <c r="Y4" s="100">
        <f>X4*S4</f>
        <v>5520</v>
      </c>
      <c r="Z4" s="97"/>
    </row>
    <row r="5" spans="1:26" x14ac:dyDescent="0.35">
      <c r="A5" s="82" t="s">
        <v>11</v>
      </c>
      <c r="B5" s="83">
        <v>44448</v>
      </c>
      <c r="C5" s="11" t="s">
        <v>12</v>
      </c>
      <c r="D5" s="12" t="s">
        <v>13</v>
      </c>
      <c r="E5" s="13" t="s">
        <v>14</v>
      </c>
      <c r="F5" s="12" t="s">
        <v>15</v>
      </c>
      <c r="G5" s="14" t="s">
        <v>67</v>
      </c>
      <c r="H5" s="15" t="s">
        <v>16</v>
      </c>
      <c r="I5" s="35" t="s">
        <v>162</v>
      </c>
      <c r="J5" s="9" t="s">
        <v>163</v>
      </c>
      <c r="K5" s="46" t="s">
        <v>74</v>
      </c>
      <c r="L5" s="46">
        <f>SUMIFS($A$11:$A$401,$B$11:$B$401,"CH",$F$11:$F$401,"3")</f>
        <v>0</v>
      </c>
      <c r="M5" s="46" t="s">
        <v>6</v>
      </c>
      <c r="N5" s="46">
        <f>SUMIFS($A$11:$A$401,$B$11:$B$401,"RT",$F$11:$F$401,"3")</f>
        <v>0</v>
      </c>
      <c r="O5" s="46" t="s">
        <v>13</v>
      </c>
      <c r="P5" s="99"/>
      <c r="Q5" s="96" t="s">
        <v>57</v>
      </c>
      <c r="R5" s="96">
        <v>2</v>
      </c>
      <c r="S5" s="96">
        <v>66</v>
      </c>
      <c r="T5" s="96">
        <v>39</v>
      </c>
      <c r="U5" s="97">
        <v>35</v>
      </c>
      <c r="V5" s="97">
        <v>31.2</v>
      </c>
      <c r="W5" s="97">
        <v>37.6</v>
      </c>
      <c r="X5" s="100">
        <f t="shared" ref="X5:X13" si="0">AVERAGE(T5:W5)</f>
        <v>35.700000000000003</v>
      </c>
      <c r="Y5" s="100">
        <f t="shared" ref="Y5:Y13" si="1">X5*S5</f>
        <v>2356.2000000000003</v>
      </c>
      <c r="Z5" s="97"/>
    </row>
    <row r="6" spans="1:26" x14ac:dyDescent="0.35">
      <c r="A6" s="79" t="s">
        <v>156</v>
      </c>
      <c r="B6" s="67" t="s">
        <v>157</v>
      </c>
      <c r="C6" s="11" t="s">
        <v>17</v>
      </c>
      <c r="D6" s="12" t="s">
        <v>18</v>
      </c>
      <c r="E6" s="13" t="s">
        <v>19</v>
      </c>
      <c r="F6" s="12" t="s">
        <v>20</v>
      </c>
      <c r="G6" s="14" t="s">
        <v>21</v>
      </c>
      <c r="H6" s="15" t="s">
        <v>22</v>
      </c>
      <c r="I6" s="35"/>
      <c r="J6" s="9"/>
      <c r="K6" s="46" t="s">
        <v>75</v>
      </c>
      <c r="L6" s="46">
        <f>SUMIFS($A$11:$A$401,$B$11:$B$401,"CH",$F$11:$F$401,"4")</f>
        <v>0</v>
      </c>
      <c r="M6" s="46" t="s">
        <v>6</v>
      </c>
      <c r="N6" s="46">
        <f>SUMIFS($A$11:$A$401,$B$11:$B$401,"RT",$F$11:$F$401,"4")</f>
        <v>0</v>
      </c>
      <c r="O6" s="46" t="s">
        <v>13</v>
      </c>
      <c r="P6" s="99"/>
      <c r="Q6" s="96" t="s">
        <v>20</v>
      </c>
      <c r="R6" s="96">
        <v>3</v>
      </c>
      <c r="S6" s="96">
        <v>145</v>
      </c>
      <c r="T6" s="96">
        <v>31.2</v>
      </c>
      <c r="U6" s="97">
        <v>29.1</v>
      </c>
      <c r="V6" s="97">
        <v>29.5</v>
      </c>
      <c r="W6" s="97">
        <v>27.6</v>
      </c>
      <c r="X6" s="100">
        <f t="shared" si="0"/>
        <v>29.35</v>
      </c>
      <c r="Y6" s="100">
        <f t="shared" si="1"/>
        <v>4255.75</v>
      </c>
      <c r="Z6" s="97"/>
    </row>
    <row r="7" spans="1:26" x14ac:dyDescent="0.35">
      <c r="A7" s="80" t="s">
        <v>23</v>
      </c>
      <c r="B7" s="68">
        <v>3</v>
      </c>
      <c r="C7" s="11" t="s">
        <v>24</v>
      </c>
      <c r="D7" s="12" t="s">
        <v>25</v>
      </c>
      <c r="E7" s="11" t="s">
        <v>68</v>
      </c>
      <c r="F7" s="12" t="s">
        <v>62</v>
      </c>
      <c r="G7" s="16" t="s">
        <v>136</v>
      </c>
      <c r="H7" s="70" t="s">
        <v>137</v>
      </c>
      <c r="I7" s="35"/>
      <c r="J7" s="9"/>
      <c r="K7" s="46" t="s">
        <v>76</v>
      </c>
      <c r="L7" s="46">
        <f>SUMIFS($A$11:$A$401,$B$11:$B$401,"CH",$F$11:$F$401,"5")</f>
        <v>1</v>
      </c>
      <c r="M7" s="46" t="s">
        <v>6</v>
      </c>
      <c r="N7" s="46">
        <f>SUMIFS($A$11:$A$401,$B$11:$B$401,"RT",$F$11:$F$401,"5")</f>
        <v>0</v>
      </c>
      <c r="O7" s="46" t="s">
        <v>13</v>
      </c>
      <c r="P7" s="99"/>
      <c r="Q7" s="96" t="s">
        <v>35</v>
      </c>
      <c r="R7" s="96">
        <v>4</v>
      </c>
      <c r="S7" s="96">
        <v>42</v>
      </c>
      <c r="T7" s="96">
        <v>26.9</v>
      </c>
      <c r="U7" s="97">
        <v>26</v>
      </c>
      <c r="V7" s="97">
        <v>23.3</v>
      </c>
      <c r="W7" s="97">
        <v>27.9</v>
      </c>
      <c r="X7" s="100">
        <f t="shared" si="0"/>
        <v>26.024999999999999</v>
      </c>
      <c r="Y7" s="100">
        <f t="shared" si="1"/>
        <v>1093.05</v>
      </c>
      <c r="Z7" s="97"/>
    </row>
    <row r="8" spans="1:26" ht="15" thickBot="1" x14ac:dyDescent="0.4">
      <c r="A8" s="81" t="s">
        <v>26</v>
      </c>
      <c r="B8" s="74">
        <v>1</v>
      </c>
      <c r="C8" s="13" t="s">
        <v>63</v>
      </c>
      <c r="D8" s="12" t="s">
        <v>64</v>
      </c>
      <c r="E8" s="13" t="s">
        <v>66</v>
      </c>
      <c r="F8" s="12" t="s">
        <v>58</v>
      </c>
      <c r="G8" s="16" t="s">
        <v>55</v>
      </c>
      <c r="H8" s="15" t="s">
        <v>53</v>
      </c>
      <c r="I8" s="35"/>
      <c r="J8" s="9"/>
      <c r="K8" s="46" t="s">
        <v>77</v>
      </c>
      <c r="L8" s="46">
        <f>SUMIFS($A$11:$A$401,$B$11:$B$401,"CH",$F$11:$F$401,"6")</f>
        <v>0</v>
      </c>
      <c r="M8" s="46" t="s">
        <v>6</v>
      </c>
      <c r="N8" s="46">
        <f>SUMIFS($A$11:$A$401,$B$11:$B$401,"RT",$F$11:$F$401,"6")</f>
        <v>0</v>
      </c>
      <c r="O8" s="46" t="s">
        <v>13</v>
      </c>
      <c r="P8" s="99"/>
      <c r="Q8" s="97" t="s">
        <v>57</v>
      </c>
      <c r="R8" s="97">
        <v>5</v>
      </c>
      <c r="S8" s="97">
        <v>49</v>
      </c>
      <c r="T8" s="97">
        <v>24.1</v>
      </c>
      <c r="U8" s="97">
        <v>22</v>
      </c>
      <c r="V8" s="97">
        <v>28.3</v>
      </c>
      <c r="W8" s="97">
        <v>21.4</v>
      </c>
      <c r="X8" s="100">
        <f t="shared" si="0"/>
        <v>23.950000000000003</v>
      </c>
      <c r="Y8" s="100">
        <f t="shared" si="1"/>
        <v>1173.5500000000002</v>
      </c>
      <c r="Z8" s="97"/>
    </row>
    <row r="9" spans="1:26" ht="15.5" thickTop="1" thickBot="1" x14ac:dyDescent="0.4">
      <c r="A9" s="38" t="s">
        <v>28</v>
      </c>
      <c r="B9" s="75"/>
      <c r="C9" s="11" t="s">
        <v>29</v>
      </c>
      <c r="D9" s="12" t="s">
        <v>27</v>
      </c>
      <c r="E9" s="18" t="s">
        <v>30</v>
      </c>
      <c r="F9" s="12" t="s">
        <v>31</v>
      </c>
      <c r="G9" s="17" t="s">
        <v>56</v>
      </c>
      <c r="H9" s="71" t="s">
        <v>54</v>
      </c>
      <c r="I9" s="69"/>
      <c r="J9" s="25"/>
      <c r="K9" s="46" t="s">
        <v>78</v>
      </c>
      <c r="L9" s="46">
        <f>SUMIFS($A$11:$A$401,$B$11:$B$401,"CH",$F$11:$F$401,"7")</f>
        <v>0</v>
      </c>
      <c r="M9" s="46" t="s">
        <v>6</v>
      </c>
      <c r="N9" s="46">
        <f>SUMIFS($A$11:$A$401,$B$11:$B$401,"RT",$F$11:$F$401,"7")</f>
        <v>3</v>
      </c>
      <c r="O9" s="46" t="s">
        <v>13</v>
      </c>
      <c r="P9" s="99"/>
      <c r="Q9" s="97" t="s">
        <v>20</v>
      </c>
      <c r="R9" s="97">
        <v>6</v>
      </c>
      <c r="S9" s="97">
        <v>117</v>
      </c>
      <c r="T9" s="97">
        <v>23.2</v>
      </c>
      <c r="U9" s="97">
        <v>24.7</v>
      </c>
      <c r="V9" s="97">
        <v>25</v>
      </c>
      <c r="W9" s="97">
        <v>25.3</v>
      </c>
      <c r="X9" s="100">
        <f t="shared" si="0"/>
        <v>24.55</v>
      </c>
      <c r="Y9" s="100">
        <f t="shared" si="1"/>
        <v>2872.35</v>
      </c>
      <c r="Z9" s="97"/>
    </row>
    <row r="10" spans="1:26" ht="15" thickTop="1" x14ac:dyDescent="0.35">
      <c r="A10" s="76" t="s">
        <v>270</v>
      </c>
      <c r="B10" s="8"/>
      <c r="C10" s="11" t="s">
        <v>32</v>
      </c>
      <c r="D10" s="12" t="s">
        <v>33</v>
      </c>
      <c r="E10" s="20" t="s">
        <v>34</v>
      </c>
      <c r="F10" s="21" t="s">
        <v>35</v>
      </c>
      <c r="G10" s="19" t="s">
        <v>138</v>
      </c>
      <c r="H10" s="9"/>
      <c r="I10" s="36" t="s">
        <v>36</v>
      </c>
      <c r="J10" s="8"/>
      <c r="K10" s="46" t="s">
        <v>79</v>
      </c>
      <c r="L10" s="46">
        <f>SUMIFS($A$11:$A$401,$B$11:$B$401,"CH",$F$11:$F$401,"8")</f>
        <v>0</v>
      </c>
      <c r="M10" s="46" t="s">
        <v>6</v>
      </c>
      <c r="N10" s="46">
        <f>SUMIFS($A$11:$A$401,$B$11:$B$401,"RT",$F$11:$F$401,"8")</f>
        <v>0</v>
      </c>
      <c r="O10" s="46" t="s">
        <v>13</v>
      </c>
      <c r="P10" s="99"/>
      <c r="Q10" s="97" t="s">
        <v>57</v>
      </c>
      <c r="R10" s="97">
        <v>7</v>
      </c>
      <c r="S10" s="97">
        <v>130</v>
      </c>
      <c r="T10" s="97">
        <v>24.2</v>
      </c>
      <c r="U10" s="97">
        <v>20.399999999999999</v>
      </c>
      <c r="V10" s="97">
        <v>19.8</v>
      </c>
      <c r="W10" s="97">
        <v>30.3</v>
      </c>
      <c r="X10" s="100">
        <f t="shared" si="0"/>
        <v>23.674999999999997</v>
      </c>
      <c r="Y10" s="100">
        <f t="shared" si="1"/>
        <v>3077.7499999999995</v>
      </c>
      <c r="Z10" s="97"/>
    </row>
    <row r="11" spans="1:26" ht="15" thickBot="1" x14ac:dyDescent="0.4">
      <c r="A11" s="22" t="s">
        <v>271</v>
      </c>
      <c r="B11" s="23"/>
      <c r="C11" s="22" t="s">
        <v>37</v>
      </c>
      <c r="D11" s="24" t="s">
        <v>38</v>
      </c>
      <c r="E11" s="20" t="s">
        <v>39</v>
      </c>
      <c r="F11" s="24" t="s">
        <v>57</v>
      </c>
      <c r="G11" t="s">
        <v>51</v>
      </c>
      <c r="H11" s="24" t="s">
        <v>40</v>
      </c>
      <c r="I11" s="44" t="s">
        <v>164</v>
      </c>
      <c r="J11" s="25"/>
      <c r="K11" s="46" t="s">
        <v>80</v>
      </c>
      <c r="L11" s="46">
        <f>SUMIFS($A$11:$A$401,$B$11:$B$401,"CH",$F$11:$F$401,"9")</f>
        <v>0</v>
      </c>
      <c r="M11" s="46" t="s">
        <v>6</v>
      </c>
      <c r="N11" s="46">
        <f>SUMIFS($A$11:$A$401,$B$11:$B$401,"RT",$F$11:$F$401,"9")</f>
        <v>0</v>
      </c>
      <c r="O11" s="46" t="s">
        <v>13</v>
      </c>
      <c r="P11" s="99"/>
      <c r="Q11" s="97" t="s">
        <v>20</v>
      </c>
      <c r="R11" s="97">
        <v>8</v>
      </c>
      <c r="S11" s="97">
        <v>94</v>
      </c>
      <c r="T11" s="97">
        <v>23.8</v>
      </c>
      <c r="U11" s="97">
        <v>24</v>
      </c>
      <c r="V11" s="97">
        <v>23.9</v>
      </c>
      <c r="W11" s="97">
        <v>25.9</v>
      </c>
      <c r="X11" s="100">
        <f t="shared" si="0"/>
        <v>24.4</v>
      </c>
      <c r="Y11" s="100">
        <f t="shared" si="1"/>
        <v>2293.6</v>
      </c>
      <c r="Z11" s="97"/>
    </row>
    <row r="12" spans="1:26" ht="15.5" thickTop="1" thickBot="1" x14ac:dyDescent="0.4">
      <c r="A12" s="85" t="s">
        <v>41</v>
      </c>
      <c r="B12" s="86" t="s">
        <v>42</v>
      </c>
      <c r="C12" s="86" t="s">
        <v>43</v>
      </c>
      <c r="D12" s="86" t="s">
        <v>44</v>
      </c>
      <c r="E12" s="86" t="s">
        <v>45</v>
      </c>
      <c r="F12" s="86" t="s">
        <v>46</v>
      </c>
      <c r="G12" s="86" t="s">
        <v>47</v>
      </c>
      <c r="H12" s="86" t="s">
        <v>48</v>
      </c>
      <c r="I12" s="86" t="s">
        <v>49</v>
      </c>
      <c r="J12" s="86" t="s">
        <v>50</v>
      </c>
      <c r="K12" s="46" t="s">
        <v>81</v>
      </c>
      <c r="L12" s="46">
        <f>SUMIFS($A$11:$A$401,$B$11:$B$401,"CH",$F$11:$F$401,"10")</f>
        <v>0</v>
      </c>
      <c r="M12" s="46" t="s">
        <v>6</v>
      </c>
      <c r="N12" s="46">
        <f>SUMIFS($A$11:$A$401,$B$11:$B$401,"RT",$F$11:$F$401,"10")</f>
        <v>0</v>
      </c>
      <c r="O12" s="46" t="s">
        <v>13</v>
      </c>
      <c r="P12" s="99"/>
      <c r="Q12" s="97" t="s">
        <v>57</v>
      </c>
      <c r="R12" s="97">
        <v>9</v>
      </c>
      <c r="S12" s="97">
        <v>120.7</v>
      </c>
      <c r="T12" s="97">
        <v>21.7</v>
      </c>
      <c r="U12" s="97">
        <v>18.7</v>
      </c>
      <c r="V12" s="97">
        <v>14.6</v>
      </c>
      <c r="W12" s="97">
        <v>14</v>
      </c>
      <c r="X12" s="100">
        <f t="shared" si="0"/>
        <v>17.25</v>
      </c>
      <c r="Y12" s="100">
        <f t="shared" si="1"/>
        <v>2082.0750000000003</v>
      </c>
      <c r="Z12" s="97"/>
    </row>
    <row r="13" spans="1:26" ht="15" thickTop="1" x14ac:dyDescent="0.35">
      <c r="A13" s="88">
        <v>1</v>
      </c>
      <c r="B13" s="89" t="s">
        <v>13</v>
      </c>
      <c r="C13" s="88">
        <v>120</v>
      </c>
      <c r="D13" s="92" t="s">
        <v>134</v>
      </c>
      <c r="E13" s="88">
        <v>1</v>
      </c>
      <c r="F13" s="88">
        <v>1</v>
      </c>
      <c r="G13" s="88" t="s">
        <v>62</v>
      </c>
      <c r="H13" s="88" t="s">
        <v>62</v>
      </c>
      <c r="I13" s="88" t="s">
        <v>148</v>
      </c>
      <c r="J13" s="88" t="s">
        <v>62</v>
      </c>
      <c r="K13" s="46" t="s">
        <v>82</v>
      </c>
      <c r="L13" s="46">
        <f>SUMIFS($A$11:$A$401,$B$11:$B$401,"CH",$F$11:$F$401,"11")</f>
        <v>0</v>
      </c>
      <c r="M13" s="46" t="s">
        <v>6</v>
      </c>
      <c r="N13" s="46">
        <f>SUMIFS($A$11:$A$401,$B$11:$B$401,"RT",$F$11:$F$401,"11")</f>
        <v>0</v>
      </c>
      <c r="O13" s="46" t="s">
        <v>13</v>
      </c>
      <c r="P13" s="99"/>
      <c r="Q13" s="97" t="s">
        <v>35</v>
      </c>
      <c r="R13" s="97">
        <v>10</v>
      </c>
      <c r="S13" s="97">
        <v>61</v>
      </c>
      <c r="T13" s="97">
        <v>38</v>
      </c>
      <c r="U13" s="97">
        <v>34.700000000000003</v>
      </c>
      <c r="V13" s="97">
        <v>38</v>
      </c>
      <c r="W13" s="97">
        <v>38.5</v>
      </c>
      <c r="X13" s="100">
        <f t="shared" si="0"/>
        <v>37.299999999999997</v>
      </c>
      <c r="Y13" s="100">
        <f t="shared" si="1"/>
        <v>2275.2999999999997</v>
      </c>
      <c r="Z13" s="97"/>
    </row>
    <row r="14" spans="1:26" x14ac:dyDescent="0.35">
      <c r="A14" s="30">
        <v>2</v>
      </c>
      <c r="B14" s="40" t="s">
        <v>13</v>
      </c>
      <c r="C14" s="30">
        <v>60</v>
      </c>
      <c r="D14" s="41" t="s">
        <v>70</v>
      </c>
      <c r="E14" s="30">
        <v>2</v>
      </c>
      <c r="F14" s="30">
        <v>2</v>
      </c>
      <c r="G14" s="30" t="s">
        <v>57</v>
      </c>
      <c r="H14" s="30"/>
      <c r="I14" s="30"/>
      <c r="J14" s="30"/>
      <c r="K14" s="46" t="s">
        <v>83</v>
      </c>
      <c r="L14" s="46">
        <f>SUMIFS($A$11:$A$401,$B$11:$B$401,"CH",$F$11:$F$401,"12")</f>
        <v>0</v>
      </c>
      <c r="M14" s="46" t="s">
        <v>6</v>
      </c>
      <c r="N14" s="46">
        <f>SUMIFS($A$11:$A$401,$B$11:$B$401,"RT",$F$11:$F$401,"12")</f>
        <v>0</v>
      </c>
      <c r="O14" s="46" t="s">
        <v>13</v>
      </c>
      <c r="P14" s="99"/>
      <c r="Q14" s="97"/>
      <c r="R14" s="97"/>
      <c r="S14" s="97"/>
      <c r="T14" s="97"/>
      <c r="U14" s="97"/>
      <c r="V14" s="97"/>
      <c r="W14" s="97"/>
      <c r="X14" s="100"/>
      <c r="Y14" s="100"/>
      <c r="Z14" s="97"/>
    </row>
    <row r="15" spans="1:26" x14ac:dyDescent="0.35">
      <c r="A15" s="30">
        <v>1</v>
      </c>
      <c r="B15" s="40" t="s">
        <v>149</v>
      </c>
      <c r="C15" s="30">
        <v>70</v>
      </c>
      <c r="D15" s="30" t="s">
        <v>70</v>
      </c>
      <c r="E15" s="30">
        <v>2</v>
      </c>
      <c r="F15" s="30">
        <v>2</v>
      </c>
      <c r="G15" s="30" t="s">
        <v>57</v>
      </c>
      <c r="H15" s="30"/>
      <c r="I15" s="30"/>
      <c r="J15" s="30"/>
      <c r="K15" s="46" t="s">
        <v>84</v>
      </c>
      <c r="L15" s="46">
        <f>SUMIFS($A$11:$A$401,$B$11:$B$401,"CH",$F$11:$F$401,"13")</f>
        <v>0</v>
      </c>
      <c r="M15" s="46" t="s">
        <v>6</v>
      </c>
      <c r="N15" s="46">
        <f>SUMIFS($A$11:$A$401,$B$11:$B$401,"RT",$F$11:$F$401,"13")</f>
        <v>0</v>
      </c>
      <c r="O15" s="46" t="s">
        <v>13</v>
      </c>
      <c r="P15" s="42"/>
      <c r="Q15" s="96" t="s">
        <v>166</v>
      </c>
      <c r="R15" s="96"/>
      <c r="S15" s="96"/>
      <c r="T15" s="96" t="s">
        <v>257</v>
      </c>
      <c r="U15" s="97"/>
      <c r="V15" s="97"/>
      <c r="W15" s="97"/>
      <c r="X15" s="100" t="s">
        <v>172</v>
      </c>
      <c r="Y15" s="100"/>
      <c r="Z15" s="97"/>
    </row>
    <row r="16" spans="1:26" x14ac:dyDescent="0.35">
      <c r="A16" s="30">
        <v>0</v>
      </c>
      <c r="B16" s="40"/>
      <c r="C16" s="30"/>
      <c r="D16" s="30"/>
      <c r="E16" s="30"/>
      <c r="F16" s="30">
        <v>3</v>
      </c>
      <c r="G16" s="30" t="s">
        <v>20</v>
      </c>
      <c r="H16" s="30"/>
      <c r="I16" s="30"/>
      <c r="J16" s="30" t="s">
        <v>71</v>
      </c>
      <c r="K16" s="46" t="s">
        <v>85</v>
      </c>
      <c r="L16" s="46">
        <f>SUMIFS($A$11:$A$401,$B$11:$B$401,"CH",$F$11:$F$401,"14")</f>
        <v>0</v>
      </c>
      <c r="M16" s="46" t="s">
        <v>6</v>
      </c>
      <c r="N16" s="46">
        <f>SUMIFS($A$11:$A$401,$B$11:$B$401,"RT",$F$11:$F$401,"14")</f>
        <v>0</v>
      </c>
      <c r="O16" s="46" t="s">
        <v>13</v>
      </c>
      <c r="P16" s="42"/>
      <c r="Q16" s="96" t="s">
        <v>173</v>
      </c>
      <c r="R16" s="96"/>
      <c r="S16" s="96" t="s">
        <v>272</v>
      </c>
      <c r="T16" s="96"/>
      <c r="U16" s="97"/>
      <c r="V16" s="97"/>
      <c r="W16" s="97"/>
      <c r="X16" s="100" t="s">
        <v>169</v>
      </c>
      <c r="Y16" s="100"/>
      <c r="Z16" s="97"/>
    </row>
    <row r="17" spans="1:26" x14ac:dyDescent="0.35">
      <c r="A17" s="30">
        <v>0</v>
      </c>
      <c r="B17" s="40"/>
      <c r="C17" s="30"/>
      <c r="D17" s="30"/>
      <c r="E17" s="30"/>
      <c r="F17" s="30">
        <v>4</v>
      </c>
      <c r="G17" s="30" t="s">
        <v>35</v>
      </c>
      <c r="H17" s="30"/>
      <c r="I17" s="30"/>
      <c r="J17" s="30" t="s">
        <v>71</v>
      </c>
      <c r="K17" s="46" t="s">
        <v>86</v>
      </c>
      <c r="L17" s="46">
        <f>SUMIFS($A$11:$A$401,$B$11:$B$401,"CH",$F$11:$F$401,"15")</f>
        <v>0</v>
      </c>
      <c r="M17" s="46" t="s">
        <v>6</v>
      </c>
      <c r="N17" s="46">
        <f>SUMIFS($A$11:$A$401,$B$11:$B$401,"RT",$F$11:$F$401,"15")</f>
        <v>0</v>
      </c>
      <c r="O17" s="46" t="s">
        <v>13</v>
      </c>
      <c r="P17" s="42"/>
      <c r="Q17" s="96" t="s">
        <v>47</v>
      </c>
      <c r="R17" s="96" t="s">
        <v>46</v>
      </c>
      <c r="S17" s="96" t="s">
        <v>170</v>
      </c>
      <c r="T17" s="96" t="s">
        <v>171</v>
      </c>
      <c r="U17" s="97" t="s">
        <v>171</v>
      </c>
      <c r="V17" s="97" t="s">
        <v>171</v>
      </c>
      <c r="W17" s="97" t="s">
        <v>171</v>
      </c>
      <c r="X17" s="100" t="s">
        <v>264</v>
      </c>
      <c r="Y17" s="100" t="s">
        <v>266</v>
      </c>
      <c r="Z17" s="97" t="s">
        <v>50</v>
      </c>
    </row>
    <row r="18" spans="1:26" x14ac:dyDescent="0.35">
      <c r="A18" s="30">
        <v>1</v>
      </c>
      <c r="B18" s="40" t="s">
        <v>6</v>
      </c>
      <c r="C18" s="30">
        <v>70</v>
      </c>
      <c r="D18" s="30" t="s">
        <v>59</v>
      </c>
      <c r="E18" s="30">
        <v>3</v>
      </c>
      <c r="F18" s="30">
        <v>5</v>
      </c>
      <c r="G18" s="30" t="s">
        <v>57</v>
      </c>
      <c r="H18" s="30"/>
      <c r="I18" s="30"/>
      <c r="J18" s="30"/>
      <c r="K18" s="46" t="s">
        <v>87</v>
      </c>
      <c r="L18" s="46">
        <f>SUMIFS($A$11:$A$401,$B$11:$B$401,"CH",$F$11:$F$401,"16")</f>
        <v>0</v>
      </c>
      <c r="M18" s="46" t="s">
        <v>6</v>
      </c>
      <c r="N18" s="46">
        <f>SUMIFS($A$11:$A$401,$B$11:$B$401,"RT",$F$11:$F$401,"16")</f>
        <v>0</v>
      </c>
      <c r="O18" s="46" t="s">
        <v>13</v>
      </c>
      <c r="P18" s="42"/>
      <c r="Q18" s="96" t="s">
        <v>57</v>
      </c>
      <c r="R18" s="96">
        <v>11</v>
      </c>
      <c r="S18" s="96">
        <v>5.2</v>
      </c>
      <c r="T18" s="96">
        <v>4</v>
      </c>
      <c r="U18" s="97">
        <v>6</v>
      </c>
      <c r="V18" s="97">
        <v>4.2</v>
      </c>
      <c r="W18" s="97">
        <v>4.9000000000000004</v>
      </c>
      <c r="X18" s="100">
        <f t="shared" ref="X18:X29" si="2">AVERAGE(T18:W18)</f>
        <v>4.7750000000000004</v>
      </c>
      <c r="Y18" s="100">
        <f t="shared" ref="Y18:Y24" si="3">X18*S18</f>
        <v>24.830000000000002</v>
      </c>
      <c r="Z18" s="97" t="s">
        <v>174</v>
      </c>
    </row>
    <row r="19" spans="1:26" x14ac:dyDescent="0.35">
      <c r="A19" s="30">
        <v>0</v>
      </c>
      <c r="B19" s="40"/>
      <c r="C19" s="30"/>
      <c r="D19" s="30"/>
      <c r="E19" s="30"/>
      <c r="F19" s="30">
        <v>6</v>
      </c>
      <c r="G19" s="30" t="s">
        <v>20</v>
      </c>
      <c r="H19" s="30"/>
      <c r="I19" s="30"/>
      <c r="J19" s="30" t="s">
        <v>71</v>
      </c>
      <c r="K19" s="46" t="s">
        <v>88</v>
      </c>
      <c r="L19" s="46">
        <f>SUMIFS($A$11:$A$401,$B$11:$B$401,"CH",$F$11:$F$401,"17")</f>
        <v>0</v>
      </c>
      <c r="M19" s="46" t="s">
        <v>6</v>
      </c>
      <c r="N19" s="46">
        <f>SUMIFS($A$11:$A$401,$B$11:$B$401,"RT",$F$11:$F$401,"17")</f>
        <v>0</v>
      </c>
      <c r="O19" s="46" t="s">
        <v>13</v>
      </c>
      <c r="P19" s="42"/>
      <c r="Q19" s="96" t="s">
        <v>20</v>
      </c>
      <c r="R19" s="96">
        <v>12</v>
      </c>
      <c r="S19" s="96">
        <v>45</v>
      </c>
      <c r="T19" s="96">
        <v>8</v>
      </c>
      <c r="U19" s="97">
        <v>9.3000000000000007</v>
      </c>
      <c r="V19" s="97">
        <v>9.5</v>
      </c>
      <c r="W19" s="97">
        <v>12.8</v>
      </c>
      <c r="X19" s="100">
        <f t="shared" si="2"/>
        <v>9.9</v>
      </c>
      <c r="Y19" s="100">
        <f t="shared" si="3"/>
        <v>445.5</v>
      </c>
      <c r="Z19" s="97"/>
    </row>
    <row r="20" spans="1:26" x14ac:dyDescent="0.35">
      <c r="A20" s="30">
        <v>1</v>
      </c>
      <c r="B20" s="40" t="s">
        <v>13</v>
      </c>
      <c r="C20" s="30">
        <v>150</v>
      </c>
      <c r="D20" s="30" t="s">
        <v>70</v>
      </c>
      <c r="E20" s="30">
        <v>2</v>
      </c>
      <c r="F20" s="30">
        <v>7</v>
      </c>
      <c r="G20" s="30" t="s">
        <v>57</v>
      </c>
      <c r="H20" s="30" t="s">
        <v>139</v>
      </c>
      <c r="I20" s="30"/>
      <c r="J20" s="30" t="s">
        <v>139</v>
      </c>
      <c r="K20" s="46" t="s">
        <v>89</v>
      </c>
      <c r="L20" s="46">
        <f>SUMIFS($A$11:$A$401,$B$11:$B$401,"CH",$F$11:$F$401,"18")</f>
        <v>0</v>
      </c>
      <c r="M20" s="46" t="s">
        <v>6</v>
      </c>
      <c r="N20" s="46">
        <f>SUMIFS($A$11:$A$401,$B$11:$B$401,"RT",$F$11:$F$401,"18")</f>
        <v>0</v>
      </c>
      <c r="O20" s="46" t="s">
        <v>13</v>
      </c>
      <c r="P20" s="42"/>
      <c r="Q20" s="97" t="s">
        <v>57</v>
      </c>
      <c r="R20" s="96">
        <v>13</v>
      </c>
      <c r="S20" s="97">
        <v>31</v>
      </c>
      <c r="T20" s="97">
        <v>6.8</v>
      </c>
      <c r="U20" s="97">
        <v>8</v>
      </c>
      <c r="V20" s="97">
        <v>6.7</v>
      </c>
      <c r="W20" s="97">
        <v>6.5</v>
      </c>
      <c r="X20" s="100">
        <f t="shared" si="2"/>
        <v>7</v>
      </c>
      <c r="Y20" s="100">
        <f t="shared" si="3"/>
        <v>217</v>
      </c>
      <c r="Z20" s="97"/>
    </row>
    <row r="21" spans="1:26" x14ac:dyDescent="0.35">
      <c r="A21" s="30">
        <v>1</v>
      </c>
      <c r="B21" s="40" t="s">
        <v>13</v>
      </c>
      <c r="C21" s="30">
        <v>150</v>
      </c>
      <c r="D21" s="30" t="s">
        <v>59</v>
      </c>
      <c r="E21" s="30">
        <v>3</v>
      </c>
      <c r="F21" s="30">
        <v>7</v>
      </c>
      <c r="G21" s="30" t="s">
        <v>57</v>
      </c>
      <c r="H21" s="30" t="s">
        <v>139</v>
      </c>
      <c r="I21" s="30"/>
      <c r="J21" s="30" t="s">
        <v>139</v>
      </c>
      <c r="K21" s="46" t="s">
        <v>90</v>
      </c>
      <c r="L21" s="46">
        <f>SUMIFS($A$11:$A$401,$B$11:$B$401,"CH",$F$11:$F$401,"19")</f>
        <v>0</v>
      </c>
      <c r="M21" s="46" t="s">
        <v>6</v>
      </c>
      <c r="N21" s="46">
        <f>SUMIFS($A$11:$A$401,$B$11:$B$401,"RT",$F$11:$F$401,"19")</f>
        <v>3</v>
      </c>
      <c r="O21" s="46" t="s">
        <v>13</v>
      </c>
      <c r="P21" s="42"/>
      <c r="Q21" s="97" t="s">
        <v>20</v>
      </c>
      <c r="R21" s="96">
        <v>14</v>
      </c>
      <c r="S21" s="97">
        <v>34</v>
      </c>
      <c r="T21" s="97">
        <v>9.6999999999999993</v>
      </c>
      <c r="U21" s="97">
        <v>9</v>
      </c>
      <c r="V21" s="97">
        <v>6</v>
      </c>
      <c r="W21" s="97">
        <v>8.1999999999999993</v>
      </c>
      <c r="X21" s="100">
        <f t="shared" si="2"/>
        <v>8.2249999999999996</v>
      </c>
      <c r="Y21" s="100">
        <f t="shared" si="3"/>
        <v>279.64999999999998</v>
      </c>
      <c r="Z21" s="97"/>
    </row>
    <row r="22" spans="1:26" x14ac:dyDescent="0.35">
      <c r="A22" s="30">
        <v>1</v>
      </c>
      <c r="B22" s="40" t="s">
        <v>13</v>
      </c>
      <c r="C22" s="30">
        <v>60</v>
      </c>
      <c r="D22" s="30" t="s">
        <v>59</v>
      </c>
      <c r="E22" s="30">
        <v>3</v>
      </c>
      <c r="F22" s="30">
        <v>7</v>
      </c>
      <c r="G22" s="30" t="s">
        <v>57</v>
      </c>
      <c r="H22" s="30"/>
      <c r="I22" s="30"/>
      <c r="J22" s="30"/>
      <c r="K22" s="46" t="s">
        <v>91</v>
      </c>
      <c r="L22" s="46">
        <f>SUMIFS($A$11:$A$401,$B$11:$B$401,"CH",$F$11:$F$401,"20")</f>
        <v>0</v>
      </c>
      <c r="M22" s="46" t="s">
        <v>6</v>
      </c>
      <c r="N22" s="46">
        <f>SUMIFS($A$11:$A$401,$B$11:$B$401,"RT",$F$11:$F$401,"20")</f>
        <v>0</v>
      </c>
      <c r="O22" s="46" t="s">
        <v>13</v>
      </c>
      <c r="Q22" s="97" t="s">
        <v>57</v>
      </c>
      <c r="R22" s="96">
        <v>15</v>
      </c>
      <c r="S22" s="97">
        <v>43</v>
      </c>
      <c r="T22" s="97">
        <v>11.4</v>
      </c>
      <c r="U22" s="97">
        <v>6.9</v>
      </c>
      <c r="V22" s="97">
        <v>5.5</v>
      </c>
      <c r="W22" s="97">
        <v>5</v>
      </c>
      <c r="X22" s="100">
        <f t="shared" si="2"/>
        <v>7.2</v>
      </c>
      <c r="Y22" s="100">
        <f t="shared" si="3"/>
        <v>309.60000000000002</v>
      </c>
      <c r="Z22" s="97"/>
    </row>
    <row r="23" spans="1:26" x14ac:dyDescent="0.35">
      <c r="A23" s="30">
        <v>1</v>
      </c>
      <c r="B23" s="40" t="s">
        <v>149</v>
      </c>
      <c r="C23" s="30">
        <v>70</v>
      </c>
      <c r="D23" s="30" t="s">
        <v>70</v>
      </c>
      <c r="E23" s="30">
        <v>2</v>
      </c>
      <c r="F23" s="30">
        <v>7</v>
      </c>
      <c r="G23" s="30" t="s">
        <v>57</v>
      </c>
      <c r="H23" s="30"/>
      <c r="I23" s="30"/>
      <c r="J23" s="30"/>
      <c r="K23" s="46" t="s">
        <v>92</v>
      </c>
      <c r="L23" s="46">
        <f>SUMIFS($A$11:$A$401,$B$11:$B$401,"CH",$F$11:$F$401,"21")</f>
        <v>0</v>
      </c>
      <c r="M23" s="46" t="s">
        <v>6</v>
      </c>
      <c r="N23" s="46">
        <f>SUMIFS($A$11:$A$401,$B$11:$B$401,"RT",$F$11:$F$401,"21")</f>
        <v>0</v>
      </c>
      <c r="O23" s="46" t="s">
        <v>13</v>
      </c>
      <c r="Q23" s="97" t="s">
        <v>35</v>
      </c>
      <c r="R23" s="96">
        <v>16</v>
      </c>
      <c r="S23" s="97">
        <v>18.5</v>
      </c>
      <c r="T23" s="97">
        <v>6</v>
      </c>
      <c r="U23" s="97">
        <v>7.8</v>
      </c>
      <c r="V23" s="97">
        <v>5.2</v>
      </c>
      <c r="W23" s="97">
        <v>5</v>
      </c>
      <c r="X23" s="100">
        <f t="shared" si="2"/>
        <v>6</v>
      </c>
      <c r="Y23" s="100">
        <f t="shared" si="3"/>
        <v>111</v>
      </c>
      <c r="Z23" s="97"/>
    </row>
    <row r="24" spans="1:26" x14ac:dyDescent="0.35">
      <c r="A24" s="30">
        <v>5</v>
      </c>
      <c r="B24" s="40" t="s">
        <v>149</v>
      </c>
      <c r="C24" s="30">
        <v>200</v>
      </c>
      <c r="D24" s="30" t="s">
        <v>59</v>
      </c>
      <c r="E24" s="30">
        <v>3</v>
      </c>
      <c r="F24" s="30">
        <v>8</v>
      </c>
      <c r="G24" s="30" t="s">
        <v>20</v>
      </c>
      <c r="H24" s="30"/>
      <c r="I24" s="30"/>
      <c r="J24" s="30"/>
      <c r="K24" s="46" t="s">
        <v>93</v>
      </c>
      <c r="L24" s="46">
        <f>SUMIFS($A$11:$A$401,$B$11:$B$401,"CH",$F$11:$F$401,"22")</f>
        <v>0</v>
      </c>
      <c r="M24" s="46" t="s">
        <v>6</v>
      </c>
      <c r="N24" s="46">
        <f>SUMIFS($A$11:$A$401,$B$11:$B$401,"RT",$F$11:$F$401,"22")</f>
        <v>0</v>
      </c>
      <c r="O24" s="46" t="s">
        <v>13</v>
      </c>
      <c r="Q24" s="97" t="s">
        <v>57</v>
      </c>
      <c r="R24" s="96">
        <v>17</v>
      </c>
      <c r="S24" s="97">
        <v>15</v>
      </c>
      <c r="T24" s="97">
        <v>5.4</v>
      </c>
      <c r="U24" s="97">
        <v>3.5</v>
      </c>
      <c r="V24" s="97">
        <v>3.9</v>
      </c>
      <c r="W24" s="97">
        <v>4.5999999999999996</v>
      </c>
      <c r="X24" s="100">
        <f t="shared" si="2"/>
        <v>4.3499999999999996</v>
      </c>
      <c r="Y24" s="100">
        <f t="shared" si="3"/>
        <v>65.25</v>
      </c>
      <c r="Z24" s="97"/>
    </row>
    <row r="25" spans="1:26" x14ac:dyDescent="0.35">
      <c r="A25" s="30">
        <v>1</v>
      </c>
      <c r="B25" s="40" t="s">
        <v>149</v>
      </c>
      <c r="C25" s="30">
        <v>150</v>
      </c>
      <c r="D25" s="30" t="s">
        <v>59</v>
      </c>
      <c r="E25" s="30">
        <v>3</v>
      </c>
      <c r="F25" s="30">
        <v>8</v>
      </c>
      <c r="G25" s="30" t="s">
        <v>20</v>
      </c>
      <c r="H25" s="30"/>
      <c r="I25" s="30"/>
      <c r="J25" s="30"/>
      <c r="K25" s="46" t="s">
        <v>94</v>
      </c>
      <c r="L25" s="46">
        <f>SUMIFS($A$11:$A$401,$B$11:$B$401,"CH",$F$11:$F$401,"23")</f>
        <v>0</v>
      </c>
      <c r="M25" s="46" t="s">
        <v>6</v>
      </c>
      <c r="N25" s="46">
        <f>SUMIFS($A$11:$A$401,$B$11:$B$401,"RT",$F$11:$F$401,"23")</f>
        <v>0</v>
      </c>
      <c r="O25" s="46" t="s">
        <v>13</v>
      </c>
      <c r="Q25" s="97" t="s">
        <v>175</v>
      </c>
      <c r="R25" s="96">
        <v>18</v>
      </c>
      <c r="S25" s="97"/>
      <c r="T25" s="97"/>
      <c r="U25" s="97"/>
      <c r="V25" s="97"/>
      <c r="W25" s="97"/>
      <c r="X25" s="100"/>
      <c r="Y25" s="100"/>
      <c r="Z25" s="97" t="s">
        <v>176</v>
      </c>
    </row>
    <row r="26" spans="1:26" x14ac:dyDescent="0.35">
      <c r="A26" s="30">
        <v>1</v>
      </c>
      <c r="B26" s="40" t="s">
        <v>25</v>
      </c>
      <c r="C26" s="30">
        <v>60</v>
      </c>
      <c r="D26" s="30" t="s">
        <v>70</v>
      </c>
      <c r="E26" s="30">
        <v>2</v>
      </c>
      <c r="F26" s="30">
        <v>9</v>
      </c>
      <c r="G26" s="30" t="s">
        <v>57</v>
      </c>
      <c r="H26" s="30"/>
      <c r="I26" s="30"/>
      <c r="J26" s="30"/>
      <c r="K26" s="46" t="s">
        <v>95</v>
      </c>
      <c r="L26" s="46">
        <f>SUMIFS($A$11:$A$401,$B$11:$B$401,"CH",$F$11:$F$401,"24")</f>
        <v>0</v>
      </c>
      <c r="M26" s="46" t="s">
        <v>6</v>
      </c>
      <c r="N26" s="46">
        <f>SUMIFS($A$11:$A$401,$B$11:$B$401,"RT",$F$11:$F$401,"24")</f>
        <v>0</v>
      </c>
      <c r="O26" s="46" t="s">
        <v>13</v>
      </c>
      <c r="Q26" s="97" t="s">
        <v>62</v>
      </c>
      <c r="R26" s="96">
        <v>19</v>
      </c>
      <c r="S26" s="97">
        <v>365</v>
      </c>
      <c r="T26" s="97">
        <v>49.7</v>
      </c>
      <c r="U26" s="97">
        <v>125.2</v>
      </c>
      <c r="V26" s="97">
        <v>97.9</v>
      </c>
      <c r="W26" s="97">
        <v>27.4</v>
      </c>
      <c r="X26" s="100">
        <f t="shared" si="2"/>
        <v>75.05</v>
      </c>
      <c r="Y26" s="100">
        <f t="shared" ref="Y26:Y29" si="4">X26*S26</f>
        <v>27393.25</v>
      </c>
      <c r="Z26" s="97"/>
    </row>
    <row r="27" spans="1:26" x14ac:dyDescent="0.35">
      <c r="A27" s="30">
        <v>0</v>
      </c>
      <c r="B27" s="40"/>
      <c r="C27" s="30"/>
      <c r="D27" s="30"/>
      <c r="E27" s="30"/>
      <c r="F27" s="30">
        <v>10</v>
      </c>
      <c r="G27" s="30" t="s">
        <v>35</v>
      </c>
      <c r="H27" s="30"/>
      <c r="I27" s="30"/>
      <c r="J27" s="30" t="s">
        <v>71</v>
      </c>
      <c r="K27" s="46" t="s">
        <v>96</v>
      </c>
      <c r="L27" s="46">
        <f>SUMIFS($A$11:$A$401,$B$11:$B$401,"CH",$F$11:$F$401,"25")</f>
        <v>0</v>
      </c>
      <c r="M27" s="46" t="s">
        <v>6</v>
      </c>
      <c r="N27" s="46">
        <f>SUMIFS($A$11:$A$401,$B$11:$B$401,"RT",$F$11:$F$401,"25")</f>
        <v>0</v>
      </c>
      <c r="O27" s="46" t="s">
        <v>13</v>
      </c>
      <c r="Q27" s="97" t="s">
        <v>57</v>
      </c>
      <c r="R27" s="96">
        <v>20</v>
      </c>
      <c r="S27" s="97">
        <v>17</v>
      </c>
      <c r="T27" s="97">
        <v>9.5</v>
      </c>
      <c r="U27" s="97">
        <v>9.1999999999999993</v>
      </c>
      <c r="V27" s="97">
        <v>9</v>
      </c>
      <c r="W27" s="97">
        <v>9.4</v>
      </c>
      <c r="X27" s="100">
        <f t="shared" si="2"/>
        <v>9.2750000000000004</v>
      </c>
      <c r="Y27" s="100">
        <f t="shared" si="4"/>
        <v>157.67500000000001</v>
      </c>
      <c r="Z27" s="97"/>
    </row>
    <row r="28" spans="1:26" x14ac:dyDescent="0.35">
      <c r="A28" s="30">
        <v>0</v>
      </c>
      <c r="B28" s="40"/>
      <c r="C28" s="30"/>
      <c r="D28" s="30"/>
      <c r="E28" s="30"/>
      <c r="F28" s="30">
        <v>11</v>
      </c>
      <c r="G28" s="30" t="s">
        <v>57</v>
      </c>
      <c r="H28" s="30"/>
      <c r="I28" s="30"/>
      <c r="J28" s="30" t="s">
        <v>71</v>
      </c>
      <c r="K28" s="46" t="s">
        <v>97</v>
      </c>
      <c r="L28" s="46">
        <f>SUMIFS($A$11:$A$401,$B$11:$B$401,"CH",$F$11:$F$401,"26")</f>
        <v>0</v>
      </c>
      <c r="M28" s="46" t="s">
        <v>6</v>
      </c>
      <c r="N28" s="46">
        <f>SUMIFS($A$11:$A$401,$B$11:$B$401,"RT",$F$11:$F$401,"26")</f>
        <v>0</v>
      </c>
      <c r="O28" s="46" t="s">
        <v>13</v>
      </c>
      <c r="Q28" s="97" t="s">
        <v>62</v>
      </c>
      <c r="R28" s="96">
        <v>21</v>
      </c>
      <c r="S28" s="97">
        <v>12.4</v>
      </c>
      <c r="T28" s="97">
        <v>9</v>
      </c>
      <c r="U28" s="97">
        <v>7.9</v>
      </c>
      <c r="V28" s="97">
        <v>8.1999999999999993</v>
      </c>
      <c r="W28" s="97">
        <v>8.6</v>
      </c>
      <c r="X28" s="100">
        <f t="shared" si="2"/>
        <v>8.4249999999999989</v>
      </c>
      <c r="Y28" s="100">
        <f t="shared" si="4"/>
        <v>104.46999999999998</v>
      </c>
      <c r="Z28" s="97"/>
    </row>
    <row r="29" spans="1:26" x14ac:dyDescent="0.35">
      <c r="A29" s="30">
        <v>0</v>
      </c>
      <c r="B29" s="40"/>
      <c r="C29" s="30"/>
      <c r="D29" s="30"/>
      <c r="E29" s="30"/>
      <c r="F29" s="30">
        <v>12</v>
      </c>
      <c r="G29" s="30" t="s">
        <v>20</v>
      </c>
      <c r="H29" s="30"/>
      <c r="I29" s="30"/>
      <c r="J29" s="30" t="s">
        <v>71</v>
      </c>
      <c r="K29" s="46" t="s">
        <v>98</v>
      </c>
      <c r="L29" s="46">
        <f>SUMIFS($A$11:$A$401,$B$11:$B$401,"CH",$F$11:$F$401,"27")</f>
        <v>0</v>
      </c>
      <c r="M29" s="46" t="s">
        <v>6</v>
      </c>
      <c r="N29" s="46">
        <f>SUMIFS($A$11:$A$401,$B$11:$B$401,"RT",$F$11:$F$401,"27")</f>
        <v>0</v>
      </c>
      <c r="O29" s="46" t="s">
        <v>13</v>
      </c>
      <c r="Q29" s="97" t="s">
        <v>57</v>
      </c>
      <c r="R29" s="96">
        <v>22</v>
      </c>
      <c r="S29" s="97">
        <v>49</v>
      </c>
      <c r="T29" s="97">
        <v>9</v>
      </c>
      <c r="U29" s="97">
        <v>4</v>
      </c>
      <c r="V29" s="97">
        <v>7</v>
      </c>
      <c r="W29" s="97">
        <v>8.1999999999999993</v>
      </c>
      <c r="X29" s="100">
        <f t="shared" si="2"/>
        <v>7.05</v>
      </c>
      <c r="Y29" s="100">
        <f t="shared" si="4"/>
        <v>345.45</v>
      </c>
      <c r="Z29" s="97" t="s">
        <v>177</v>
      </c>
    </row>
    <row r="30" spans="1:26" x14ac:dyDescent="0.35">
      <c r="A30" s="30">
        <v>0</v>
      </c>
      <c r="B30" s="40"/>
      <c r="C30" s="30"/>
      <c r="D30" s="30"/>
      <c r="E30" s="30"/>
      <c r="F30" s="30">
        <v>13</v>
      </c>
      <c r="G30" s="30" t="s">
        <v>57</v>
      </c>
      <c r="H30" s="30"/>
      <c r="I30" s="30"/>
      <c r="J30" s="30" t="s">
        <v>71</v>
      </c>
      <c r="K30" s="46" t="s">
        <v>99</v>
      </c>
      <c r="L30" s="46">
        <f>SUMIFS($A$11:$A$401,$B$11:$B$401,"CH",$F$11:$F$401,"28")</f>
        <v>0</v>
      </c>
      <c r="M30" s="46" t="s">
        <v>6</v>
      </c>
      <c r="N30" s="46">
        <f>SUMIFS($A$11:$A$401,$B$11:$B$401,"RT",$F$11:$F$401,"28")</f>
        <v>0</v>
      </c>
      <c r="O30" s="46" t="s">
        <v>13</v>
      </c>
      <c r="R30" t="s">
        <v>199</v>
      </c>
      <c r="S30">
        <f>SUM(S4:S13,S18:S29)</f>
        <v>1597.8000000000002</v>
      </c>
      <c r="T30" t="s">
        <v>273</v>
      </c>
      <c r="W30" s="101" t="s">
        <v>273</v>
      </c>
      <c r="X30" s="98">
        <f>AVERAGE(T18:W29,T4:W13)</f>
        <v>20.450000000000006</v>
      </c>
      <c r="Y30" s="98">
        <f>SUM(Y26:Y29,Y18:Y24,Y4:Y13)</f>
        <v>56453.3</v>
      </c>
      <c r="Z30" t="s">
        <v>260</v>
      </c>
    </row>
    <row r="31" spans="1:26" x14ac:dyDescent="0.35">
      <c r="A31" s="30">
        <v>0</v>
      </c>
      <c r="B31" s="40"/>
      <c r="C31" s="30"/>
      <c r="D31" s="30"/>
      <c r="E31" s="30"/>
      <c r="F31" s="30">
        <v>14</v>
      </c>
      <c r="G31" s="30" t="s">
        <v>20</v>
      </c>
      <c r="H31" s="30"/>
      <c r="I31" s="30"/>
      <c r="J31" s="30" t="s">
        <v>71</v>
      </c>
      <c r="K31" s="46" t="s">
        <v>100</v>
      </c>
      <c r="L31" s="46">
        <f>SUMIFS($A$11:$A$401,$B$11:$B$401,"CH",$F$11:$F$401,"29")</f>
        <v>0</v>
      </c>
      <c r="M31" s="46" t="s">
        <v>6</v>
      </c>
      <c r="N31" s="46">
        <f>SUMIFS($A$11:$A$401,$B$11:$B$401,"RT",$F$11:$F$401,"29")</f>
        <v>0</v>
      </c>
      <c r="O31" s="46" t="s">
        <v>13</v>
      </c>
      <c r="S31" s="98">
        <f>S30*0.3048</f>
        <v>487.0094400000001</v>
      </c>
      <c r="T31" t="s">
        <v>274</v>
      </c>
      <c r="W31" s="101" t="s">
        <v>274</v>
      </c>
      <c r="X31" s="98">
        <f>X30*0.3048</f>
        <v>6.2331600000000025</v>
      </c>
      <c r="Y31" s="98">
        <f>Y30*0.092903</f>
        <v>5244.6809299000006</v>
      </c>
      <c r="Z31" t="s">
        <v>261</v>
      </c>
    </row>
    <row r="32" spans="1:26" x14ac:dyDescent="0.35">
      <c r="A32" s="30">
        <v>0</v>
      </c>
      <c r="B32" s="40"/>
      <c r="C32" s="30"/>
      <c r="D32" s="30"/>
      <c r="E32" s="30"/>
      <c r="F32" s="30">
        <v>15</v>
      </c>
      <c r="G32" s="30" t="s">
        <v>57</v>
      </c>
      <c r="H32" s="30"/>
      <c r="I32" s="87"/>
      <c r="J32" s="30" t="s">
        <v>71</v>
      </c>
      <c r="K32" s="46" t="s">
        <v>101</v>
      </c>
      <c r="L32" s="46">
        <f>SUMIFS($A$11:$A$401,$B$11:$B$401,"CH",$F$11:$F$401,"30")</f>
        <v>0</v>
      </c>
      <c r="M32" s="46" t="s">
        <v>6</v>
      </c>
      <c r="N32" s="46">
        <f>SUMIFS($A$11:$A$401,$B$11:$B$401,"RT",$F$11:$F$401,"30")</f>
        <v>0</v>
      </c>
      <c r="O32" s="46" t="s">
        <v>13</v>
      </c>
    </row>
    <row r="33" spans="1:15" x14ac:dyDescent="0.35">
      <c r="A33" s="77">
        <v>0</v>
      </c>
      <c r="B33" s="77"/>
      <c r="C33" s="77"/>
      <c r="D33" s="77"/>
      <c r="E33" s="77"/>
      <c r="F33" s="77">
        <v>16</v>
      </c>
      <c r="G33" s="77" t="s">
        <v>35</v>
      </c>
      <c r="H33" s="77"/>
      <c r="I33" s="77"/>
      <c r="J33" s="77" t="s">
        <v>71</v>
      </c>
      <c r="K33" s="46" t="s">
        <v>102</v>
      </c>
      <c r="L33" s="46">
        <f>SUMIFS($A$11:$A$401,$B$11:$B$401,"CH",$F$11:$F$401,"31")</f>
        <v>0</v>
      </c>
      <c r="M33" s="46" t="s">
        <v>6</v>
      </c>
      <c r="N33" s="46">
        <f>SUMIFS($A$11:$A$401,$B$11:$B$401,"RT",$F$11:$F$401,"31")</f>
        <v>0</v>
      </c>
      <c r="O33" s="46" t="s">
        <v>13</v>
      </c>
    </row>
    <row r="34" spans="1:15" x14ac:dyDescent="0.35">
      <c r="A34" s="77">
        <v>0</v>
      </c>
      <c r="B34" s="77"/>
      <c r="C34" s="77"/>
      <c r="D34" s="77"/>
      <c r="E34" s="77"/>
      <c r="F34" s="77">
        <v>17</v>
      </c>
      <c r="G34" s="77" t="s">
        <v>57</v>
      </c>
      <c r="H34" s="77"/>
      <c r="I34" s="77"/>
      <c r="J34" s="77" t="s">
        <v>71</v>
      </c>
      <c r="K34" s="46" t="s">
        <v>103</v>
      </c>
      <c r="L34" s="46">
        <f>SUMIFS($A$11:$A$401,$B$11:$B$401,"CH",$F$11:$F$401,"32")</f>
        <v>0</v>
      </c>
      <c r="M34" s="46" t="s">
        <v>6</v>
      </c>
      <c r="N34" s="46">
        <f>SUMIFS($A$11:$A$401,$B$11:$B$401,"RT",$F$11:$F$401,"32")</f>
        <v>0</v>
      </c>
      <c r="O34" s="46" t="s">
        <v>13</v>
      </c>
    </row>
    <row r="35" spans="1:15" x14ac:dyDescent="0.35">
      <c r="A35" s="77">
        <v>0</v>
      </c>
      <c r="B35" s="77"/>
      <c r="C35" s="77"/>
      <c r="D35" s="77"/>
      <c r="E35" s="77"/>
      <c r="F35" s="77">
        <v>18</v>
      </c>
      <c r="G35" s="77" t="s">
        <v>150</v>
      </c>
      <c r="H35" s="77"/>
      <c r="I35" s="77"/>
      <c r="J35" s="77" t="s">
        <v>71</v>
      </c>
      <c r="K35" s="46" t="s">
        <v>104</v>
      </c>
      <c r="L35" s="46">
        <f>SUMIFS($A$11:$A$401,$B$11:$B$401,"CH",$F$11:$F$401,"33")</f>
        <v>0</v>
      </c>
      <c r="M35" s="46" t="s">
        <v>6</v>
      </c>
      <c r="N35" s="46">
        <f>SUMIFS($A$11:$A$401,$B$11:$B$401,"RT",$F$11:$F$401,"33")</f>
        <v>0</v>
      </c>
      <c r="O35" s="46" t="s">
        <v>13</v>
      </c>
    </row>
    <row r="36" spans="1:15" x14ac:dyDescent="0.35">
      <c r="A36" s="77">
        <v>1</v>
      </c>
      <c r="B36" s="77" t="s">
        <v>27</v>
      </c>
      <c r="C36" s="77">
        <v>100</v>
      </c>
      <c r="D36" s="77" t="s">
        <v>59</v>
      </c>
      <c r="E36" s="77">
        <v>3</v>
      </c>
      <c r="F36" s="77">
        <v>19</v>
      </c>
      <c r="G36" s="77" t="s">
        <v>62</v>
      </c>
      <c r="H36" s="77" t="s">
        <v>27</v>
      </c>
      <c r="I36" s="77"/>
      <c r="J36" s="77" t="s">
        <v>62</v>
      </c>
      <c r="K36" s="46" t="s">
        <v>105</v>
      </c>
      <c r="L36" s="46">
        <f>SUMIFS($A$11:$A$401,$B$11:$B$401,"CH",$F$11:$F$401,"34")</f>
        <v>0</v>
      </c>
      <c r="M36" s="46" t="s">
        <v>6</v>
      </c>
      <c r="N36" s="46">
        <f>SUMIFS($A$11:$A$401,$B$11:$B$401,"RT",$F$11:$F$401,"34")</f>
        <v>0</v>
      </c>
      <c r="O36" s="46" t="s">
        <v>13</v>
      </c>
    </row>
    <row r="37" spans="1:15" x14ac:dyDescent="0.35">
      <c r="A37" s="77">
        <v>2</v>
      </c>
      <c r="B37" s="77" t="s">
        <v>13</v>
      </c>
      <c r="C37" s="77">
        <v>70</v>
      </c>
      <c r="D37" s="77" t="s">
        <v>59</v>
      </c>
      <c r="E37" s="77">
        <v>3</v>
      </c>
      <c r="F37" s="77">
        <v>19</v>
      </c>
      <c r="G37" s="77" t="s">
        <v>62</v>
      </c>
      <c r="H37" s="77" t="s">
        <v>27</v>
      </c>
      <c r="I37" s="77"/>
      <c r="J37" s="77" t="s">
        <v>139</v>
      </c>
      <c r="K37" s="46" t="s">
        <v>106</v>
      </c>
      <c r="L37" s="46">
        <f>SUMIFS($A$11:$A$401,$B$11:$B$401,"CH",$F$11:$F$401,"35")</f>
        <v>0</v>
      </c>
      <c r="M37" s="46" t="s">
        <v>6</v>
      </c>
      <c r="N37" s="46">
        <f>SUMIFS($A$11:$A$401,$B$11:$B$401,"RT",$F$11:$F$401,"35")</f>
        <v>0</v>
      </c>
      <c r="O37" s="46" t="s">
        <v>13</v>
      </c>
    </row>
    <row r="38" spans="1:15" x14ac:dyDescent="0.35">
      <c r="A38" s="77">
        <v>1</v>
      </c>
      <c r="B38" s="77" t="s">
        <v>13</v>
      </c>
      <c r="C38" s="77">
        <v>40</v>
      </c>
      <c r="D38" s="77" t="s">
        <v>59</v>
      </c>
      <c r="E38" s="77">
        <v>3</v>
      </c>
      <c r="F38" s="77">
        <v>19</v>
      </c>
      <c r="G38" s="77" t="s">
        <v>62</v>
      </c>
      <c r="H38" s="77" t="s">
        <v>27</v>
      </c>
      <c r="I38" s="77"/>
      <c r="J38" s="77" t="s">
        <v>151</v>
      </c>
      <c r="K38" s="46" t="s">
        <v>107</v>
      </c>
      <c r="L38" s="46">
        <f>SUMIFS($A$11:$A$401,$B$11:$B$401,"CH",$F$11:$F$401,"36")</f>
        <v>0</v>
      </c>
      <c r="M38" s="46" t="s">
        <v>6</v>
      </c>
      <c r="N38" s="46">
        <f>SUMIFS($A$11:$A$401,$B$11:$B$401,"RT",$F$11:$F$401,"36")</f>
        <v>0</v>
      </c>
      <c r="O38" s="46" t="s">
        <v>13</v>
      </c>
    </row>
    <row r="39" spans="1:15" x14ac:dyDescent="0.35">
      <c r="A39" s="77">
        <v>0</v>
      </c>
      <c r="B39" s="77"/>
      <c r="C39" s="77"/>
      <c r="D39" s="77"/>
      <c r="E39" s="77"/>
      <c r="F39" s="77">
        <v>20</v>
      </c>
      <c r="G39" s="77" t="s">
        <v>57</v>
      </c>
      <c r="H39" s="77"/>
      <c r="I39" s="77"/>
      <c r="J39" s="77" t="s">
        <v>71</v>
      </c>
      <c r="K39" s="46" t="s">
        <v>108</v>
      </c>
      <c r="L39" s="46">
        <f>SUMIFS($A$11:$A$401,$B$11:$B$401,"CH",$F$11:$F$401,"37")</f>
        <v>0</v>
      </c>
      <c r="M39" s="46" t="s">
        <v>6</v>
      </c>
      <c r="N39" s="46">
        <f>SUMIFS($A$11:$A$401,$B$11:$B$401,"RT",$F$11:$F$401,"37")</f>
        <v>0</v>
      </c>
      <c r="O39" s="46" t="s">
        <v>13</v>
      </c>
    </row>
    <row r="40" spans="1:15" x14ac:dyDescent="0.35">
      <c r="A40" s="77">
        <v>0</v>
      </c>
      <c r="B40" s="77"/>
      <c r="C40" s="77"/>
      <c r="D40" s="77"/>
      <c r="E40" s="77"/>
      <c r="F40" s="77">
        <v>21</v>
      </c>
      <c r="G40" s="77" t="s">
        <v>62</v>
      </c>
      <c r="H40" s="77"/>
      <c r="I40" s="77"/>
      <c r="J40" s="77" t="s">
        <v>71</v>
      </c>
      <c r="K40" s="46" t="s">
        <v>109</v>
      </c>
      <c r="L40" s="46">
        <f>SUMIFS($A$11:$A$401,$B$11:$B$401,"CH",$F$11:$F$401,"38")</f>
        <v>0</v>
      </c>
      <c r="M40" s="46" t="s">
        <v>6</v>
      </c>
      <c r="N40" s="46">
        <f>SUMIFS($A$11:$A$401,$B$11:$B$401,"RT",$F$11:$F$401,"38")</f>
        <v>0</v>
      </c>
      <c r="O40" s="46" t="s">
        <v>13</v>
      </c>
    </row>
    <row r="41" spans="1:15" x14ac:dyDescent="0.35">
      <c r="A41" s="77">
        <v>1</v>
      </c>
      <c r="B41" s="77" t="s">
        <v>18</v>
      </c>
      <c r="C41" s="77">
        <v>175</v>
      </c>
      <c r="D41" s="77" t="s">
        <v>59</v>
      </c>
      <c r="E41" s="77">
        <v>3</v>
      </c>
      <c r="F41" s="77">
        <v>22</v>
      </c>
      <c r="G41" s="77" t="s">
        <v>152</v>
      </c>
      <c r="H41" s="77" t="s">
        <v>153</v>
      </c>
      <c r="I41" s="77" t="s">
        <v>154</v>
      </c>
      <c r="J41" s="77" t="s">
        <v>155</v>
      </c>
      <c r="K41" s="46" t="s">
        <v>110</v>
      </c>
      <c r="L41" s="46">
        <f>SUMIFS($A$11:$A$401,$B$11:$B$401,"CH",$F$11:$F$401,"39")</f>
        <v>0</v>
      </c>
      <c r="M41" s="46" t="s">
        <v>6</v>
      </c>
      <c r="N41" s="46">
        <f>SUMIFS($A$11:$A$401,$B$11:$B$401,"RT",$F$11:$F$401,"39")</f>
        <v>0</v>
      </c>
      <c r="O41" s="46" t="s">
        <v>13</v>
      </c>
    </row>
    <row r="42" spans="1:15" x14ac:dyDescent="0.35">
      <c r="K42" s="46" t="s">
        <v>111</v>
      </c>
      <c r="L42" s="46">
        <f>SUMIFS($A$11:$A$401,$B$11:$B$401,"CH",$F$11:$F$401,"40")</f>
        <v>0</v>
      </c>
      <c r="M42" s="46" t="s">
        <v>6</v>
      </c>
      <c r="N42" s="46">
        <f>SUMIFS($A$11:$A$401,$B$11:$B$401,"RT",$F$11:$F$401,"40")</f>
        <v>0</v>
      </c>
      <c r="O42" s="46" t="s">
        <v>13</v>
      </c>
    </row>
    <row r="43" spans="1:15" x14ac:dyDescent="0.35">
      <c r="K43" s="46" t="s">
        <v>112</v>
      </c>
      <c r="L43" s="46">
        <f>SUMIFS($A$11:$A$401,$B$11:$B$401,"CH",$F$11:$F$401,"41")</f>
        <v>0</v>
      </c>
      <c r="M43" s="46" t="s">
        <v>6</v>
      </c>
      <c r="N43" s="46">
        <f>SUMIFS($A$11:$A$401,$B$11:$B$401,"RT",$F$11:$F$401,"41")</f>
        <v>0</v>
      </c>
      <c r="O43" s="46" t="s">
        <v>13</v>
      </c>
    </row>
    <row r="44" spans="1:15" x14ac:dyDescent="0.35">
      <c r="K44" s="46"/>
      <c r="L44" s="46">
        <f>SUMIFS($A$11:$A$401,$B$11:$B$401,"CH",$F$11:$F$401,"")</f>
        <v>0</v>
      </c>
      <c r="M44" s="46" t="s">
        <v>6</v>
      </c>
      <c r="N44" s="46">
        <f>SUMIFS($A$11:$A$401,$B$11:$B$401,"RT",$F$11:$F$401,"")</f>
        <v>0</v>
      </c>
      <c r="O44" s="46" t="s">
        <v>13</v>
      </c>
    </row>
    <row r="45" spans="1:15" x14ac:dyDescent="0.35">
      <c r="K45" s="46" t="s">
        <v>113</v>
      </c>
      <c r="L45" s="46">
        <f>SUM(L3:L44)</f>
        <v>1</v>
      </c>
      <c r="M45" s="46" t="s">
        <v>6</v>
      </c>
      <c r="N45" s="46">
        <f>SUM(N3:N44)</f>
        <v>9</v>
      </c>
      <c r="O45" s="46" t="s">
        <v>13</v>
      </c>
    </row>
    <row r="46" spans="1:15" x14ac:dyDescent="0.35">
      <c r="K46" s="46"/>
      <c r="L46" s="46"/>
      <c r="M46" s="46"/>
      <c r="N46" s="46"/>
    </row>
    <row r="47" spans="1:15" x14ac:dyDescent="0.35">
      <c r="K47" s="46"/>
      <c r="N47" s="46"/>
    </row>
    <row r="48" spans="1:15" x14ac:dyDescent="0.35">
      <c r="K48" s="46"/>
      <c r="N48" s="46"/>
    </row>
    <row r="49" spans="11:14" x14ac:dyDescent="0.35">
      <c r="K49" s="46"/>
      <c r="N49" s="46"/>
    </row>
    <row r="50" spans="11:14" x14ac:dyDescent="0.35">
      <c r="K50" s="46"/>
      <c r="N50" s="46"/>
    </row>
    <row r="51" spans="11:14" x14ac:dyDescent="0.35">
      <c r="K51" s="46"/>
      <c r="N51" s="46"/>
    </row>
    <row r="52" spans="11:14" x14ac:dyDescent="0.35">
      <c r="K52" s="46"/>
      <c r="N52" s="46"/>
    </row>
    <row r="53" spans="11:14" x14ac:dyDescent="0.35">
      <c r="K53" s="46"/>
      <c r="N53" s="46"/>
    </row>
    <row r="54" spans="11:14" x14ac:dyDescent="0.35">
      <c r="K54" s="46"/>
      <c r="N54" s="46"/>
    </row>
    <row r="55" spans="11:14" x14ac:dyDescent="0.35">
      <c r="K55" s="46"/>
      <c r="N55" s="46"/>
    </row>
    <row r="56" spans="11:14" x14ac:dyDescent="0.35">
      <c r="K56" s="46"/>
      <c r="N56" s="46"/>
    </row>
    <row r="57" spans="11:14" x14ac:dyDescent="0.35">
      <c r="K57" s="46"/>
      <c r="N57" s="46"/>
    </row>
    <row r="58" spans="11:14" x14ac:dyDescent="0.35">
      <c r="K58" s="46"/>
      <c r="N58" s="46"/>
    </row>
    <row r="59" spans="11:14" x14ac:dyDescent="0.35">
      <c r="K59" s="46"/>
      <c r="N59" s="46"/>
    </row>
    <row r="60" spans="11:14" x14ac:dyDescent="0.35">
      <c r="K60" s="46"/>
      <c r="N60" s="46"/>
    </row>
    <row r="61" spans="11:14" x14ac:dyDescent="0.35">
      <c r="K61" s="46"/>
      <c r="N61" s="46"/>
    </row>
    <row r="62" spans="11:14" x14ac:dyDescent="0.35">
      <c r="K62" s="46"/>
      <c r="N62" s="46"/>
    </row>
    <row r="63" spans="11:14" x14ac:dyDescent="0.35">
      <c r="K63" s="46"/>
      <c r="N63" s="46"/>
    </row>
    <row r="64" spans="11:14" x14ac:dyDescent="0.35">
      <c r="K64" s="46"/>
      <c r="N64" s="46"/>
    </row>
    <row r="65" spans="11:14" x14ac:dyDescent="0.35">
      <c r="K65" s="46"/>
      <c r="N65" s="46"/>
    </row>
    <row r="66" spans="11:14" x14ac:dyDescent="0.35">
      <c r="K66" s="46"/>
      <c r="N66" s="46"/>
    </row>
    <row r="67" spans="11:14" x14ac:dyDescent="0.35">
      <c r="K67" s="46"/>
      <c r="N67" s="46"/>
    </row>
    <row r="68" spans="11:14" x14ac:dyDescent="0.35">
      <c r="K68" s="46"/>
      <c r="N68" s="46"/>
    </row>
    <row r="69" spans="11:14" x14ac:dyDescent="0.35">
      <c r="K69" s="46"/>
      <c r="N69" s="46"/>
    </row>
    <row r="70" spans="11:14" x14ac:dyDescent="0.35">
      <c r="K70" s="46"/>
      <c r="N70" s="46"/>
    </row>
    <row r="71" spans="11:14" x14ac:dyDescent="0.35">
      <c r="K71" s="46"/>
      <c r="N71" s="46"/>
    </row>
    <row r="72" spans="11:14" x14ac:dyDescent="0.35">
      <c r="K72" s="46"/>
      <c r="N72" s="46"/>
    </row>
    <row r="73" spans="11:14" x14ac:dyDescent="0.35">
      <c r="K73" s="46"/>
      <c r="N73" s="46"/>
    </row>
    <row r="74" spans="11:14" x14ac:dyDescent="0.35">
      <c r="K74" s="46"/>
      <c r="N74" s="46"/>
    </row>
    <row r="75" spans="11:14" x14ac:dyDescent="0.35">
      <c r="K75" s="46"/>
      <c r="N75" s="46"/>
    </row>
    <row r="76" spans="11:14" x14ac:dyDescent="0.35">
      <c r="K76" s="46"/>
      <c r="N76" s="46"/>
    </row>
    <row r="77" spans="11:14" x14ac:dyDescent="0.35">
      <c r="K77" s="46"/>
      <c r="N77" s="46"/>
    </row>
    <row r="78" spans="11:14" x14ac:dyDescent="0.35">
      <c r="K78" s="46"/>
      <c r="N78" s="46"/>
    </row>
    <row r="79" spans="11:14" x14ac:dyDescent="0.35">
      <c r="K79" s="46"/>
      <c r="N79" s="46"/>
    </row>
    <row r="80" spans="11:14" x14ac:dyDescent="0.35">
      <c r="K80" s="46"/>
      <c r="N80" s="46"/>
    </row>
    <row r="81" spans="11:14" x14ac:dyDescent="0.35">
      <c r="K81" s="46"/>
      <c r="N81" s="46"/>
    </row>
    <row r="82" spans="11:14" x14ac:dyDescent="0.35">
      <c r="K82" s="46"/>
      <c r="N82" s="46"/>
    </row>
    <row r="83" spans="11:14" x14ac:dyDescent="0.35">
      <c r="K83" s="46"/>
      <c r="N83" s="46"/>
    </row>
    <row r="84" spans="11:14" x14ac:dyDescent="0.35">
      <c r="K84" s="46"/>
      <c r="N84" s="46"/>
    </row>
    <row r="85" spans="11:14" x14ac:dyDescent="0.35">
      <c r="K85" s="46"/>
      <c r="N85" s="46"/>
    </row>
    <row r="86" spans="11:14" x14ac:dyDescent="0.35">
      <c r="K86" s="46"/>
      <c r="N86" s="46"/>
    </row>
    <row r="87" spans="11:14" x14ac:dyDescent="0.35">
      <c r="K87" s="46"/>
      <c r="N87" s="46"/>
    </row>
    <row r="88" spans="11:14" x14ac:dyDescent="0.35">
      <c r="K88" s="46"/>
      <c r="N88" s="46"/>
    </row>
    <row r="89" spans="11:14" x14ac:dyDescent="0.35">
      <c r="K89" s="47"/>
      <c r="N89" s="4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E7582-3C96-4399-A763-15D90F046F1E}">
  <dimension ref="A1:Z159"/>
  <sheetViews>
    <sheetView zoomScaleNormal="100" workbookViewId="0"/>
  </sheetViews>
  <sheetFormatPr defaultRowHeight="14.5" x14ac:dyDescent="0.35"/>
  <cols>
    <col min="1" max="1" width="11" customWidth="1"/>
    <col min="2" max="2" width="9.7265625" customWidth="1"/>
    <col min="3" max="3" width="11.6328125" customWidth="1"/>
    <col min="7" max="7" width="16" customWidth="1"/>
    <col min="9" max="9" width="10.6328125" customWidth="1"/>
    <col min="10" max="10" width="10.90625" customWidth="1"/>
    <col min="11" max="11" width="8.08984375" customWidth="1"/>
    <col min="12" max="12" width="8.6328125" customWidth="1"/>
    <col min="13" max="15" width="8.453125" customWidth="1"/>
    <col min="23" max="24" width="8.7265625" style="98"/>
  </cols>
  <sheetData>
    <row r="1" spans="1:26" ht="15.5" thickTop="1" thickBot="1" x14ac:dyDescent="0.4">
      <c r="A1" s="1"/>
      <c r="B1" s="2"/>
      <c r="C1" s="2"/>
      <c r="D1" s="3" t="s">
        <v>165</v>
      </c>
      <c r="E1" s="2"/>
      <c r="F1" s="2"/>
      <c r="G1" s="2"/>
      <c r="H1" s="4"/>
      <c r="I1" s="37" t="s">
        <v>69</v>
      </c>
      <c r="J1" s="45" t="s">
        <v>65</v>
      </c>
      <c r="K1" s="48" t="s">
        <v>114</v>
      </c>
      <c r="L1" s="34"/>
      <c r="M1" s="35"/>
      <c r="N1" s="35"/>
      <c r="Q1" s="96" t="s">
        <v>233</v>
      </c>
      <c r="R1" s="96"/>
      <c r="S1" s="96"/>
      <c r="T1" s="96" t="s">
        <v>257</v>
      </c>
      <c r="U1" s="97"/>
      <c r="V1" s="97"/>
      <c r="W1" s="100"/>
      <c r="X1" s="100" t="s">
        <v>253</v>
      </c>
      <c r="Y1" s="97"/>
      <c r="Z1" s="97"/>
    </row>
    <row r="2" spans="1:26" ht="15.5" thickTop="1" thickBot="1" x14ac:dyDescent="0.4">
      <c r="A2" s="37" t="s">
        <v>52</v>
      </c>
      <c r="B2" s="2" t="s">
        <v>215</v>
      </c>
      <c r="C2" s="2"/>
      <c r="D2" s="3"/>
      <c r="E2" s="2"/>
      <c r="F2" s="2"/>
      <c r="G2" s="6"/>
      <c r="H2" s="32"/>
      <c r="I2" s="37" t="s">
        <v>60</v>
      </c>
      <c r="J2" s="5" t="s">
        <v>61</v>
      </c>
      <c r="K2" s="34" t="s">
        <v>46</v>
      </c>
      <c r="L2" s="34" t="s">
        <v>41</v>
      </c>
      <c r="M2" s="34" t="s">
        <v>42</v>
      </c>
      <c r="N2" s="34" t="s">
        <v>41</v>
      </c>
      <c r="O2" s="34" t="s">
        <v>42</v>
      </c>
      <c r="Q2" s="96" t="s">
        <v>254</v>
      </c>
      <c r="R2" s="96"/>
      <c r="S2" s="96" t="s">
        <v>275</v>
      </c>
      <c r="T2" s="96"/>
      <c r="U2" s="97"/>
      <c r="V2" s="97"/>
      <c r="W2" s="100"/>
      <c r="X2" s="100" t="s">
        <v>255</v>
      </c>
      <c r="Y2" s="97"/>
      <c r="Z2" s="97"/>
    </row>
    <row r="3" spans="1:26" ht="15.5" thickTop="1" thickBot="1" x14ac:dyDescent="0.4">
      <c r="A3" s="37" t="s">
        <v>0</v>
      </c>
      <c r="B3" s="33" t="s">
        <v>178</v>
      </c>
      <c r="C3" s="7" t="s">
        <v>1</v>
      </c>
      <c r="D3" s="8"/>
      <c r="E3" s="7" t="s">
        <v>2</v>
      </c>
      <c r="F3" s="9"/>
      <c r="G3" s="10" t="s">
        <v>3</v>
      </c>
      <c r="H3" s="8"/>
      <c r="I3" s="35" t="s">
        <v>70</v>
      </c>
      <c r="J3" s="9">
        <v>1</v>
      </c>
      <c r="K3" s="46" t="s">
        <v>72</v>
      </c>
      <c r="L3" s="46">
        <f>SUMIFS($A$11:$A$401,$B$11:$B$401,"CH",$F$11:$F$401,"1")</f>
        <v>0</v>
      </c>
      <c r="M3" s="46" t="s">
        <v>6</v>
      </c>
      <c r="N3" s="46">
        <f>SUMIFS($A$11:$A$401,$B$11:$B$401,"RT",$F$11:$F$401,"1")</f>
        <v>11</v>
      </c>
      <c r="O3" s="46" t="s">
        <v>13</v>
      </c>
      <c r="Q3" s="96" t="s">
        <v>47</v>
      </c>
      <c r="R3" s="96" t="s">
        <v>46</v>
      </c>
      <c r="S3" s="96" t="s">
        <v>199</v>
      </c>
      <c r="T3" s="96" t="s">
        <v>200</v>
      </c>
      <c r="U3" s="97" t="s">
        <v>200</v>
      </c>
      <c r="V3" s="97" t="s">
        <v>200</v>
      </c>
      <c r="W3" s="100" t="s">
        <v>264</v>
      </c>
      <c r="X3" s="100" t="s">
        <v>266</v>
      </c>
      <c r="Y3" s="97"/>
      <c r="Z3" s="97" t="s">
        <v>201</v>
      </c>
    </row>
    <row r="4" spans="1:26" ht="15" thickTop="1" x14ac:dyDescent="0.35">
      <c r="A4" s="78" t="s">
        <v>4</v>
      </c>
      <c r="B4" s="84" t="s">
        <v>242</v>
      </c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5" t="s">
        <v>10</v>
      </c>
      <c r="I4" s="35" t="s">
        <v>59</v>
      </c>
      <c r="J4" s="9">
        <v>2</v>
      </c>
      <c r="K4" s="46" t="s">
        <v>73</v>
      </c>
      <c r="L4" s="46">
        <f>SUMIFS($A$11:$A$401,$B$11:$B$401,"CH",$F$11:$F$401,"2")</f>
        <v>22</v>
      </c>
      <c r="M4" s="46" t="s">
        <v>6</v>
      </c>
      <c r="N4" s="46">
        <f>SUMIFS($A$11:$A$401,$B$11:$B$401,"RT",$F$11:$F$401,"2")</f>
        <v>160</v>
      </c>
      <c r="O4" s="46" t="s">
        <v>13</v>
      </c>
      <c r="Q4" s="96" t="s">
        <v>20</v>
      </c>
      <c r="R4" s="96">
        <v>1</v>
      </c>
      <c r="S4" s="96">
        <v>12</v>
      </c>
      <c r="T4" s="96">
        <v>14.6</v>
      </c>
      <c r="U4" s="97">
        <v>14.7</v>
      </c>
      <c r="V4" s="97">
        <v>14</v>
      </c>
      <c r="W4" s="100">
        <f>AVERAGE(T4:V4)</f>
        <v>14.433333333333332</v>
      </c>
      <c r="X4" s="100">
        <f>W4*S4</f>
        <v>173.2</v>
      </c>
      <c r="Y4" s="97"/>
      <c r="Z4" s="97"/>
    </row>
    <row r="5" spans="1:26" x14ac:dyDescent="0.35">
      <c r="A5" s="82" t="s">
        <v>11</v>
      </c>
      <c r="B5" s="83">
        <v>44433</v>
      </c>
      <c r="C5" s="11" t="s">
        <v>12</v>
      </c>
      <c r="D5" s="12" t="s">
        <v>13</v>
      </c>
      <c r="E5" s="13" t="s">
        <v>14</v>
      </c>
      <c r="F5" s="12" t="s">
        <v>15</v>
      </c>
      <c r="G5" s="14" t="s">
        <v>67</v>
      </c>
      <c r="H5" s="15" t="s">
        <v>16</v>
      </c>
      <c r="I5" s="35"/>
      <c r="J5" s="9"/>
      <c r="K5" s="46" t="s">
        <v>74</v>
      </c>
      <c r="L5" s="46">
        <f>SUMIFS($A$11:$A$401,$B$11:$B$401,"CH",$F$11:$F$401,"3")</f>
        <v>2</v>
      </c>
      <c r="M5" s="46" t="s">
        <v>6</v>
      </c>
      <c r="N5" s="46">
        <f>SUMIFS($A$11:$A$401,$B$11:$B$401,"RT",$F$11:$F$401,"3")</f>
        <v>29</v>
      </c>
      <c r="O5" s="46" t="s">
        <v>13</v>
      </c>
      <c r="Q5" s="96" t="s">
        <v>62</v>
      </c>
      <c r="R5" s="96">
        <v>2</v>
      </c>
      <c r="S5" s="96">
        <v>159</v>
      </c>
      <c r="T5" s="96">
        <v>10</v>
      </c>
      <c r="U5" s="97">
        <v>13.4</v>
      </c>
      <c r="V5" s="97">
        <v>16.8</v>
      </c>
      <c r="W5" s="100">
        <f t="shared" ref="W5:W11" si="0">AVERAGE(T5:V5)</f>
        <v>13.4</v>
      </c>
      <c r="X5" s="100">
        <f t="shared" ref="X5:X11" si="1">W5*S5</f>
        <v>2130.6</v>
      </c>
      <c r="Y5" s="97"/>
      <c r="Z5" s="97"/>
    </row>
    <row r="6" spans="1:26" x14ac:dyDescent="0.35">
      <c r="A6" s="79" t="s">
        <v>156</v>
      </c>
      <c r="B6" s="67" t="s">
        <v>191</v>
      </c>
      <c r="C6" s="11" t="s">
        <v>17</v>
      </c>
      <c r="D6" s="12" t="s">
        <v>18</v>
      </c>
      <c r="E6" s="13" t="s">
        <v>19</v>
      </c>
      <c r="F6" s="12" t="s">
        <v>20</v>
      </c>
      <c r="G6" s="14" t="s">
        <v>21</v>
      </c>
      <c r="H6" s="15" t="s">
        <v>22</v>
      </c>
      <c r="I6" s="35"/>
      <c r="J6" s="9"/>
      <c r="K6" s="46" t="s">
        <v>75</v>
      </c>
      <c r="L6" s="46">
        <f>SUMIFS($A$11:$A$401,$B$11:$B$401,"CH",$F$11:$F$401,"4")</f>
        <v>29</v>
      </c>
      <c r="M6" s="46" t="s">
        <v>6</v>
      </c>
      <c r="N6" s="46">
        <f>SUMIFS($A$11:$A$401,$B$11:$B$401,"RT",$F$11:$F$401,"4")</f>
        <v>89</v>
      </c>
      <c r="O6" s="46" t="s">
        <v>13</v>
      </c>
      <c r="Q6" s="96" t="s">
        <v>58</v>
      </c>
      <c r="R6" s="96">
        <v>3</v>
      </c>
      <c r="S6" s="96">
        <v>218</v>
      </c>
      <c r="T6" s="96">
        <v>36</v>
      </c>
      <c r="U6" s="97">
        <v>59</v>
      </c>
      <c r="V6" s="97">
        <v>27</v>
      </c>
      <c r="W6" s="100">
        <f t="shared" si="0"/>
        <v>40.666666666666664</v>
      </c>
      <c r="X6" s="100">
        <f t="shared" si="1"/>
        <v>8865.3333333333321</v>
      </c>
      <c r="Y6" s="97"/>
      <c r="Z6" s="97"/>
    </row>
    <row r="7" spans="1:26" x14ac:dyDescent="0.35">
      <c r="A7" s="80" t="s">
        <v>23</v>
      </c>
      <c r="B7" s="68">
        <v>3</v>
      </c>
      <c r="C7" s="11" t="s">
        <v>24</v>
      </c>
      <c r="D7" s="12" t="s">
        <v>25</v>
      </c>
      <c r="E7" s="11" t="s">
        <v>68</v>
      </c>
      <c r="F7" s="12" t="s">
        <v>62</v>
      </c>
      <c r="G7" s="16" t="s">
        <v>136</v>
      </c>
      <c r="H7" s="70" t="s">
        <v>137</v>
      </c>
      <c r="I7" s="35"/>
      <c r="J7" s="9"/>
      <c r="K7" s="46" t="s">
        <v>76</v>
      </c>
      <c r="L7" s="46">
        <f>SUMIFS($A$11:$A$401,$B$11:$B$401,"CH",$F$11:$F$401,"5")</f>
        <v>0</v>
      </c>
      <c r="M7" s="46" t="s">
        <v>6</v>
      </c>
      <c r="N7" s="46">
        <f>SUMIFS($A$11:$A$401,$B$11:$B$401,"RT",$F$11:$F$401,"5")</f>
        <v>0</v>
      </c>
      <c r="O7" s="46" t="s">
        <v>13</v>
      </c>
      <c r="Q7" s="96" t="s">
        <v>62</v>
      </c>
      <c r="R7" s="96">
        <v>4</v>
      </c>
      <c r="S7" s="96">
        <v>329</v>
      </c>
      <c r="T7" s="96">
        <v>22.4</v>
      </c>
      <c r="U7" s="97">
        <v>23.5</v>
      </c>
      <c r="V7" s="97">
        <v>21</v>
      </c>
      <c r="W7" s="100">
        <f t="shared" si="0"/>
        <v>22.3</v>
      </c>
      <c r="X7" s="100">
        <f t="shared" si="1"/>
        <v>7336.7</v>
      </c>
      <c r="Y7" s="97"/>
      <c r="Z7" s="97"/>
    </row>
    <row r="8" spans="1:26" ht="15" thickBot="1" x14ac:dyDescent="0.4">
      <c r="A8" s="81" t="s">
        <v>26</v>
      </c>
      <c r="B8" s="74">
        <v>1</v>
      </c>
      <c r="C8" s="13" t="s">
        <v>63</v>
      </c>
      <c r="D8" s="12" t="s">
        <v>64</v>
      </c>
      <c r="E8" s="13" t="s">
        <v>66</v>
      </c>
      <c r="F8" s="12" t="s">
        <v>58</v>
      </c>
      <c r="G8" s="16" t="s">
        <v>55</v>
      </c>
      <c r="H8" s="15" t="s">
        <v>53</v>
      </c>
      <c r="I8" s="35"/>
      <c r="J8" s="9"/>
      <c r="K8" s="46" t="s">
        <v>77</v>
      </c>
      <c r="L8" s="46">
        <f>SUMIFS($A$11:$A$401,$B$11:$B$401,"CH",$F$11:$F$401,"6")</f>
        <v>0</v>
      </c>
      <c r="M8" s="46" t="s">
        <v>6</v>
      </c>
      <c r="N8" s="46">
        <f>SUMIFS($A$11:$A$401,$B$11:$B$401,"RT",$F$11:$F$401,"6")</f>
        <v>29</v>
      </c>
      <c r="O8" s="46" t="s">
        <v>13</v>
      </c>
      <c r="Q8" s="96" t="s">
        <v>58</v>
      </c>
      <c r="R8" s="96">
        <v>5</v>
      </c>
      <c r="S8" s="96" t="s">
        <v>256</v>
      </c>
      <c r="T8" s="96"/>
      <c r="U8" s="97"/>
      <c r="V8" s="97"/>
      <c r="W8" s="100"/>
      <c r="X8" s="100"/>
      <c r="Y8" s="97"/>
      <c r="Z8" s="97"/>
    </row>
    <row r="9" spans="1:26" ht="15.5" thickTop="1" thickBot="1" x14ac:dyDescent="0.4">
      <c r="A9" s="38" t="s">
        <v>28</v>
      </c>
      <c r="B9" s="75"/>
      <c r="C9" s="11" t="s">
        <v>29</v>
      </c>
      <c r="D9" s="12" t="s">
        <v>27</v>
      </c>
      <c r="E9" s="18" t="s">
        <v>30</v>
      </c>
      <c r="F9" s="12" t="s">
        <v>31</v>
      </c>
      <c r="G9" s="17" t="s">
        <v>56</v>
      </c>
      <c r="H9" s="71" t="s">
        <v>54</v>
      </c>
      <c r="I9" s="69"/>
      <c r="J9" s="25"/>
      <c r="K9" s="46" t="s">
        <v>78</v>
      </c>
      <c r="L9" s="46">
        <f>SUMIFS($A$11:$A$401,$B$11:$B$401,"CH",$F$11:$F$401,"7")</f>
        <v>1</v>
      </c>
      <c r="M9" s="46" t="s">
        <v>6</v>
      </c>
      <c r="N9" s="46">
        <f>SUMIFS($A$11:$A$401,$B$11:$B$401,"RT",$F$11:$F$401,"7")</f>
        <v>3</v>
      </c>
      <c r="O9" s="46" t="s">
        <v>13</v>
      </c>
      <c r="Q9" s="96" t="s">
        <v>20</v>
      </c>
      <c r="R9" s="96">
        <v>6</v>
      </c>
      <c r="S9" s="96">
        <v>19</v>
      </c>
      <c r="T9" s="96">
        <v>13.5</v>
      </c>
      <c r="U9" s="97">
        <v>12.4</v>
      </c>
      <c r="V9" s="97">
        <v>12.7</v>
      </c>
      <c r="W9" s="100">
        <f t="shared" si="0"/>
        <v>12.866666666666665</v>
      </c>
      <c r="X9" s="100">
        <f t="shared" si="1"/>
        <v>244.46666666666664</v>
      </c>
      <c r="Y9" s="97"/>
      <c r="Z9" s="97"/>
    </row>
    <row r="10" spans="1:26" ht="15" thickTop="1" x14ac:dyDescent="0.35">
      <c r="A10" s="76" t="s">
        <v>243</v>
      </c>
      <c r="B10" s="8"/>
      <c r="C10" s="11" t="s">
        <v>32</v>
      </c>
      <c r="D10" s="12" t="s">
        <v>33</v>
      </c>
      <c r="E10" s="20" t="s">
        <v>34</v>
      </c>
      <c r="F10" s="21" t="s">
        <v>35</v>
      </c>
      <c r="G10" s="19" t="s">
        <v>138</v>
      </c>
      <c r="H10" s="9"/>
      <c r="I10" s="36" t="s">
        <v>36</v>
      </c>
      <c r="J10" s="8"/>
      <c r="K10" s="46" t="s">
        <v>79</v>
      </c>
      <c r="L10" s="46">
        <f>SUMIFS($A$11:$A$401,$B$11:$B$401,"CH",$F$11:$F$401,"8")</f>
        <v>3</v>
      </c>
      <c r="M10" s="46" t="s">
        <v>6</v>
      </c>
      <c r="N10" s="46">
        <f>SUMIFS($A$11:$A$401,$B$11:$B$401,"RT",$F$11:$F$401,"8")</f>
        <v>96</v>
      </c>
      <c r="O10" s="46" t="s">
        <v>13</v>
      </c>
      <c r="Q10" s="97" t="s">
        <v>57</v>
      </c>
      <c r="R10" s="97">
        <v>7</v>
      </c>
      <c r="S10" s="97">
        <v>28.8</v>
      </c>
      <c r="T10" s="97">
        <v>9.1999999999999993</v>
      </c>
      <c r="U10" s="97">
        <v>9</v>
      </c>
      <c r="V10" s="97">
        <v>9</v>
      </c>
      <c r="W10" s="100">
        <f t="shared" si="0"/>
        <v>9.0666666666666664</v>
      </c>
      <c r="X10" s="100">
        <f t="shared" si="1"/>
        <v>261.12</v>
      </c>
      <c r="Y10" s="97"/>
      <c r="Z10" s="97"/>
    </row>
    <row r="11" spans="1:26" ht="15" thickBot="1" x14ac:dyDescent="0.4">
      <c r="A11" s="22" t="s">
        <v>182</v>
      </c>
      <c r="B11" s="23"/>
      <c r="C11" s="22" t="s">
        <v>37</v>
      </c>
      <c r="D11" s="24" t="s">
        <v>38</v>
      </c>
      <c r="E11" s="20" t="s">
        <v>39</v>
      </c>
      <c r="F11" s="24" t="s">
        <v>57</v>
      </c>
      <c r="G11" t="s">
        <v>51</v>
      </c>
      <c r="H11" s="24" t="s">
        <v>40</v>
      </c>
      <c r="I11" s="44" t="s">
        <v>164</v>
      </c>
      <c r="J11" s="25"/>
      <c r="K11" s="46" t="s">
        <v>80</v>
      </c>
      <c r="L11" s="46">
        <f>SUMIFS($A$11:$A$401,$B$11:$B$401,"CH",$F$11:$F$401,"9")</f>
        <v>0</v>
      </c>
      <c r="M11" s="46" t="s">
        <v>6</v>
      </c>
      <c r="N11" s="46">
        <f>SUMIFS($A$11:$A$401,$B$11:$B$401,"RT",$F$11:$F$401,"9")</f>
        <v>0</v>
      </c>
      <c r="O11" s="46" t="s">
        <v>13</v>
      </c>
      <c r="Q11" s="97" t="s">
        <v>20</v>
      </c>
      <c r="R11" s="97">
        <v>8</v>
      </c>
      <c r="S11" s="97">
        <v>38.9</v>
      </c>
      <c r="T11" s="97">
        <v>11.5</v>
      </c>
      <c r="U11" s="97">
        <v>8.1999999999999993</v>
      </c>
      <c r="V11" s="97">
        <v>10.3</v>
      </c>
      <c r="W11" s="100">
        <f t="shared" si="0"/>
        <v>10</v>
      </c>
      <c r="X11" s="100">
        <f t="shared" si="1"/>
        <v>389</v>
      </c>
      <c r="Y11" s="97"/>
      <c r="Z11" s="97"/>
    </row>
    <row r="12" spans="1:26" ht="15.5" thickTop="1" thickBot="1" x14ac:dyDescent="0.4">
      <c r="A12" s="85" t="s">
        <v>41</v>
      </c>
      <c r="B12" s="86" t="s">
        <v>42</v>
      </c>
      <c r="C12" s="86" t="s">
        <v>43</v>
      </c>
      <c r="D12" s="86" t="s">
        <v>44</v>
      </c>
      <c r="E12" s="86" t="s">
        <v>45</v>
      </c>
      <c r="F12" s="86" t="s">
        <v>46</v>
      </c>
      <c r="G12" s="86" t="s">
        <v>47</v>
      </c>
      <c r="H12" s="86" t="s">
        <v>48</v>
      </c>
      <c r="I12" s="86" t="s">
        <v>49</v>
      </c>
      <c r="J12" s="86" t="s">
        <v>50</v>
      </c>
      <c r="K12" s="46" t="s">
        <v>81</v>
      </c>
      <c r="L12" s="46">
        <f>SUMIFS($A$11:$A$401,$B$11:$B$401,"CH",$F$11:$F$401,"10")</f>
        <v>0</v>
      </c>
      <c r="M12" s="46" t="s">
        <v>6</v>
      </c>
      <c r="N12" s="46">
        <f>SUMIFS($A$11:$A$401,$B$11:$B$401,"RT",$F$11:$F$401,"10")</f>
        <v>0</v>
      </c>
      <c r="O12" s="46" t="s">
        <v>13</v>
      </c>
      <c r="P12" s="42"/>
      <c r="Q12" s="97"/>
      <c r="R12" s="97"/>
      <c r="S12" s="97">
        <f>SUM(S4:S7,S9:S11)</f>
        <v>804.69999999999993</v>
      </c>
      <c r="T12" s="97" t="s">
        <v>273</v>
      </c>
      <c r="U12" s="97"/>
      <c r="V12" s="97" t="s">
        <v>273</v>
      </c>
      <c r="W12" s="100">
        <f>AVERAGE(T4:V7,T9:V11)</f>
        <v>17.533333333333331</v>
      </c>
      <c r="X12" s="100">
        <f>SUM(X9:X11,X4:X7)</f>
        <v>19400.419999999998</v>
      </c>
      <c r="Y12" s="97" t="s">
        <v>260</v>
      </c>
      <c r="Z12" s="97"/>
    </row>
    <row r="13" spans="1:26" ht="15" thickTop="1" x14ac:dyDescent="0.35">
      <c r="A13" s="91">
        <v>11</v>
      </c>
      <c r="B13" s="92" t="s">
        <v>25</v>
      </c>
      <c r="C13" s="91">
        <v>60</v>
      </c>
      <c r="D13" s="92" t="s">
        <v>70</v>
      </c>
      <c r="E13" s="91">
        <v>1</v>
      </c>
      <c r="F13" s="91">
        <v>1</v>
      </c>
      <c r="G13" s="91" t="s">
        <v>244</v>
      </c>
      <c r="H13" s="91" t="s">
        <v>10</v>
      </c>
      <c r="I13" s="91">
        <v>1350</v>
      </c>
      <c r="J13" s="91" t="s">
        <v>245</v>
      </c>
      <c r="K13" s="46" t="s">
        <v>82</v>
      </c>
      <c r="L13" s="46">
        <f>SUMIFS($A$11:$A$401,$B$11:$B$401,"CH",$F$11:$F$401,"11")</f>
        <v>0</v>
      </c>
      <c r="M13" s="46" t="s">
        <v>6</v>
      </c>
      <c r="N13" s="46">
        <f>SUMIFS($A$11:$A$401,$B$11:$B$401,"RT",$F$11:$F$401,"11")</f>
        <v>0</v>
      </c>
      <c r="O13" s="46" t="s">
        <v>13</v>
      </c>
      <c r="P13" s="42"/>
      <c r="S13" s="98">
        <f>S12*0.3048</f>
        <v>245.27256</v>
      </c>
      <c r="T13" t="s">
        <v>274</v>
      </c>
      <c r="V13" t="s">
        <v>274</v>
      </c>
      <c r="W13" s="98">
        <f>W12*0.3048</f>
        <v>5.3441599999999996</v>
      </c>
      <c r="X13" s="98">
        <f>X12*0.092903</f>
        <v>1802.3572192599997</v>
      </c>
      <c r="Y13" t="s">
        <v>261</v>
      </c>
    </row>
    <row r="14" spans="1:26" x14ac:dyDescent="0.35">
      <c r="A14" s="93">
        <v>10</v>
      </c>
      <c r="B14" s="41" t="s">
        <v>13</v>
      </c>
      <c r="C14" s="93">
        <v>40</v>
      </c>
      <c r="D14" s="41" t="s">
        <v>70</v>
      </c>
      <c r="E14" s="93">
        <v>1</v>
      </c>
      <c r="F14" s="93">
        <v>1</v>
      </c>
      <c r="G14" s="93" t="s">
        <v>244</v>
      </c>
      <c r="H14" s="93" t="s">
        <v>10</v>
      </c>
      <c r="I14" s="93"/>
      <c r="J14" s="93" t="s">
        <v>245</v>
      </c>
      <c r="K14" s="46" t="s">
        <v>83</v>
      </c>
      <c r="L14" s="46">
        <f>SUMIFS($A$11:$A$401,$B$11:$B$401,"CH",$F$11:$F$401,"12")</f>
        <v>0</v>
      </c>
      <c r="M14" s="46" t="s">
        <v>6</v>
      </c>
      <c r="N14" s="46">
        <f>SUMIFS($A$11:$A$401,$B$11:$B$401,"RT",$F$11:$F$401,"12")</f>
        <v>0</v>
      </c>
      <c r="O14" s="46" t="s">
        <v>13</v>
      </c>
      <c r="P14" s="42"/>
    </row>
    <row r="15" spans="1:26" x14ac:dyDescent="0.35">
      <c r="A15" s="93">
        <v>1</v>
      </c>
      <c r="B15" s="41" t="s">
        <v>13</v>
      </c>
      <c r="C15" s="93">
        <v>70</v>
      </c>
      <c r="D15" s="93" t="s">
        <v>70</v>
      </c>
      <c r="E15" s="93">
        <v>1</v>
      </c>
      <c r="F15" s="93">
        <v>1</v>
      </c>
      <c r="G15" s="93" t="s">
        <v>244</v>
      </c>
      <c r="H15" s="93" t="s">
        <v>10</v>
      </c>
      <c r="I15" s="93"/>
      <c r="J15" s="93" t="s">
        <v>245</v>
      </c>
      <c r="K15" s="46" t="s">
        <v>84</v>
      </c>
      <c r="L15" s="46">
        <f>SUMIFS($A$11:$A$401,$B$11:$B$401,"CH",$F$11:$F$401,"13")</f>
        <v>0</v>
      </c>
      <c r="M15" s="46" t="s">
        <v>6</v>
      </c>
      <c r="N15" s="46">
        <f>SUMIFS($A$11:$A$401,$B$11:$B$401,"RT",$F$11:$F$401,"13")</f>
        <v>0</v>
      </c>
      <c r="O15" s="46" t="s">
        <v>13</v>
      </c>
      <c r="P15" s="42"/>
    </row>
    <row r="16" spans="1:26" x14ac:dyDescent="0.35">
      <c r="A16" s="93">
        <v>4</v>
      </c>
      <c r="B16" s="41" t="s">
        <v>13</v>
      </c>
      <c r="C16" s="93">
        <v>40</v>
      </c>
      <c r="D16" s="93" t="s">
        <v>70</v>
      </c>
      <c r="E16" s="93">
        <v>1</v>
      </c>
      <c r="F16" s="93">
        <v>2</v>
      </c>
      <c r="G16" s="93" t="s">
        <v>244</v>
      </c>
      <c r="H16" s="93" t="s">
        <v>218</v>
      </c>
      <c r="I16" s="93"/>
      <c r="J16" s="93"/>
      <c r="K16" s="46" t="s">
        <v>85</v>
      </c>
      <c r="L16" s="46">
        <f>SUMIFS($A$11:$A$401,$B$11:$B$401,"CH",$F$11:$F$401,"14")</f>
        <v>0</v>
      </c>
      <c r="M16" s="46" t="s">
        <v>6</v>
      </c>
      <c r="N16" s="46">
        <f>SUMIFS($A$11:$A$401,$B$11:$B$401,"RT",$F$11:$F$401,"14")</f>
        <v>0</v>
      </c>
      <c r="O16" s="46" t="s">
        <v>13</v>
      </c>
      <c r="P16" s="42"/>
    </row>
    <row r="17" spans="1:16" x14ac:dyDescent="0.35">
      <c r="A17" s="93">
        <v>5</v>
      </c>
      <c r="B17" s="41" t="s">
        <v>25</v>
      </c>
      <c r="C17" s="93">
        <v>60</v>
      </c>
      <c r="D17" s="93" t="s">
        <v>70</v>
      </c>
      <c r="E17" s="93">
        <v>1</v>
      </c>
      <c r="F17" s="93">
        <v>2</v>
      </c>
      <c r="G17" s="93" t="s">
        <v>244</v>
      </c>
      <c r="H17" s="93" t="s">
        <v>218</v>
      </c>
      <c r="I17" s="93"/>
      <c r="J17" s="93"/>
      <c r="K17" s="46" t="s">
        <v>86</v>
      </c>
      <c r="L17" s="46">
        <f>SUMIFS($A$11:$A$401,$B$11:$B$401,"CH",$F$11:$F$401,"15")</f>
        <v>0</v>
      </c>
      <c r="M17" s="46" t="s">
        <v>6</v>
      </c>
      <c r="N17" s="46">
        <f>SUMIFS($A$11:$A$401,$B$11:$B$401,"RT",$F$11:$F$401,"15")</f>
        <v>0</v>
      </c>
      <c r="O17" s="46" t="s">
        <v>13</v>
      </c>
      <c r="P17" s="42"/>
    </row>
    <row r="18" spans="1:16" x14ac:dyDescent="0.35">
      <c r="A18" s="93">
        <v>1</v>
      </c>
      <c r="B18" s="41" t="s">
        <v>6</v>
      </c>
      <c r="C18" s="93">
        <v>60</v>
      </c>
      <c r="D18" s="93" t="s">
        <v>70</v>
      </c>
      <c r="E18" s="93">
        <v>1</v>
      </c>
      <c r="F18" s="93">
        <v>2</v>
      </c>
      <c r="G18" s="93" t="s">
        <v>244</v>
      </c>
      <c r="H18" s="93" t="s">
        <v>218</v>
      </c>
      <c r="I18" s="93"/>
      <c r="J18" s="93"/>
      <c r="K18" s="46" t="s">
        <v>87</v>
      </c>
      <c r="L18" s="46">
        <f>SUMIFS($A$11:$A$401,$B$11:$B$401,"CH",$F$11:$F$401,"16")</f>
        <v>0</v>
      </c>
      <c r="M18" s="46" t="s">
        <v>6</v>
      </c>
      <c r="N18" s="46">
        <f>SUMIFS($A$11:$A$401,$B$11:$B$401,"RT",$F$11:$F$401,"16")</f>
        <v>0</v>
      </c>
      <c r="O18" s="46" t="s">
        <v>13</v>
      </c>
      <c r="P18" s="42"/>
    </row>
    <row r="19" spans="1:16" x14ac:dyDescent="0.35">
      <c r="A19" s="93">
        <v>5</v>
      </c>
      <c r="B19" s="41" t="s">
        <v>13</v>
      </c>
      <c r="C19" s="93">
        <v>30</v>
      </c>
      <c r="D19" s="93" t="s">
        <v>59</v>
      </c>
      <c r="E19" s="93">
        <v>2</v>
      </c>
      <c r="F19" s="93">
        <v>2</v>
      </c>
      <c r="G19" s="93" t="s">
        <v>244</v>
      </c>
      <c r="H19" s="93" t="s">
        <v>218</v>
      </c>
      <c r="I19" s="93"/>
      <c r="J19" s="93"/>
      <c r="K19" s="46" t="s">
        <v>88</v>
      </c>
      <c r="L19" s="46">
        <f>SUMIFS($A$11:$A$401,$B$11:$B$401,"CH",$F$11:$F$401,"17")</f>
        <v>0</v>
      </c>
      <c r="M19" s="46" t="s">
        <v>6</v>
      </c>
      <c r="N19" s="46">
        <f>SUMIFS($A$11:$A$401,$B$11:$B$401,"RT",$F$11:$F$401,"17")</f>
        <v>0</v>
      </c>
      <c r="O19" s="46" t="s">
        <v>13</v>
      </c>
      <c r="P19" s="42"/>
    </row>
    <row r="20" spans="1:16" x14ac:dyDescent="0.35">
      <c r="A20" s="93">
        <v>5</v>
      </c>
      <c r="B20" s="41" t="s">
        <v>6</v>
      </c>
      <c r="C20" s="93">
        <v>60</v>
      </c>
      <c r="D20" s="93" t="s">
        <v>59</v>
      </c>
      <c r="E20" s="93">
        <v>2</v>
      </c>
      <c r="F20" s="93">
        <v>2</v>
      </c>
      <c r="G20" s="93" t="s">
        <v>244</v>
      </c>
      <c r="H20" s="93" t="s">
        <v>218</v>
      </c>
      <c r="I20" s="93"/>
      <c r="J20" s="93"/>
      <c r="K20" s="46" t="s">
        <v>89</v>
      </c>
      <c r="L20" s="46">
        <f>SUMIFS($A$11:$A$401,$B$11:$B$401,"CH",$F$11:$F$401,"18")</f>
        <v>0</v>
      </c>
      <c r="M20" s="46" t="s">
        <v>6</v>
      </c>
      <c r="N20" s="46">
        <f>SUMIFS($A$11:$A$401,$B$11:$B$401,"RT",$F$11:$F$401,"18")</f>
        <v>0</v>
      </c>
      <c r="O20" s="46" t="s">
        <v>13</v>
      </c>
      <c r="P20" s="42"/>
    </row>
    <row r="21" spans="1:16" x14ac:dyDescent="0.35">
      <c r="A21" s="93">
        <v>10</v>
      </c>
      <c r="B21" s="41" t="s">
        <v>64</v>
      </c>
      <c r="C21" s="93">
        <v>60</v>
      </c>
      <c r="D21" s="93" t="s">
        <v>59</v>
      </c>
      <c r="E21" s="93">
        <v>2</v>
      </c>
      <c r="F21" s="93">
        <v>2</v>
      </c>
      <c r="G21" s="93" t="s">
        <v>244</v>
      </c>
      <c r="H21" s="93" t="s">
        <v>218</v>
      </c>
      <c r="I21" s="93"/>
      <c r="J21" s="93"/>
      <c r="K21" s="46" t="s">
        <v>90</v>
      </c>
      <c r="L21" s="46">
        <f>SUMIFS($A$11:$A$401,$B$11:$B$401,"CH",$F$11:$F$401,"19")</f>
        <v>0</v>
      </c>
      <c r="M21" s="46" t="s">
        <v>6</v>
      </c>
      <c r="N21" s="46">
        <f>SUMIFS($A$11:$A$401,$B$11:$B$401,"RT",$F$11:$F$401,"19")</f>
        <v>0</v>
      </c>
      <c r="O21" s="46" t="s">
        <v>13</v>
      </c>
      <c r="P21" s="42"/>
    </row>
    <row r="22" spans="1:16" x14ac:dyDescent="0.35">
      <c r="A22" s="93">
        <v>4</v>
      </c>
      <c r="B22" s="41" t="s">
        <v>13</v>
      </c>
      <c r="C22" s="93">
        <v>40</v>
      </c>
      <c r="D22" s="93" t="s">
        <v>59</v>
      </c>
      <c r="E22" s="93">
        <v>2</v>
      </c>
      <c r="F22" s="93">
        <v>2</v>
      </c>
      <c r="G22" s="93" t="s">
        <v>244</v>
      </c>
      <c r="H22" s="93" t="s">
        <v>218</v>
      </c>
      <c r="I22" s="93"/>
      <c r="J22" s="93"/>
      <c r="K22" s="46" t="s">
        <v>91</v>
      </c>
      <c r="L22" s="46">
        <f>SUMIFS($A$11:$A$401,$B$11:$B$401,"CH",$F$11:$F$401,"20")</f>
        <v>0</v>
      </c>
      <c r="M22" s="46" t="s">
        <v>6</v>
      </c>
      <c r="N22" s="46">
        <f>SUMIFS($A$11:$A$401,$B$11:$B$401,"RT",$F$11:$F$401,"20")</f>
        <v>0</v>
      </c>
      <c r="O22" s="46" t="s">
        <v>13</v>
      </c>
    </row>
    <row r="23" spans="1:16" x14ac:dyDescent="0.35">
      <c r="A23" s="93">
        <v>10</v>
      </c>
      <c r="B23" s="41" t="s">
        <v>64</v>
      </c>
      <c r="C23" s="93">
        <v>70</v>
      </c>
      <c r="D23" s="93" t="s">
        <v>59</v>
      </c>
      <c r="E23" s="93">
        <v>2</v>
      </c>
      <c r="F23" s="93">
        <v>2</v>
      </c>
      <c r="G23" s="93" t="s">
        <v>244</v>
      </c>
      <c r="H23" s="93" t="s">
        <v>218</v>
      </c>
      <c r="I23" s="93"/>
      <c r="J23" s="93"/>
      <c r="K23" s="46" t="s">
        <v>92</v>
      </c>
      <c r="L23" s="46">
        <f>SUMIFS($A$11:$A$401,$B$11:$B$401,"CH",$F$11:$F$401,"21")</f>
        <v>0</v>
      </c>
      <c r="M23" s="46" t="s">
        <v>6</v>
      </c>
      <c r="N23" s="46">
        <f>SUMIFS($A$11:$A$401,$B$11:$B$401,"RT",$F$11:$F$401,"21")</f>
        <v>0</v>
      </c>
      <c r="O23" s="46" t="s">
        <v>13</v>
      </c>
    </row>
    <row r="24" spans="1:16" x14ac:dyDescent="0.35">
      <c r="A24" s="93">
        <v>3</v>
      </c>
      <c r="B24" s="41" t="s">
        <v>6</v>
      </c>
      <c r="C24" s="93">
        <v>60</v>
      </c>
      <c r="D24" s="93" t="s">
        <v>59</v>
      </c>
      <c r="E24" s="93">
        <v>2</v>
      </c>
      <c r="F24" s="93">
        <v>2</v>
      </c>
      <c r="G24" s="93" t="s">
        <v>244</v>
      </c>
      <c r="H24" s="93" t="s">
        <v>218</v>
      </c>
      <c r="I24" s="93"/>
      <c r="J24" s="93"/>
      <c r="K24" s="46" t="s">
        <v>93</v>
      </c>
      <c r="L24" s="46">
        <f>SUMIFS($A$11:$A$401,$B$11:$B$401,"CH",$F$11:$F$401,"22")</f>
        <v>0</v>
      </c>
      <c r="M24" s="46" t="s">
        <v>6</v>
      </c>
      <c r="N24" s="46">
        <f>SUMIFS($A$11:$A$401,$B$11:$B$401,"RT",$F$11:$F$401,"22")</f>
        <v>0</v>
      </c>
      <c r="O24" s="46" t="s">
        <v>13</v>
      </c>
    </row>
    <row r="25" spans="1:16" x14ac:dyDescent="0.35">
      <c r="A25" s="93">
        <v>10</v>
      </c>
      <c r="B25" s="41" t="s">
        <v>13</v>
      </c>
      <c r="C25" s="93">
        <v>30</v>
      </c>
      <c r="D25" s="93" t="s">
        <v>59</v>
      </c>
      <c r="E25" s="93">
        <v>2</v>
      </c>
      <c r="F25" s="93">
        <v>2</v>
      </c>
      <c r="G25" s="93" t="s">
        <v>244</v>
      </c>
      <c r="H25" s="93" t="s">
        <v>218</v>
      </c>
      <c r="I25" s="93"/>
      <c r="J25" s="93"/>
      <c r="K25" s="46" t="s">
        <v>94</v>
      </c>
      <c r="L25" s="46">
        <f>SUMIFS($A$11:$A$401,$B$11:$B$401,"CH",$F$11:$F$401,"23")</f>
        <v>0</v>
      </c>
      <c r="M25" s="46" t="s">
        <v>6</v>
      </c>
      <c r="N25" s="46">
        <f>SUMIFS($A$11:$A$401,$B$11:$B$401,"RT",$F$11:$F$401,"23")</f>
        <v>0</v>
      </c>
      <c r="O25" s="46" t="s">
        <v>13</v>
      </c>
    </row>
    <row r="26" spans="1:16" x14ac:dyDescent="0.35">
      <c r="A26" s="93">
        <v>1</v>
      </c>
      <c r="B26" s="41" t="s">
        <v>13</v>
      </c>
      <c r="C26" s="93">
        <v>30</v>
      </c>
      <c r="D26" s="93" t="s">
        <v>59</v>
      </c>
      <c r="E26" s="93">
        <v>2</v>
      </c>
      <c r="F26" s="93">
        <v>2</v>
      </c>
      <c r="G26" s="93" t="s">
        <v>244</v>
      </c>
      <c r="H26" s="93" t="s">
        <v>218</v>
      </c>
      <c r="I26" s="93"/>
      <c r="J26" s="93" t="s">
        <v>226</v>
      </c>
      <c r="K26" s="46" t="s">
        <v>95</v>
      </c>
      <c r="L26" s="46">
        <f>SUMIFS($A$11:$A$401,$B$11:$B$401,"CH",$F$11:$F$401,"24")</f>
        <v>0</v>
      </c>
      <c r="M26" s="46" t="s">
        <v>6</v>
      </c>
      <c r="N26" s="46">
        <f>SUMIFS($A$11:$A$401,$B$11:$B$401,"RT",$F$11:$F$401,"24")</f>
        <v>0</v>
      </c>
      <c r="O26" s="46" t="s">
        <v>13</v>
      </c>
    </row>
    <row r="27" spans="1:16" x14ac:dyDescent="0.35">
      <c r="A27" s="93">
        <v>10</v>
      </c>
      <c r="B27" s="41" t="s">
        <v>13</v>
      </c>
      <c r="C27" s="93">
        <v>30</v>
      </c>
      <c r="D27" s="93" t="s">
        <v>59</v>
      </c>
      <c r="E27" s="93">
        <v>2</v>
      </c>
      <c r="F27" s="93">
        <v>3</v>
      </c>
      <c r="G27" s="93" t="s">
        <v>224</v>
      </c>
      <c r="H27" s="93" t="s">
        <v>218</v>
      </c>
      <c r="I27" s="93"/>
      <c r="J27" s="93"/>
      <c r="K27" s="46" t="s">
        <v>96</v>
      </c>
      <c r="L27" s="46">
        <f>SUMIFS($A$11:$A$401,$B$11:$B$401,"CH",$F$11:$F$401,"25")</f>
        <v>0</v>
      </c>
      <c r="M27" s="46" t="s">
        <v>6</v>
      </c>
      <c r="N27" s="46">
        <f>SUMIFS($A$11:$A$401,$B$11:$B$401,"RT",$F$11:$F$401,"25")</f>
        <v>0</v>
      </c>
      <c r="O27" s="46" t="s">
        <v>13</v>
      </c>
    </row>
    <row r="28" spans="1:16" x14ac:dyDescent="0.35">
      <c r="A28" s="93">
        <v>10</v>
      </c>
      <c r="B28" s="41" t="s">
        <v>13</v>
      </c>
      <c r="C28" s="93">
        <v>30</v>
      </c>
      <c r="D28" s="93" t="s">
        <v>70</v>
      </c>
      <c r="E28" s="93">
        <v>1</v>
      </c>
      <c r="F28" s="93">
        <v>2</v>
      </c>
      <c r="G28" s="93" t="s">
        <v>244</v>
      </c>
      <c r="H28" s="93" t="s">
        <v>218</v>
      </c>
      <c r="I28" s="93"/>
      <c r="J28" s="93"/>
      <c r="K28" s="46" t="s">
        <v>97</v>
      </c>
      <c r="L28" s="46">
        <f>SUMIFS($A$11:$A$401,$B$11:$B$401,"CH",$F$11:$F$401,"26")</f>
        <v>0</v>
      </c>
      <c r="M28" s="46" t="s">
        <v>6</v>
      </c>
      <c r="N28" s="46">
        <f>SUMIFS($A$11:$A$401,$B$11:$B$401,"RT",$F$11:$F$401,"26")</f>
        <v>0</v>
      </c>
      <c r="O28" s="46" t="s">
        <v>13</v>
      </c>
    </row>
    <row r="29" spans="1:16" x14ac:dyDescent="0.35">
      <c r="A29" s="93">
        <v>5</v>
      </c>
      <c r="B29" s="41" t="s">
        <v>13</v>
      </c>
      <c r="C29" s="93">
        <v>20</v>
      </c>
      <c r="D29" s="93" t="s">
        <v>70</v>
      </c>
      <c r="E29" s="93">
        <v>1</v>
      </c>
      <c r="F29" s="93">
        <v>2</v>
      </c>
      <c r="G29" s="93" t="s">
        <v>244</v>
      </c>
      <c r="H29" s="93" t="s">
        <v>218</v>
      </c>
      <c r="I29" s="93"/>
      <c r="J29" s="93"/>
      <c r="K29" s="46" t="s">
        <v>98</v>
      </c>
      <c r="L29" s="46">
        <f>SUMIFS($A$11:$A$401,$B$11:$B$401,"CH",$F$11:$F$401,"27")</f>
        <v>0</v>
      </c>
      <c r="M29" s="46" t="s">
        <v>6</v>
      </c>
      <c r="N29" s="46">
        <f>SUMIFS($A$11:$A$401,$B$11:$B$401,"RT",$F$11:$F$401,"27")</f>
        <v>0</v>
      </c>
      <c r="O29" s="46" t="s">
        <v>13</v>
      </c>
    </row>
    <row r="30" spans="1:16" x14ac:dyDescent="0.35">
      <c r="A30" s="93">
        <v>1</v>
      </c>
      <c r="B30" s="41" t="s">
        <v>64</v>
      </c>
      <c r="C30" s="93">
        <v>30</v>
      </c>
      <c r="D30" s="93" t="s">
        <v>70</v>
      </c>
      <c r="E30" s="93">
        <v>1</v>
      </c>
      <c r="F30" s="93">
        <v>2</v>
      </c>
      <c r="G30" s="93" t="s">
        <v>244</v>
      </c>
      <c r="H30" s="93" t="s">
        <v>218</v>
      </c>
      <c r="I30" s="93"/>
      <c r="J30" s="93"/>
      <c r="K30" s="46" t="s">
        <v>99</v>
      </c>
      <c r="L30" s="46">
        <f>SUMIFS($A$11:$A$401,$B$11:$B$401,"CH",$F$11:$F$401,"28")</f>
        <v>0</v>
      </c>
      <c r="M30" s="46" t="s">
        <v>6</v>
      </c>
      <c r="N30" s="46">
        <f>SUMIFS($A$11:$A$401,$B$11:$B$401,"RT",$F$11:$F$401,"28")</f>
        <v>0</v>
      </c>
      <c r="O30" s="46" t="s">
        <v>13</v>
      </c>
    </row>
    <row r="31" spans="1:16" x14ac:dyDescent="0.35">
      <c r="A31" s="93">
        <v>20</v>
      </c>
      <c r="B31" s="41" t="s">
        <v>64</v>
      </c>
      <c r="C31" s="93">
        <v>60</v>
      </c>
      <c r="D31" s="93" t="s">
        <v>70</v>
      </c>
      <c r="E31" s="93">
        <v>1</v>
      </c>
      <c r="F31" s="93">
        <v>2</v>
      </c>
      <c r="G31" s="93" t="s">
        <v>244</v>
      </c>
      <c r="H31" s="93" t="s">
        <v>218</v>
      </c>
      <c r="I31" s="93"/>
      <c r="J31" s="93"/>
      <c r="K31" s="46" t="s">
        <v>100</v>
      </c>
      <c r="L31" s="46">
        <f>SUMIFS($A$11:$A$401,$B$11:$B$401,"CH",$F$11:$F$401,"29")</f>
        <v>0</v>
      </c>
      <c r="M31" s="46" t="s">
        <v>6</v>
      </c>
      <c r="N31" s="46">
        <f>SUMIFS($A$11:$A$401,$B$11:$B$401,"RT",$F$11:$F$401,"29")</f>
        <v>0</v>
      </c>
      <c r="O31" s="46" t="s">
        <v>13</v>
      </c>
    </row>
    <row r="32" spans="1:16" x14ac:dyDescent="0.35">
      <c r="A32" s="93">
        <v>2</v>
      </c>
      <c r="B32" s="41" t="s">
        <v>64</v>
      </c>
      <c r="C32" s="93">
        <v>70</v>
      </c>
      <c r="D32" s="93" t="s">
        <v>70</v>
      </c>
      <c r="E32" s="93">
        <v>1</v>
      </c>
      <c r="F32" s="93">
        <v>2</v>
      </c>
      <c r="G32" s="93" t="s">
        <v>244</v>
      </c>
      <c r="H32" s="93" t="s">
        <v>218</v>
      </c>
      <c r="I32" s="94"/>
      <c r="J32" s="93"/>
      <c r="K32" s="46" t="s">
        <v>101</v>
      </c>
      <c r="L32" s="46">
        <f>SUMIFS($A$11:$A$401,$B$11:$B$401,"CH",$F$11:$F$401,"30")</f>
        <v>0</v>
      </c>
      <c r="M32" s="46" t="s">
        <v>6</v>
      </c>
      <c r="N32" s="46">
        <f>SUMIFS($A$11:$A$401,$B$11:$B$401,"RT",$F$11:$F$401,"30")</f>
        <v>0</v>
      </c>
      <c r="O32" s="46" t="s">
        <v>13</v>
      </c>
    </row>
    <row r="33" spans="1:15" x14ac:dyDescent="0.35">
      <c r="A33" s="95">
        <v>2</v>
      </c>
      <c r="B33" s="95" t="s">
        <v>6</v>
      </c>
      <c r="C33" s="95">
        <v>60</v>
      </c>
      <c r="D33" s="95" t="s">
        <v>70</v>
      </c>
      <c r="E33" s="95">
        <v>1</v>
      </c>
      <c r="F33" s="95">
        <v>2</v>
      </c>
      <c r="G33" s="95" t="s">
        <v>244</v>
      </c>
      <c r="H33" s="95" t="s">
        <v>218</v>
      </c>
      <c r="I33" s="95"/>
      <c r="J33" s="95"/>
      <c r="K33" s="46" t="s">
        <v>102</v>
      </c>
      <c r="L33" s="46">
        <f>SUMIFS($A$11:$A$401,$B$11:$B$401,"CH",$F$11:$F$401,"31")</f>
        <v>0</v>
      </c>
      <c r="M33" s="46" t="s">
        <v>6</v>
      </c>
      <c r="N33" s="46">
        <f>SUMIFS($A$11:$A$401,$B$11:$B$401,"RT",$F$11:$F$401,"31")</f>
        <v>0</v>
      </c>
      <c r="O33" s="46" t="s">
        <v>13</v>
      </c>
    </row>
    <row r="34" spans="1:15" x14ac:dyDescent="0.35">
      <c r="A34" s="95">
        <v>4</v>
      </c>
      <c r="B34" s="95" t="s">
        <v>13</v>
      </c>
      <c r="C34" s="95">
        <v>60</v>
      </c>
      <c r="D34" s="95" t="s">
        <v>70</v>
      </c>
      <c r="E34" s="95">
        <v>1</v>
      </c>
      <c r="F34" s="95">
        <v>2</v>
      </c>
      <c r="G34" s="95" t="s">
        <v>244</v>
      </c>
      <c r="H34" s="95" t="s">
        <v>218</v>
      </c>
      <c r="I34" s="95"/>
      <c r="J34" s="95"/>
      <c r="K34" s="46" t="s">
        <v>103</v>
      </c>
      <c r="L34" s="46">
        <f>SUMIFS($A$11:$A$401,$B$11:$B$401,"CH",$F$11:$F$401,"32")</f>
        <v>0</v>
      </c>
      <c r="M34" s="46" t="s">
        <v>6</v>
      </c>
      <c r="N34" s="46">
        <f>SUMIFS($A$11:$A$401,$B$11:$B$401,"RT",$F$11:$F$401,"32")</f>
        <v>0</v>
      </c>
      <c r="O34" s="46" t="s">
        <v>13</v>
      </c>
    </row>
    <row r="35" spans="1:15" x14ac:dyDescent="0.35">
      <c r="A35" s="95">
        <v>1</v>
      </c>
      <c r="B35" s="95" t="s">
        <v>246</v>
      </c>
      <c r="C35" s="95">
        <v>0</v>
      </c>
      <c r="D35" s="95" t="s">
        <v>230</v>
      </c>
      <c r="E35" s="95">
        <v>1</v>
      </c>
      <c r="F35" s="95">
        <v>3</v>
      </c>
      <c r="G35" s="95" t="s">
        <v>224</v>
      </c>
      <c r="H35" s="95" t="s">
        <v>228</v>
      </c>
      <c r="I35" s="95"/>
      <c r="J35" s="95"/>
      <c r="K35" s="46" t="s">
        <v>104</v>
      </c>
      <c r="L35" s="46">
        <f>SUMIFS($A$11:$A$401,$B$11:$B$401,"CH",$F$11:$F$401,"33")</f>
        <v>0</v>
      </c>
      <c r="M35" s="46" t="s">
        <v>6</v>
      </c>
      <c r="N35" s="46">
        <f>SUMIFS($A$11:$A$401,$B$11:$B$401,"RT",$F$11:$F$401,"33")</f>
        <v>0</v>
      </c>
      <c r="O35" s="46" t="s">
        <v>13</v>
      </c>
    </row>
    <row r="36" spans="1:15" x14ac:dyDescent="0.35">
      <c r="A36" s="95">
        <v>2</v>
      </c>
      <c r="B36" s="95" t="s">
        <v>13</v>
      </c>
      <c r="C36" s="95">
        <v>30</v>
      </c>
      <c r="D36" s="95" t="s">
        <v>59</v>
      </c>
      <c r="E36" s="95">
        <v>2</v>
      </c>
      <c r="F36" s="95">
        <v>3</v>
      </c>
      <c r="G36" s="95" t="s">
        <v>224</v>
      </c>
      <c r="H36" s="95" t="s">
        <v>218</v>
      </c>
      <c r="I36" s="95"/>
      <c r="J36" s="95"/>
      <c r="K36" s="46" t="s">
        <v>105</v>
      </c>
      <c r="L36" s="46">
        <f>SUMIFS($A$11:$A$401,$B$11:$B$401,"CH",$F$11:$F$401,"34")</f>
        <v>0</v>
      </c>
      <c r="M36" s="46" t="s">
        <v>6</v>
      </c>
      <c r="N36" s="46">
        <f>SUMIFS($A$11:$A$401,$B$11:$B$401,"RT",$F$11:$F$401,"34")</f>
        <v>0</v>
      </c>
      <c r="O36" s="46" t="s">
        <v>13</v>
      </c>
    </row>
    <row r="37" spans="1:15" x14ac:dyDescent="0.35">
      <c r="A37" s="95">
        <v>1</v>
      </c>
      <c r="B37" s="95" t="s">
        <v>13</v>
      </c>
      <c r="C37" s="95">
        <v>200</v>
      </c>
      <c r="D37" s="95" t="s">
        <v>70</v>
      </c>
      <c r="E37" s="95">
        <v>1</v>
      </c>
      <c r="F37" s="95">
        <v>3</v>
      </c>
      <c r="G37" s="95" t="s">
        <v>224</v>
      </c>
      <c r="H37" s="95" t="s">
        <v>218</v>
      </c>
      <c r="I37" s="95"/>
      <c r="J37" s="95"/>
      <c r="K37" s="46" t="s">
        <v>106</v>
      </c>
      <c r="L37" s="46">
        <f>SUMIFS($A$11:$A$401,$B$11:$B$401,"CH",$F$11:$F$401,"35")</f>
        <v>0</v>
      </c>
      <c r="M37" s="46" t="s">
        <v>6</v>
      </c>
      <c r="N37" s="46">
        <f>SUMIFS($A$11:$A$401,$B$11:$B$401,"RT",$F$11:$F$401,"35")</f>
        <v>0</v>
      </c>
      <c r="O37" s="46" t="s">
        <v>13</v>
      </c>
    </row>
    <row r="38" spans="1:15" x14ac:dyDescent="0.35">
      <c r="A38" s="95">
        <v>20</v>
      </c>
      <c r="B38" s="95" t="s">
        <v>64</v>
      </c>
      <c r="C38" s="95">
        <v>60</v>
      </c>
      <c r="D38" s="95" t="s">
        <v>70</v>
      </c>
      <c r="E38" s="95">
        <v>1</v>
      </c>
      <c r="F38" s="95">
        <v>3</v>
      </c>
      <c r="G38" s="95" t="s">
        <v>224</v>
      </c>
      <c r="H38" s="95" t="s">
        <v>218</v>
      </c>
      <c r="I38" s="95"/>
      <c r="J38" s="95"/>
      <c r="K38" s="46" t="s">
        <v>107</v>
      </c>
      <c r="L38" s="46">
        <f>SUMIFS($A$11:$A$401,$B$11:$B$401,"CH",$F$11:$F$401,"36")</f>
        <v>0</v>
      </c>
      <c r="M38" s="46" t="s">
        <v>6</v>
      </c>
      <c r="N38" s="46">
        <f>SUMIFS($A$11:$A$401,$B$11:$B$401,"RT",$F$11:$F$401,"36")</f>
        <v>0</v>
      </c>
      <c r="O38" s="46" t="s">
        <v>13</v>
      </c>
    </row>
    <row r="39" spans="1:15" x14ac:dyDescent="0.35">
      <c r="A39" s="95">
        <v>4</v>
      </c>
      <c r="B39" s="95" t="s">
        <v>13</v>
      </c>
      <c r="C39" s="95">
        <v>50</v>
      </c>
      <c r="D39" s="95" t="s">
        <v>70</v>
      </c>
      <c r="E39" s="95">
        <v>1</v>
      </c>
      <c r="F39" s="95">
        <v>3</v>
      </c>
      <c r="G39" s="95" t="s">
        <v>224</v>
      </c>
      <c r="H39" s="95" t="s">
        <v>218</v>
      </c>
      <c r="I39" s="95"/>
      <c r="J39" s="95"/>
      <c r="K39" s="46" t="s">
        <v>108</v>
      </c>
      <c r="L39" s="46">
        <f>SUMIFS($A$11:$A$401,$B$11:$B$401,"CH",$F$11:$F$401,"37")</f>
        <v>0</v>
      </c>
      <c r="M39" s="46" t="s">
        <v>6</v>
      </c>
      <c r="N39" s="46">
        <f>SUMIFS($A$11:$A$401,$B$11:$B$401,"RT",$F$11:$F$401,"37")</f>
        <v>0</v>
      </c>
      <c r="O39" s="46" t="s">
        <v>13</v>
      </c>
    </row>
    <row r="40" spans="1:15" x14ac:dyDescent="0.35">
      <c r="A40" s="95">
        <v>1</v>
      </c>
      <c r="B40" s="95" t="s">
        <v>13</v>
      </c>
      <c r="C40" s="95">
        <v>20</v>
      </c>
      <c r="D40" s="95" t="s">
        <v>59</v>
      </c>
      <c r="E40" s="95">
        <v>2</v>
      </c>
      <c r="F40" s="95">
        <v>3</v>
      </c>
      <c r="G40" s="95" t="s">
        <v>224</v>
      </c>
      <c r="H40" s="95" t="s">
        <v>218</v>
      </c>
      <c r="I40" s="95"/>
      <c r="J40" s="95" t="s">
        <v>226</v>
      </c>
      <c r="K40" s="46" t="s">
        <v>109</v>
      </c>
      <c r="L40" s="46">
        <f>SUMIFS($A$11:$A$401,$B$11:$B$401,"CH",$F$11:$F$401,"38")</f>
        <v>0</v>
      </c>
      <c r="M40" s="46" t="s">
        <v>6</v>
      </c>
      <c r="N40" s="46">
        <f>SUMIFS($A$11:$A$401,$B$11:$B$401,"RT",$F$11:$F$401,"38")</f>
        <v>0</v>
      </c>
      <c r="O40" s="46" t="s">
        <v>13</v>
      </c>
    </row>
    <row r="41" spans="1:15" x14ac:dyDescent="0.35">
      <c r="A41" s="95">
        <v>1</v>
      </c>
      <c r="B41" s="95" t="s">
        <v>13</v>
      </c>
      <c r="C41" s="95">
        <v>40</v>
      </c>
      <c r="D41" s="95" t="s">
        <v>70</v>
      </c>
      <c r="E41" s="95">
        <v>1</v>
      </c>
      <c r="F41" s="95">
        <v>3</v>
      </c>
      <c r="G41" s="95" t="s">
        <v>224</v>
      </c>
      <c r="H41" s="95" t="s">
        <v>218</v>
      </c>
      <c r="I41" s="95"/>
      <c r="J41" s="95"/>
      <c r="K41" s="46" t="s">
        <v>110</v>
      </c>
      <c r="L41" s="46">
        <f>SUMIFS($A$11:$A$401,$B$11:$B$401,"CH",$F$11:$F$401,"39")</f>
        <v>0</v>
      </c>
      <c r="M41" s="46" t="s">
        <v>6</v>
      </c>
      <c r="N41" s="46">
        <f>SUMIFS($A$11:$A$401,$B$11:$B$401,"RT",$F$11:$F$401,"39")</f>
        <v>0</v>
      </c>
      <c r="O41" s="46" t="s">
        <v>13</v>
      </c>
    </row>
    <row r="42" spans="1:15" x14ac:dyDescent="0.35">
      <c r="A42" s="95">
        <v>5</v>
      </c>
      <c r="B42" s="95" t="s">
        <v>13</v>
      </c>
      <c r="C42" s="95">
        <v>30</v>
      </c>
      <c r="D42" s="95" t="s">
        <v>70</v>
      </c>
      <c r="E42" s="95">
        <v>1</v>
      </c>
      <c r="F42" s="95">
        <v>3</v>
      </c>
      <c r="G42" s="95" t="s">
        <v>224</v>
      </c>
      <c r="H42" s="95" t="s">
        <v>218</v>
      </c>
      <c r="I42" s="95"/>
      <c r="J42" s="95"/>
      <c r="K42" s="46" t="s">
        <v>111</v>
      </c>
      <c r="L42" s="46">
        <f>SUMIFS($A$11:$A$401,$B$11:$B$401,"CH",$F$11:$F$401,"40")</f>
        <v>0</v>
      </c>
      <c r="M42" s="46" t="s">
        <v>6</v>
      </c>
      <c r="N42" s="46">
        <f>SUMIFS($A$11:$A$401,$B$11:$B$401,"RT",$F$11:$F$401,"40")</f>
        <v>0</v>
      </c>
      <c r="O42" s="46" t="s">
        <v>13</v>
      </c>
    </row>
    <row r="43" spans="1:15" x14ac:dyDescent="0.35">
      <c r="A43" s="95">
        <v>2</v>
      </c>
      <c r="B43" s="95" t="s">
        <v>6</v>
      </c>
      <c r="C43" s="95">
        <v>60</v>
      </c>
      <c r="D43" s="95" t="s">
        <v>70</v>
      </c>
      <c r="E43" s="95">
        <v>1</v>
      </c>
      <c r="F43" s="95">
        <v>3</v>
      </c>
      <c r="G43" s="95" t="s">
        <v>224</v>
      </c>
      <c r="H43" s="95" t="s">
        <v>218</v>
      </c>
      <c r="I43" s="95"/>
      <c r="J43" s="95"/>
      <c r="K43" s="46" t="s">
        <v>112</v>
      </c>
      <c r="L43" s="46">
        <f>SUMIFS($A$11:$A$401,$B$11:$B$401,"CH",$F$11:$F$401,"41")</f>
        <v>0</v>
      </c>
      <c r="M43" s="46" t="s">
        <v>6</v>
      </c>
      <c r="N43" s="46">
        <f>SUMIFS($A$11:$A$401,$B$11:$B$401,"RT",$F$11:$F$401,"41")</f>
        <v>0</v>
      </c>
      <c r="O43" s="46" t="s">
        <v>13</v>
      </c>
    </row>
    <row r="44" spans="1:15" x14ac:dyDescent="0.35">
      <c r="A44" s="95">
        <v>5</v>
      </c>
      <c r="B44" s="95" t="s">
        <v>13</v>
      </c>
      <c r="C44" s="95">
        <v>60</v>
      </c>
      <c r="D44" s="95" t="s">
        <v>70</v>
      </c>
      <c r="E44" s="95">
        <v>1</v>
      </c>
      <c r="F44" s="95">
        <v>3</v>
      </c>
      <c r="G44" s="95" t="s">
        <v>224</v>
      </c>
      <c r="H44" s="95" t="s">
        <v>218</v>
      </c>
      <c r="I44" s="95"/>
      <c r="J44" s="95"/>
      <c r="K44" s="46"/>
      <c r="L44" s="46">
        <f>SUMIFS($A$11:$A$401,$B$11:$B$401,"CH",$F$11:$F$401,"")</f>
        <v>0</v>
      </c>
      <c r="M44" s="46" t="s">
        <v>6</v>
      </c>
      <c r="N44" s="46">
        <f>SUMIFS($A$11:$A$401,$B$11:$B$401,"RT",$F$11:$F$401,"")</f>
        <v>0</v>
      </c>
      <c r="O44" s="46" t="s">
        <v>13</v>
      </c>
    </row>
    <row r="45" spans="1:15" x14ac:dyDescent="0.35">
      <c r="A45" s="95">
        <v>5</v>
      </c>
      <c r="B45" s="95" t="s">
        <v>64</v>
      </c>
      <c r="C45" s="95">
        <v>60</v>
      </c>
      <c r="D45" s="95" t="s">
        <v>70</v>
      </c>
      <c r="E45" s="95">
        <v>1</v>
      </c>
      <c r="F45" s="95">
        <v>3</v>
      </c>
      <c r="G45" s="95" t="s">
        <v>224</v>
      </c>
      <c r="H45" s="95" t="s">
        <v>218</v>
      </c>
      <c r="I45" s="95"/>
      <c r="J45" s="95"/>
      <c r="K45" s="46" t="s">
        <v>113</v>
      </c>
      <c r="L45" s="46">
        <f>SUM(L3:L44)</f>
        <v>57</v>
      </c>
      <c r="M45" s="46" t="s">
        <v>6</v>
      </c>
      <c r="N45" s="46">
        <f>SUM(N3:N44)</f>
        <v>417</v>
      </c>
      <c r="O45" s="46" t="s">
        <v>13</v>
      </c>
    </row>
    <row r="46" spans="1:15" x14ac:dyDescent="0.35">
      <c r="A46" s="95">
        <v>2</v>
      </c>
      <c r="B46" s="95" t="s">
        <v>13</v>
      </c>
      <c r="C46" s="95">
        <v>20</v>
      </c>
      <c r="D46" s="95" t="s">
        <v>70</v>
      </c>
      <c r="E46" s="95">
        <v>1</v>
      </c>
      <c r="F46" s="95">
        <v>2</v>
      </c>
      <c r="G46" s="95" t="s">
        <v>244</v>
      </c>
      <c r="H46" s="95" t="s">
        <v>16</v>
      </c>
      <c r="I46" s="95"/>
      <c r="J46" s="95"/>
      <c r="K46" s="46"/>
      <c r="L46" s="46"/>
      <c r="M46" s="46"/>
      <c r="N46" s="46"/>
    </row>
    <row r="47" spans="1:15" x14ac:dyDescent="0.35">
      <c r="A47" s="95">
        <v>6</v>
      </c>
      <c r="B47" s="95" t="s">
        <v>13</v>
      </c>
      <c r="C47" s="95">
        <v>30</v>
      </c>
      <c r="D47" s="95" t="s">
        <v>59</v>
      </c>
      <c r="E47" s="95">
        <v>2</v>
      </c>
      <c r="F47" s="95">
        <v>2</v>
      </c>
      <c r="G47" s="95" t="s">
        <v>244</v>
      </c>
      <c r="H47" s="95" t="s">
        <v>218</v>
      </c>
      <c r="I47" s="95"/>
      <c r="J47" s="95"/>
      <c r="K47" s="46"/>
      <c r="N47" s="46"/>
    </row>
    <row r="48" spans="1:15" x14ac:dyDescent="0.35">
      <c r="A48" s="95">
        <v>7</v>
      </c>
      <c r="B48" s="95" t="s">
        <v>13</v>
      </c>
      <c r="C48" s="95">
        <v>40</v>
      </c>
      <c r="D48" s="95" t="s">
        <v>70</v>
      </c>
      <c r="E48" s="95">
        <v>1</v>
      </c>
      <c r="F48" s="95">
        <v>2</v>
      </c>
      <c r="G48" s="95" t="s">
        <v>244</v>
      </c>
      <c r="H48" s="95" t="s">
        <v>218</v>
      </c>
      <c r="I48" s="95"/>
      <c r="J48" s="95"/>
      <c r="K48" s="46"/>
      <c r="N48" s="46"/>
    </row>
    <row r="49" spans="1:14" x14ac:dyDescent="0.35">
      <c r="A49" s="95">
        <v>1</v>
      </c>
      <c r="B49" s="95" t="s">
        <v>6</v>
      </c>
      <c r="C49" s="95">
        <v>70</v>
      </c>
      <c r="D49" s="95" t="s">
        <v>59</v>
      </c>
      <c r="E49" s="95">
        <v>2</v>
      </c>
      <c r="F49" s="95">
        <v>2</v>
      </c>
      <c r="G49" s="95" t="s">
        <v>244</v>
      </c>
      <c r="H49" s="95" t="s">
        <v>218</v>
      </c>
      <c r="I49" s="95"/>
      <c r="J49" s="95"/>
      <c r="K49" s="46"/>
      <c r="N49" s="46"/>
    </row>
    <row r="50" spans="1:14" x14ac:dyDescent="0.35">
      <c r="A50" s="95">
        <v>1</v>
      </c>
      <c r="B50" s="95" t="s">
        <v>6</v>
      </c>
      <c r="C50" s="95">
        <v>60</v>
      </c>
      <c r="D50" s="95" t="s">
        <v>70</v>
      </c>
      <c r="E50" s="95">
        <v>1</v>
      </c>
      <c r="F50" s="95">
        <v>2</v>
      </c>
      <c r="G50" s="95" t="s">
        <v>244</v>
      </c>
      <c r="H50" s="95" t="s">
        <v>16</v>
      </c>
      <c r="I50" s="95"/>
      <c r="J50" s="95"/>
      <c r="K50" s="46"/>
      <c r="N50" s="46"/>
    </row>
    <row r="51" spans="1:14" x14ac:dyDescent="0.35">
      <c r="A51" s="95">
        <v>8</v>
      </c>
      <c r="B51" s="95" t="s">
        <v>13</v>
      </c>
      <c r="C51" s="95">
        <v>40</v>
      </c>
      <c r="D51" s="95" t="s">
        <v>70</v>
      </c>
      <c r="E51" s="95">
        <v>1</v>
      </c>
      <c r="F51" s="95">
        <v>2</v>
      </c>
      <c r="G51" s="95" t="s">
        <v>244</v>
      </c>
      <c r="H51" s="95" t="s">
        <v>16</v>
      </c>
      <c r="I51" s="95"/>
      <c r="J51" s="95"/>
      <c r="K51" s="46"/>
      <c r="N51" s="46"/>
    </row>
    <row r="52" spans="1:14" x14ac:dyDescent="0.35">
      <c r="A52" s="95">
        <v>6</v>
      </c>
      <c r="B52" s="95" t="s">
        <v>13</v>
      </c>
      <c r="C52" s="95">
        <v>30</v>
      </c>
      <c r="D52" s="95" t="s">
        <v>59</v>
      </c>
      <c r="E52" s="95">
        <v>2</v>
      </c>
      <c r="F52" s="95">
        <v>2</v>
      </c>
      <c r="G52" s="95" t="s">
        <v>244</v>
      </c>
      <c r="H52" s="95" t="s">
        <v>218</v>
      </c>
      <c r="I52" s="95"/>
      <c r="J52" s="95"/>
      <c r="K52" s="46"/>
      <c r="N52" s="46"/>
    </row>
    <row r="53" spans="1:14" x14ac:dyDescent="0.35">
      <c r="A53" s="95">
        <v>5</v>
      </c>
      <c r="B53" s="95" t="s">
        <v>13</v>
      </c>
      <c r="C53" s="95">
        <v>40</v>
      </c>
      <c r="D53" s="95" t="s">
        <v>59</v>
      </c>
      <c r="E53" s="95">
        <v>2</v>
      </c>
      <c r="F53" s="95">
        <v>2</v>
      </c>
      <c r="G53" s="95" t="s">
        <v>244</v>
      </c>
      <c r="H53" s="95" t="s">
        <v>218</v>
      </c>
      <c r="I53" s="95"/>
      <c r="J53" s="95"/>
      <c r="K53" s="46"/>
      <c r="N53" s="46"/>
    </row>
    <row r="54" spans="1:14" x14ac:dyDescent="0.35">
      <c r="A54" s="95">
        <v>1</v>
      </c>
      <c r="B54" s="95" t="s">
        <v>13</v>
      </c>
      <c r="C54" s="95">
        <v>20</v>
      </c>
      <c r="D54" s="95" t="s">
        <v>70</v>
      </c>
      <c r="E54" s="95">
        <v>1</v>
      </c>
      <c r="F54" s="95">
        <v>2</v>
      </c>
      <c r="G54" s="95" t="s">
        <v>244</v>
      </c>
      <c r="H54" s="95" t="s">
        <v>218</v>
      </c>
      <c r="I54" s="95"/>
      <c r="J54" s="95" t="s">
        <v>225</v>
      </c>
      <c r="K54" s="46"/>
      <c r="N54" s="46"/>
    </row>
    <row r="55" spans="1:14" x14ac:dyDescent="0.35">
      <c r="A55" s="95">
        <v>2</v>
      </c>
      <c r="B55" s="95" t="s">
        <v>64</v>
      </c>
      <c r="C55" s="95">
        <v>40</v>
      </c>
      <c r="D55" s="95" t="s">
        <v>59</v>
      </c>
      <c r="E55" s="95">
        <v>2</v>
      </c>
      <c r="F55" s="95">
        <v>2</v>
      </c>
      <c r="G55" s="95" t="s">
        <v>244</v>
      </c>
      <c r="H55" s="95" t="s">
        <v>218</v>
      </c>
      <c r="I55" s="95"/>
      <c r="J55" s="95"/>
      <c r="K55" s="46"/>
      <c r="N55" s="46"/>
    </row>
    <row r="56" spans="1:14" x14ac:dyDescent="0.35">
      <c r="A56" s="95">
        <v>30</v>
      </c>
      <c r="B56" s="95" t="s">
        <v>64</v>
      </c>
      <c r="C56" s="95">
        <v>60</v>
      </c>
      <c r="D56" s="95" t="s">
        <v>70</v>
      </c>
      <c r="E56" s="95">
        <v>1</v>
      </c>
      <c r="F56" s="95">
        <v>2</v>
      </c>
      <c r="G56" s="95" t="s">
        <v>244</v>
      </c>
      <c r="H56" s="95" t="s">
        <v>218</v>
      </c>
      <c r="I56" s="95"/>
      <c r="J56" s="95"/>
      <c r="K56" s="46"/>
      <c r="N56" s="46"/>
    </row>
    <row r="57" spans="1:14" x14ac:dyDescent="0.35">
      <c r="A57" s="95">
        <v>2</v>
      </c>
      <c r="B57" s="95" t="s">
        <v>6</v>
      </c>
      <c r="C57" s="95">
        <v>60</v>
      </c>
      <c r="D57" s="95" t="s">
        <v>70</v>
      </c>
      <c r="E57" s="95">
        <v>1</v>
      </c>
      <c r="F57" s="95">
        <v>2</v>
      </c>
      <c r="G57" s="95" t="s">
        <v>244</v>
      </c>
      <c r="H57" s="95" t="s">
        <v>218</v>
      </c>
      <c r="I57" s="95"/>
      <c r="J57" s="95"/>
      <c r="K57" s="46"/>
      <c r="N57" s="46"/>
    </row>
    <row r="58" spans="1:14" x14ac:dyDescent="0.35">
      <c r="A58" s="95">
        <v>4</v>
      </c>
      <c r="B58" s="95" t="s">
        <v>13</v>
      </c>
      <c r="C58" s="95">
        <v>60</v>
      </c>
      <c r="D58" s="95" t="s">
        <v>70</v>
      </c>
      <c r="E58" s="95">
        <v>1</v>
      </c>
      <c r="F58" s="95">
        <v>2</v>
      </c>
      <c r="G58" s="95" t="s">
        <v>244</v>
      </c>
      <c r="H58" s="95" t="s">
        <v>218</v>
      </c>
      <c r="I58" s="95"/>
      <c r="J58" s="95"/>
      <c r="K58" s="46"/>
      <c r="N58" s="46"/>
    </row>
    <row r="59" spans="1:14" x14ac:dyDescent="0.35">
      <c r="A59" s="95">
        <v>6</v>
      </c>
      <c r="B59" s="95" t="s">
        <v>13</v>
      </c>
      <c r="C59" s="95">
        <v>40</v>
      </c>
      <c r="D59" s="95" t="s">
        <v>70</v>
      </c>
      <c r="E59" s="95">
        <v>1</v>
      </c>
      <c r="F59" s="95">
        <v>2</v>
      </c>
      <c r="G59" s="95" t="s">
        <v>244</v>
      </c>
      <c r="H59" s="95" t="s">
        <v>218</v>
      </c>
      <c r="I59" s="95"/>
      <c r="J59" s="95"/>
      <c r="K59" s="46"/>
      <c r="N59" s="46"/>
    </row>
    <row r="60" spans="1:14" x14ac:dyDescent="0.35">
      <c r="A60" s="95">
        <v>5</v>
      </c>
      <c r="B60" s="95" t="s">
        <v>13</v>
      </c>
      <c r="C60" s="95">
        <v>30</v>
      </c>
      <c r="D60" s="95" t="s">
        <v>59</v>
      </c>
      <c r="E60" s="95">
        <v>2</v>
      </c>
      <c r="F60" s="95">
        <v>2</v>
      </c>
      <c r="G60" s="95" t="s">
        <v>244</v>
      </c>
      <c r="H60" s="95" t="s">
        <v>228</v>
      </c>
      <c r="I60" s="95"/>
      <c r="J60" s="95"/>
      <c r="K60" s="46"/>
      <c r="N60" s="46"/>
    </row>
    <row r="61" spans="1:14" x14ac:dyDescent="0.35">
      <c r="A61" s="95">
        <v>6</v>
      </c>
      <c r="B61" s="95" t="s">
        <v>13</v>
      </c>
      <c r="C61" s="95">
        <v>30</v>
      </c>
      <c r="D61" s="95" t="s">
        <v>59</v>
      </c>
      <c r="E61" s="95">
        <v>2</v>
      </c>
      <c r="F61" s="95">
        <v>2</v>
      </c>
      <c r="G61" s="95" t="s">
        <v>244</v>
      </c>
      <c r="H61" s="95" t="s">
        <v>218</v>
      </c>
      <c r="I61" s="95"/>
      <c r="J61" s="95"/>
      <c r="K61" s="46"/>
      <c r="N61" s="46"/>
    </row>
    <row r="62" spans="1:14" x14ac:dyDescent="0.35">
      <c r="A62" s="95">
        <v>5</v>
      </c>
      <c r="B62" s="95" t="s">
        <v>13</v>
      </c>
      <c r="C62" s="95">
        <v>30</v>
      </c>
      <c r="D62" s="95" t="s">
        <v>59</v>
      </c>
      <c r="E62" s="95">
        <v>2</v>
      </c>
      <c r="F62" s="95">
        <v>2</v>
      </c>
      <c r="G62" s="95" t="s">
        <v>244</v>
      </c>
      <c r="H62" s="95" t="s">
        <v>218</v>
      </c>
      <c r="I62" s="95"/>
      <c r="J62" s="95"/>
      <c r="K62" s="46"/>
      <c r="N62" s="46"/>
    </row>
    <row r="63" spans="1:14" x14ac:dyDescent="0.35">
      <c r="A63" s="95">
        <v>5</v>
      </c>
      <c r="B63" s="95" t="s">
        <v>6</v>
      </c>
      <c r="C63" s="95">
        <v>70</v>
      </c>
      <c r="D63" s="95" t="s">
        <v>70</v>
      </c>
      <c r="E63" s="95">
        <v>1</v>
      </c>
      <c r="F63" s="95">
        <v>2</v>
      </c>
      <c r="G63" s="95" t="s">
        <v>244</v>
      </c>
      <c r="H63" s="95" t="s">
        <v>16</v>
      </c>
      <c r="I63" s="95"/>
      <c r="J63" s="95"/>
      <c r="K63" s="46"/>
      <c r="N63" s="46"/>
    </row>
    <row r="64" spans="1:14" x14ac:dyDescent="0.35">
      <c r="A64" s="95">
        <v>10</v>
      </c>
      <c r="B64" s="95" t="s">
        <v>13</v>
      </c>
      <c r="C64" s="95">
        <v>60</v>
      </c>
      <c r="D64" s="95" t="s">
        <v>70</v>
      </c>
      <c r="E64" s="95">
        <v>1</v>
      </c>
      <c r="F64" s="95">
        <v>2</v>
      </c>
      <c r="G64" s="95" t="s">
        <v>244</v>
      </c>
      <c r="H64" s="95" t="s">
        <v>16</v>
      </c>
      <c r="I64" s="95"/>
      <c r="J64" s="95"/>
      <c r="K64" s="46"/>
      <c r="N64" s="46"/>
    </row>
    <row r="65" spans="1:14" x14ac:dyDescent="0.35">
      <c r="A65" s="95">
        <v>10</v>
      </c>
      <c r="B65" s="95" t="s">
        <v>13</v>
      </c>
      <c r="C65" s="95">
        <v>60</v>
      </c>
      <c r="D65" s="95" t="s">
        <v>70</v>
      </c>
      <c r="E65" s="95">
        <v>1</v>
      </c>
      <c r="F65" s="95">
        <v>2</v>
      </c>
      <c r="G65" s="95" t="s">
        <v>244</v>
      </c>
      <c r="H65" s="95" t="s">
        <v>16</v>
      </c>
      <c r="I65" s="95"/>
      <c r="J65" s="95"/>
      <c r="K65" s="46"/>
      <c r="N65" s="46"/>
    </row>
    <row r="66" spans="1:14" x14ac:dyDescent="0.35">
      <c r="A66" s="95">
        <v>1</v>
      </c>
      <c r="B66" s="95" t="s">
        <v>13</v>
      </c>
      <c r="C66" s="95">
        <v>40</v>
      </c>
      <c r="D66" s="95" t="s">
        <v>70</v>
      </c>
      <c r="E66" s="95">
        <v>1</v>
      </c>
      <c r="F66" s="95">
        <v>2</v>
      </c>
      <c r="G66" s="95" t="s">
        <v>244</v>
      </c>
      <c r="H66" s="95" t="s">
        <v>218</v>
      </c>
      <c r="I66" s="95"/>
      <c r="J66" s="95"/>
      <c r="K66" s="46"/>
      <c r="N66" s="46"/>
    </row>
    <row r="67" spans="1:14" x14ac:dyDescent="0.35">
      <c r="A67" s="95">
        <v>1</v>
      </c>
      <c r="B67" s="95" t="s">
        <v>13</v>
      </c>
      <c r="C67" s="95">
        <v>70</v>
      </c>
      <c r="D67" s="95" t="s">
        <v>70</v>
      </c>
      <c r="E67" s="95">
        <v>1</v>
      </c>
      <c r="F67" s="95">
        <v>2</v>
      </c>
      <c r="G67" s="95" t="s">
        <v>244</v>
      </c>
      <c r="H67" s="95" t="s">
        <v>218</v>
      </c>
      <c r="I67" s="95"/>
      <c r="J67" s="95"/>
      <c r="K67" s="46"/>
      <c r="N67" s="46"/>
    </row>
    <row r="68" spans="1:14" x14ac:dyDescent="0.35">
      <c r="A68" s="95">
        <v>3</v>
      </c>
      <c r="B68" s="95" t="s">
        <v>13</v>
      </c>
      <c r="C68" s="95">
        <v>40</v>
      </c>
      <c r="D68" s="95" t="s">
        <v>70</v>
      </c>
      <c r="E68" s="95">
        <v>1</v>
      </c>
      <c r="F68" s="95">
        <v>2</v>
      </c>
      <c r="G68" s="95" t="s">
        <v>244</v>
      </c>
      <c r="H68" s="95" t="s">
        <v>10</v>
      </c>
      <c r="I68" s="95"/>
      <c r="J68" s="95" t="s">
        <v>247</v>
      </c>
      <c r="K68" s="46"/>
      <c r="N68" s="46"/>
    </row>
    <row r="69" spans="1:14" x14ac:dyDescent="0.35">
      <c r="A69" s="95">
        <v>10</v>
      </c>
      <c r="B69" s="95" t="s">
        <v>64</v>
      </c>
      <c r="C69" s="95">
        <v>60</v>
      </c>
      <c r="D69" s="95" t="s">
        <v>70</v>
      </c>
      <c r="E69" s="95">
        <v>1</v>
      </c>
      <c r="F69" s="95">
        <v>2</v>
      </c>
      <c r="G69" s="95" t="s">
        <v>244</v>
      </c>
      <c r="H69" s="95" t="s">
        <v>218</v>
      </c>
      <c r="I69" s="95"/>
      <c r="J69" s="95"/>
      <c r="K69" s="46"/>
      <c r="N69" s="46"/>
    </row>
    <row r="70" spans="1:14" x14ac:dyDescent="0.35">
      <c r="A70" s="95">
        <v>2</v>
      </c>
      <c r="B70" s="95" t="s">
        <v>6</v>
      </c>
      <c r="C70" s="95">
        <v>60</v>
      </c>
      <c r="D70" s="95" t="s">
        <v>70</v>
      </c>
      <c r="E70" s="95">
        <v>1</v>
      </c>
      <c r="F70" s="95">
        <v>2</v>
      </c>
      <c r="G70" s="95" t="s">
        <v>244</v>
      </c>
      <c r="H70" s="95" t="s">
        <v>218</v>
      </c>
      <c r="I70" s="95"/>
      <c r="J70" s="95"/>
      <c r="K70" s="46"/>
      <c r="N70" s="46"/>
    </row>
    <row r="71" spans="1:14" x14ac:dyDescent="0.35">
      <c r="A71" s="95">
        <v>10</v>
      </c>
      <c r="B71" s="95" t="s">
        <v>13</v>
      </c>
      <c r="C71" s="95">
        <v>40</v>
      </c>
      <c r="D71" s="95" t="s">
        <v>70</v>
      </c>
      <c r="E71" s="95">
        <v>1</v>
      </c>
      <c r="F71" s="95">
        <v>2</v>
      </c>
      <c r="G71" s="95" t="s">
        <v>244</v>
      </c>
      <c r="H71" s="95" t="s">
        <v>218</v>
      </c>
      <c r="I71" s="95"/>
      <c r="J71" s="95"/>
      <c r="K71" s="46"/>
      <c r="N71" s="46"/>
    </row>
    <row r="72" spans="1:14" x14ac:dyDescent="0.35">
      <c r="A72" s="95">
        <v>2</v>
      </c>
      <c r="B72" s="95" t="s">
        <v>13</v>
      </c>
      <c r="C72" s="95">
        <v>20</v>
      </c>
      <c r="D72" s="95" t="s">
        <v>70</v>
      </c>
      <c r="E72" s="95">
        <v>1</v>
      </c>
      <c r="F72" s="95">
        <v>2</v>
      </c>
      <c r="G72" s="95" t="s">
        <v>244</v>
      </c>
      <c r="H72" s="95" t="s">
        <v>218</v>
      </c>
      <c r="I72" s="95"/>
      <c r="J72" s="95"/>
      <c r="K72" s="46"/>
      <c r="N72" s="46"/>
    </row>
    <row r="73" spans="1:14" x14ac:dyDescent="0.35">
      <c r="A73" s="95">
        <v>4</v>
      </c>
      <c r="B73" s="95" t="s">
        <v>13</v>
      </c>
      <c r="C73" s="95">
        <v>30</v>
      </c>
      <c r="D73" s="95" t="s">
        <v>59</v>
      </c>
      <c r="E73" s="95">
        <v>2</v>
      </c>
      <c r="F73" s="95">
        <v>2</v>
      </c>
      <c r="G73" s="95" t="s">
        <v>244</v>
      </c>
      <c r="H73" s="95" t="s">
        <v>218</v>
      </c>
      <c r="I73" s="95"/>
      <c r="J73" s="95"/>
      <c r="K73" s="46"/>
      <c r="N73" s="46"/>
    </row>
    <row r="74" spans="1:14" x14ac:dyDescent="0.35">
      <c r="A74" s="95">
        <v>15</v>
      </c>
      <c r="B74" s="95" t="s">
        <v>13</v>
      </c>
      <c r="C74" s="95">
        <v>40</v>
      </c>
      <c r="D74" s="95" t="s">
        <v>59</v>
      </c>
      <c r="E74" s="95">
        <v>2</v>
      </c>
      <c r="F74" s="95">
        <v>2</v>
      </c>
      <c r="G74" s="95" t="s">
        <v>244</v>
      </c>
      <c r="H74" s="95" t="s">
        <v>218</v>
      </c>
      <c r="I74" s="95"/>
      <c r="J74" s="95"/>
      <c r="K74" s="46"/>
      <c r="N74" s="46"/>
    </row>
    <row r="75" spans="1:14" x14ac:dyDescent="0.35">
      <c r="A75" s="95">
        <v>3</v>
      </c>
      <c r="B75" s="95" t="s">
        <v>13</v>
      </c>
      <c r="C75" s="95">
        <v>40</v>
      </c>
      <c r="D75" s="95" t="s">
        <v>70</v>
      </c>
      <c r="E75" s="95">
        <v>1</v>
      </c>
      <c r="F75" s="95">
        <v>4</v>
      </c>
      <c r="G75" s="95" t="s">
        <v>244</v>
      </c>
      <c r="H75" s="95" t="s">
        <v>218</v>
      </c>
      <c r="I75" s="95"/>
      <c r="J75" s="95"/>
      <c r="K75" s="46"/>
      <c r="N75" s="46"/>
    </row>
    <row r="76" spans="1:14" x14ac:dyDescent="0.35">
      <c r="A76" s="95">
        <v>2</v>
      </c>
      <c r="B76" s="95" t="s">
        <v>6</v>
      </c>
      <c r="C76" s="95">
        <v>60</v>
      </c>
      <c r="D76" s="95" t="s">
        <v>70</v>
      </c>
      <c r="E76" s="95">
        <v>1</v>
      </c>
      <c r="F76" s="95">
        <v>4</v>
      </c>
      <c r="G76" s="95" t="s">
        <v>244</v>
      </c>
      <c r="H76" s="95" t="s">
        <v>218</v>
      </c>
      <c r="I76" s="95"/>
      <c r="J76" s="95"/>
      <c r="K76" s="46"/>
      <c r="N76" s="46"/>
    </row>
    <row r="77" spans="1:14" x14ac:dyDescent="0.35">
      <c r="A77" s="95">
        <v>1</v>
      </c>
      <c r="B77" s="95" t="s">
        <v>13</v>
      </c>
      <c r="C77" s="95">
        <v>30</v>
      </c>
      <c r="D77" s="95" t="s">
        <v>59</v>
      </c>
      <c r="E77" s="95">
        <v>2</v>
      </c>
      <c r="F77" s="95">
        <v>4</v>
      </c>
      <c r="G77" s="95" t="s">
        <v>244</v>
      </c>
      <c r="H77" s="95" t="s">
        <v>218</v>
      </c>
      <c r="I77" s="95"/>
      <c r="J77" s="95" t="s">
        <v>226</v>
      </c>
      <c r="K77" s="46"/>
      <c r="N77" s="46"/>
    </row>
    <row r="78" spans="1:14" x14ac:dyDescent="0.35">
      <c r="A78" s="95">
        <v>1</v>
      </c>
      <c r="B78" s="95" t="s">
        <v>64</v>
      </c>
      <c r="C78" s="95">
        <v>30</v>
      </c>
      <c r="D78" s="95" t="s">
        <v>70</v>
      </c>
      <c r="E78" s="95">
        <v>1</v>
      </c>
      <c r="F78" s="95">
        <v>4</v>
      </c>
      <c r="G78" s="95" t="s">
        <v>244</v>
      </c>
      <c r="H78" s="95" t="s">
        <v>218</v>
      </c>
      <c r="I78" s="95"/>
      <c r="J78" s="95"/>
      <c r="K78" s="46"/>
      <c r="N78" s="46"/>
    </row>
    <row r="79" spans="1:14" x14ac:dyDescent="0.35">
      <c r="A79" s="95">
        <v>2</v>
      </c>
      <c r="B79" s="95" t="s">
        <v>13</v>
      </c>
      <c r="C79" s="95">
        <v>40</v>
      </c>
      <c r="D79" s="95" t="s">
        <v>70</v>
      </c>
      <c r="E79" s="95">
        <v>1</v>
      </c>
      <c r="F79" s="95">
        <v>4</v>
      </c>
      <c r="G79" s="95" t="s">
        <v>244</v>
      </c>
      <c r="H79" s="95" t="s">
        <v>218</v>
      </c>
      <c r="I79" s="95"/>
      <c r="J79" s="95"/>
      <c r="K79" s="46"/>
      <c r="N79" s="46"/>
    </row>
    <row r="80" spans="1:14" x14ac:dyDescent="0.35">
      <c r="A80" s="95">
        <v>50</v>
      </c>
      <c r="B80" s="95" t="s">
        <v>64</v>
      </c>
      <c r="C80" s="95">
        <v>60</v>
      </c>
      <c r="D80" s="95" t="s">
        <v>59</v>
      </c>
      <c r="E80" s="95">
        <v>2</v>
      </c>
      <c r="F80" s="95">
        <v>4</v>
      </c>
      <c r="G80" s="95" t="s">
        <v>244</v>
      </c>
      <c r="H80" s="95" t="s">
        <v>218</v>
      </c>
      <c r="I80" s="95"/>
      <c r="J80" s="95"/>
      <c r="K80" s="46"/>
      <c r="N80" s="46"/>
    </row>
    <row r="81" spans="1:14" x14ac:dyDescent="0.35">
      <c r="A81" s="95">
        <v>5</v>
      </c>
      <c r="B81" s="95" t="s">
        <v>6</v>
      </c>
      <c r="C81" s="95">
        <v>60</v>
      </c>
      <c r="D81" s="95" t="s">
        <v>59</v>
      </c>
      <c r="E81" s="95">
        <v>2</v>
      </c>
      <c r="F81" s="95">
        <v>4</v>
      </c>
      <c r="G81" s="95" t="s">
        <v>244</v>
      </c>
      <c r="H81" s="95" t="s">
        <v>218</v>
      </c>
      <c r="I81" s="95"/>
      <c r="J81" s="95"/>
      <c r="K81" s="46"/>
      <c r="N81" s="46"/>
    </row>
    <row r="82" spans="1:14" x14ac:dyDescent="0.35">
      <c r="A82" s="95">
        <v>3</v>
      </c>
      <c r="B82" s="95" t="s">
        <v>13</v>
      </c>
      <c r="C82" s="95">
        <v>30</v>
      </c>
      <c r="D82" s="95" t="s">
        <v>59</v>
      </c>
      <c r="E82" s="95">
        <v>2</v>
      </c>
      <c r="F82" s="95">
        <v>4</v>
      </c>
      <c r="G82" s="95" t="s">
        <v>244</v>
      </c>
      <c r="H82" s="95" t="s">
        <v>218</v>
      </c>
      <c r="I82" s="95"/>
      <c r="J82" s="95"/>
      <c r="K82" s="46"/>
      <c r="N82" s="46"/>
    </row>
    <row r="83" spans="1:14" x14ac:dyDescent="0.35">
      <c r="A83" s="95">
        <v>20</v>
      </c>
      <c r="B83" s="95" t="s">
        <v>64</v>
      </c>
      <c r="C83" s="95">
        <v>60</v>
      </c>
      <c r="D83" s="95" t="s">
        <v>70</v>
      </c>
      <c r="E83" s="95">
        <v>1</v>
      </c>
      <c r="F83" s="95">
        <v>4</v>
      </c>
      <c r="G83" s="95" t="s">
        <v>244</v>
      </c>
      <c r="H83" s="95" t="s">
        <v>218</v>
      </c>
      <c r="I83" s="95"/>
      <c r="J83" s="95"/>
      <c r="K83" s="46"/>
      <c r="N83" s="46"/>
    </row>
    <row r="84" spans="1:14" x14ac:dyDescent="0.35">
      <c r="A84" s="95">
        <v>10</v>
      </c>
      <c r="B84" s="95" t="s">
        <v>64</v>
      </c>
      <c r="C84" s="95">
        <v>70</v>
      </c>
      <c r="D84" s="95" t="s">
        <v>70</v>
      </c>
      <c r="E84" s="95">
        <v>1</v>
      </c>
      <c r="F84" s="95">
        <v>4</v>
      </c>
      <c r="G84" s="95" t="s">
        <v>244</v>
      </c>
      <c r="H84" s="95" t="s">
        <v>218</v>
      </c>
      <c r="I84" s="95"/>
      <c r="J84" s="95"/>
      <c r="K84" s="46"/>
      <c r="N84" s="46"/>
    </row>
    <row r="85" spans="1:14" x14ac:dyDescent="0.35">
      <c r="A85" s="95">
        <v>8</v>
      </c>
      <c r="B85" s="95" t="s">
        <v>13</v>
      </c>
      <c r="C85" s="95">
        <v>40</v>
      </c>
      <c r="D85" s="95" t="s">
        <v>70</v>
      </c>
      <c r="E85" s="95">
        <v>1</v>
      </c>
      <c r="F85" s="95">
        <v>4</v>
      </c>
      <c r="G85" s="95" t="s">
        <v>244</v>
      </c>
      <c r="H85" s="95" t="s">
        <v>218</v>
      </c>
      <c r="I85" s="95"/>
      <c r="J85" s="95"/>
      <c r="K85" s="46"/>
      <c r="N85" s="46"/>
    </row>
    <row r="86" spans="1:14" x14ac:dyDescent="0.35">
      <c r="A86" s="95">
        <v>2</v>
      </c>
      <c r="B86" s="95" t="s">
        <v>6</v>
      </c>
      <c r="C86" s="95">
        <v>40</v>
      </c>
      <c r="D86" s="95" t="s">
        <v>70</v>
      </c>
      <c r="E86" s="95">
        <v>1</v>
      </c>
      <c r="F86" s="95">
        <v>4</v>
      </c>
      <c r="G86" s="95" t="s">
        <v>244</v>
      </c>
      <c r="H86" s="95" t="s">
        <v>218</v>
      </c>
      <c r="I86" s="95"/>
      <c r="J86" s="95"/>
      <c r="K86" s="46"/>
      <c r="N86" s="46"/>
    </row>
    <row r="87" spans="1:14" x14ac:dyDescent="0.35">
      <c r="A87" s="95">
        <v>20</v>
      </c>
      <c r="B87" s="95" t="s">
        <v>64</v>
      </c>
      <c r="C87" s="95">
        <v>60</v>
      </c>
      <c r="D87" s="95" t="s">
        <v>59</v>
      </c>
      <c r="E87" s="95">
        <v>2</v>
      </c>
      <c r="F87" s="95">
        <v>4</v>
      </c>
      <c r="G87" s="95" t="s">
        <v>244</v>
      </c>
      <c r="H87" s="95" t="s">
        <v>218</v>
      </c>
      <c r="I87" s="95"/>
      <c r="J87" s="95"/>
      <c r="K87" s="46"/>
      <c r="N87" s="46"/>
    </row>
    <row r="88" spans="1:14" x14ac:dyDescent="0.35">
      <c r="A88" s="95">
        <v>10</v>
      </c>
      <c r="B88" s="95" t="s">
        <v>13</v>
      </c>
      <c r="C88" s="95">
        <v>40</v>
      </c>
      <c r="D88" s="95" t="s">
        <v>59</v>
      </c>
      <c r="E88" s="95">
        <v>2</v>
      </c>
      <c r="F88" s="95">
        <v>4</v>
      </c>
      <c r="G88" s="95" t="s">
        <v>244</v>
      </c>
      <c r="H88" s="95" t="s">
        <v>218</v>
      </c>
      <c r="I88" s="95"/>
      <c r="J88" s="95"/>
      <c r="K88" s="46"/>
      <c r="N88" s="46"/>
    </row>
    <row r="89" spans="1:14" x14ac:dyDescent="0.35">
      <c r="A89" s="95">
        <v>1</v>
      </c>
      <c r="B89" s="95" t="s">
        <v>6</v>
      </c>
      <c r="C89" s="95">
        <v>60</v>
      </c>
      <c r="D89" s="95" t="s">
        <v>59</v>
      </c>
      <c r="E89" s="95">
        <v>2</v>
      </c>
      <c r="F89" s="95">
        <v>4</v>
      </c>
      <c r="G89" s="95" t="s">
        <v>244</v>
      </c>
      <c r="H89" s="95" t="s">
        <v>218</v>
      </c>
      <c r="I89" s="95"/>
      <c r="J89" s="95"/>
      <c r="K89" s="47"/>
      <c r="N89" s="47"/>
    </row>
    <row r="90" spans="1:14" x14ac:dyDescent="0.35">
      <c r="A90" s="95">
        <v>6</v>
      </c>
      <c r="B90" s="95" t="s">
        <v>64</v>
      </c>
      <c r="C90" s="95">
        <v>40</v>
      </c>
      <c r="D90" s="95" t="s">
        <v>70</v>
      </c>
      <c r="E90" s="95">
        <v>1</v>
      </c>
      <c r="F90" s="95">
        <v>4</v>
      </c>
      <c r="G90" s="95" t="s">
        <v>244</v>
      </c>
      <c r="H90" s="95" t="s">
        <v>218</v>
      </c>
      <c r="I90" s="95"/>
      <c r="J90" s="95"/>
    </row>
    <row r="91" spans="1:14" x14ac:dyDescent="0.35">
      <c r="A91" s="95">
        <v>1</v>
      </c>
      <c r="B91" s="95" t="s">
        <v>13</v>
      </c>
      <c r="C91" s="95">
        <v>40</v>
      </c>
      <c r="D91" s="95" t="s">
        <v>70</v>
      </c>
      <c r="E91" s="95">
        <v>1</v>
      </c>
      <c r="F91" s="95">
        <v>4</v>
      </c>
      <c r="G91" s="95" t="s">
        <v>244</v>
      </c>
      <c r="H91" s="95" t="s">
        <v>218</v>
      </c>
      <c r="I91" s="95"/>
      <c r="J91" s="95"/>
    </row>
    <row r="92" spans="1:14" x14ac:dyDescent="0.35">
      <c r="A92" s="95">
        <v>4</v>
      </c>
      <c r="B92" s="95" t="s">
        <v>64</v>
      </c>
      <c r="C92" s="95">
        <v>60</v>
      </c>
      <c r="D92" s="95" t="s">
        <v>70</v>
      </c>
      <c r="E92" s="95">
        <v>1</v>
      </c>
      <c r="F92" s="95">
        <v>4</v>
      </c>
      <c r="G92" s="95" t="s">
        <v>244</v>
      </c>
      <c r="H92" s="95" t="s">
        <v>218</v>
      </c>
      <c r="I92" s="95"/>
      <c r="J92" s="95"/>
    </row>
    <row r="93" spans="1:14" x14ac:dyDescent="0.35">
      <c r="A93" s="95">
        <v>2</v>
      </c>
      <c r="B93" s="95" t="s">
        <v>6</v>
      </c>
      <c r="C93" s="95">
        <v>40</v>
      </c>
      <c r="D93" s="95" t="s">
        <v>70</v>
      </c>
      <c r="E93" s="95">
        <v>1</v>
      </c>
      <c r="F93" s="95">
        <v>4</v>
      </c>
      <c r="G93" s="95" t="s">
        <v>244</v>
      </c>
      <c r="H93" s="95" t="s">
        <v>248</v>
      </c>
      <c r="I93" s="95"/>
      <c r="J93" s="95"/>
    </row>
    <row r="94" spans="1:14" x14ac:dyDescent="0.35">
      <c r="A94" s="95">
        <v>1</v>
      </c>
      <c r="B94" s="95" t="s">
        <v>6</v>
      </c>
      <c r="C94" s="95">
        <v>60</v>
      </c>
      <c r="D94" s="95" t="s">
        <v>70</v>
      </c>
      <c r="E94" s="95">
        <v>1</v>
      </c>
      <c r="F94" s="95">
        <v>4</v>
      </c>
      <c r="G94" s="95" t="s">
        <v>244</v>
      </c>
      <c r="H94" s="95" t="s">
        <v>248</v>
      </c>
      <c r="I94" s="95"/>
      <c r="J94" s="95"/>
    </row>
    <row r="95" spans="1:14" x14ac:dyDescent="0.35">
      <c r="A95" s="95">
        <v>20</v>
      </c>
      <c r="B95" s="95" t="s">
        <v>64</v>
      </c>
      <c r="C95" s="95">
        <v>60</v>
      </c>
      <c r="D95" s="95" t="s">
        <v>59</v>
      </c>
      <c r="E95" s="95">
        <v>2</v>
      </c>
      <c r="F95" s="95">
        <v>4</v>
      </c>
      <c r="G95" s="95" t="s">
        <v>244</v>
      </c>
      <c r="H95" s="95" t="s">
        <v>218</v>
      </c>
      <c r="I95" s="95"/>
      <c r="J95" s="95"/>
    </row>
    <row r="96" spans="1:14" x14ac:dyDescent="0.35">
      <c r="A96" s="95">
        <v>10</v>
      </c>
      <c r="B96" s="95" t="s">
        <v>13</v>
      </c>
      <c r="C96" s="95">
        <v>40</v>
      </c>
      <c r="D96" s="95" t="s">
        <v>59</v>
      </c>
      <c r="E96" s="95">
        <v>2</v>
      </c>
      <c r="F96" s="95">
        <v>4</v>
      </c>
      <c r="G96" s="95" t="s">
        <v>244</v>
      </c>
      <c r="H96" s="95" t="s">
        <v>218</v>
      </c>
      <c r="I96" s="95"/>
      <c r="J96" s="95"/>
    </row>
    <row r="97" spans="1:10" x14ac:dyDescent="0.35">
      <c r="A97" s="95">
        <v>2</v>
      </c>
      <c r="B97" s="95" t="s">
        <v>6</v>
      </c>
      <c r="C97" s="95">
        <v>30</v>
      </c>
      <c r="D97" s="95" t="s">
        <v>59</v>
      </c>
      <c r="E97" s="95">
        <v>2</v>
      </c>
      <c r="F97" s="95">
        <v>4</v>
      </c>
      <c r="G97" s="95" t="s">
        <v>244</v>
      </c>
      <c r="H97" s="95" t="s">
        <v>218</v>
      </c>
      <c r="I97" s="95"/>
      <c r="J97" s="95"/>
    </row>
    <row r="98" spans="1:10" x14ac:dyDescent="0.35">
      <c r="A98" s="95">
        <v>4</v>
      </c>
      <c r="B98" s="95" t="s">
        <v>64</v>
      </c>
      <c r="C98" s="95">
        <v>40</v>
      </c>
      <c r="D98" s="95" t="s">
        <v>59</v>
      </c>
      <c r="E98" s="95">
        <v>2</v>
      </c>
      <c r="F98" s="95">
        <v>4</v>
      </c>
      <c r="G98" s="95" t="s">
        <v>244</v>
      </c>
      <c r="H98" s="95" t="s">
        <v>218</v>
      </c>
      <c r="I98" s="95"/>
      <c r="J98" s="95"/>
    </row>
    <row r="99" spans="1:10" x14ac:dyDescent="0.35">
      <c r="A99" s="95">
        <v>1</v>
      </c>
      <c r="B99" s="95" t="s">
        <v>13</v>
      </c>
      <c r="C99" s="95">
        <v>40</v>
      </c>
      <c r="D99" s="95" t="s">
        <v>59</v>
      </c>
      <c r="E99" s="95">
        <v>2</v>
      </c>
      <c r="F99" s="95">
        <v>4</v>
      </c>
      <c r="G99" s="95" t="s">
        <v>244</v>
      </c>
      <c r="H99" s="95" t="s">
        <v>218</v>
      </c>
      <c r="I99" s="95"/>
      <c r="J99" s="95"/>
    </row>
    <row r="100" spans="1:10" x14ac:dyDescent="0.35">
      <c r="A100" s="95">
        <v>3</v>
      </c>
      <c r="B100" s="95" t="s">
        <v>64</v>
      </c>
      <c r="C100" s="95">
        <v>40</v>
      </c>
      <c r="D100" s="95" t="s">
        <v>59</v>
      </c>
      <c r="E100" s="95">
        <v>2</v>
      </c>
      <c r="F100" s="95">
        <v>4</v>
      </c>
      <c r="G100" s="95" t="s">
        <v>244</v>
      </c>
      <c r="H100" s="95" t="s">
        <v>218</v>
      </c>
      <c r="I100" s="95"/>
      <c r="J100" s="95"/>
    </row>
    <row r="101" spans="1:10" x14ac:dyDescent="0.35">
      <c r="A101" s="95">
        <v>1</v>
      </c>
      <c r="B101" s="95" t="s">
        <v>6</v>
      </c>
      <c r="C101" s="95">
        <v>40</v>
      </c>
      <c r="D101" s="95" t="s">
        <v>70</v>
      </c>
      <c r="E101" s="95">
        <v>1</v>
      </c>
      <c r="F101" s="95">
        <v>4</v>
      </c>
      <c r="G101" s="95" t="s">
        <v>244</v>
      </c>
      <c r="H101" s="95" t="s">
        <v>218</v>
      </c>
      <c r="I101" s="95"/>
      <c r="J101" s="95"/>
    </row>
    <row r="102" spans="1:10" x14ac:dyDescent="0.35">
      <c r="A102" s="95">
        <v>1</v>
      </c>
      <c r="B102" s="95" t="s">
        <v>13</v>
      </c>
      <c r="C102" s="95">
        <v>60</v>
      </c>
      <c r="D102" s="95" t="s">
        <v>59</v>
      </c>
      <c r="E102" s="95">
        <v>2</v>
      </c>
      <c r="F102" s="95">
        <v>4</v>
      </c>
      <c r="G102" s="95" t="s">
        <v>244</v>
      </c>
      <c r="H102" s="95" t="s">
        <v>218</v>
      </c>
      <c r="I102" s="95"/>
      <c r="J102" s="95"/>
    </row>
    <row r="103" spans="1:10" x14ac:dyDescent="0.35">
      <c r="A103" s="95">
        <v>100</v>
      </c>
      <c r="B103" s="95" t="s">
        <v>64</v>
      </c>
      <c r="C103" s="95">
        <v>40</v>
      </c>
      <c r="D103" s="95" t="s">
        <v>70</v>
      </c>
      <c r="E103" s="95">
        <v>1</v>
      </c>
      <c r="F103" s="95">
        <v>4</v>
      </c>
      <c r="G103" s="95" t="s">
        <v>244</v>
      </c>
      <c r="H103" s="95" t="s">
        <v>218</v>
      </c>
      <c r="I103" s="95"/>
      <c r="J103" s="95"/>
    </row>
    <row r="104" spans="1:10" x14ac:dyDescent="0.35">
      <c r="A104" s="95">
        <v>1</v>
      </c>
      <c r="B104" s="95" t="s">
        <v>6</v>
      </c>
      <c r="C104" s="95">
        <v>70</v>
      </c>
      <c r="D104" s="95" t="s">
        <v>70</v>
      </c>
      <c r="E104" s="95">
        <v>1</v>
      </c>
      <c r="F104" s="95">
        <v>4</v>
      </c>
      <c r="G104" s="95" t="s">
        <v>244</v>
      </c>
      <c r="H104" s="95" t="s">
        <v>218</v>
      </c>
      <c r="I104" s="95"/>
      <c r="J104" s="95"/>
    </row>
    <row r="105" spans="1:10" x14ac:dyDescent="0.35">
      <c r="A105" s="95">
        <v>3</v>
      </c>
      <c r="B105" s="95" t="s">
        <v>64</v>
      </c>
      <c r="C105" s="95">
        <v>40</v>
      </c>
      <c r="D105" s="95" t="s">
        <v>59</v>
      </c>
      <c r="E105" s="95">
        <v>2</v>
      </c>
      <c r="F105" s="95">
        <v>4</v>
      </c>
      <c r="G105" s="95" t="s">
        <v>244</v>
      </c>
      <c r="H105" s="95" t="s">
        <v>218</v>
      </c>
      <c r="I105" s="95"/>
      <c r="J105" s="95"/>
    </row>
    <row r="106" spans="1:10" x14ac:dyDescent="0.35">
      <c r="A106" s="95">
        <v>40</v>
      </c>
      <c r="B106" s="95" t="s">
        <v>64</v>
      </c>
      <c r="C106" s="95">
        <v>60</v>
      </c>
      <c r="D106" s="95" t="s">
        <v>70</v>
      </c>
      <c r="E106" s="95">
        <v>1</v>
      </c>
      <c r="F106" s="95">
        <v>4</v>
      </c>
      <c r="G106" s="95" t="s">
        <v>244</v>
      </c>
      <c r="H106" s="95" t="s">
        <v>218</v>
      </c>
      <c r="I106" s="95"/>
      <c r="J106" s="95"/>
    </row>
    <row r="107" spans="1:10" x14ac:dyDescent="0.35">
      <c r="A107" s="95">
        <v>5</v>
      </c>
      <c r="B107" s="95" t="s">
        <v>13</v>
      </c>
      <c r="C107" s="95">
        <v>70</v>
      </c>
      <c r="D107" s="95" t="s">
        <v>70</v>
      </c>
      <c r="E107" s="95">
        <v>1</v>
      </c>
      <c r="F107" s="95">
        <v>4</v>
      </c>
      <c r="G107" s="95" t="s">
        <v>244</v>
      </c>
      <c r="H107" s="95" t="s">
        <v>218</v>
      </c>
      <c r="I107" s="95"/>
      <c r="J107" s="95"/>
    </row>
    <row r="108" spans="1:10" x14ac:dyDescent="0.35">
      <c r="A108" s="95">
        <v>1</v>
      </c>
      <c r="B108" s="95" t="s">
        <v>6</v>
      </c>
      <c r="C108" s="95">
        <v>60</v>
      </c>
      <c r="D108" s="95" t="s">
        <v>70</v>
      </c>
      <c r="E108" s="95">
        <v>1</v>
      </c>
      <c r="F108" s="95">
        <v>4</v>
      </c>
      <c r="G108" s="95" t="s">
        <v>244</v>
      </c>
      <c r="H108" s="95" t="s">
        <v>218</v>
      </c>
      <c r="I108" s="95"/>
      <c r="J108" s="95"/>
    </row>
    <row r="109" spans="1:10" x14ac:dyDescent="0.35">
      <c r="A109" s="95">
        <v>4</v>
      </c>
      <c r="B109" s="95" t="s">
        <v>13</v>
      </c>
      <c r="C109" s="95">
        <v>60</v>
      </c>
      <c r="D109" s="95" t="s">
        <v>70</v>
      </c>
      <c r="E109" s="95">
        <v>1</v>
      </c>
      <c r="F109" s="95">
        <v>4</v>
      </c>
      <c r="G109" s="95" t="s">
        <v>244</v>
      </c>
      <c r="H109" s="95" t="s">
        <v>218</v>
      </c>
      <c r="I109" s="95"/>
      <c r="J109" s="95"/>
    </row>
    <row r="110" spans="1:10" x14ac:dyDescent="0.35">
      <c r="A110" s="95">
        <v>1</v>
      </c>
      <c r="B110" s="95" t="s">
        <v>6</v>
      </c>
      <c r="C110" s="95">
        <v>50</v>
      </c>
      <c r="D110" s="95" t="s">
        <v>70</v>
      </c>
      <c r="E110" s="95">
        <v>1</v>
      </c>
      <c r="F110" s="95">
        <v>4</v>
      </c>
      <c r="G110" s="95" t="s">
        <v>244</v>
      </c>
      <c r="H110" s="95" t="s">
        <v>16</v>
      </c>
      <c r="I110" s="95"/>
      <c r="J110" s="95"/>
    </row>
    <row r="111" spans="1:10" x14ac:dyDescent="0.35">
      <c r="A111" s="95">
        <v>3</v>
      </c>
      <c r="B111" s="95" t="s">
        <v>6</v>
      </c>
      <c r="C111" s="95">
        <v>60</v>
      </c>
      <c r="D111" s="95" t="s">
        <v>70</v>
      </c>
      <c r="E111" s="95">
        <v>1</v>
      </c>
      <c r="F111" s="95">
        <v>4</v>
      </c>
      <c r="G111" s="95" t="s">
        <v>244</v>
      </c>
      <c r="H111" s="95" t="s">
        <v>16</v>
      </c>
      <c r="I111" s="95"/>
      <c r="J111" s="95"/>
    </row>
    <row r="112" spans="1:10" x14ac:dyDescent="0.35">
      <c r="A112" s="95">
        <v>7</v>
      </c>
      <c r="B112" s="95" t="s">
        <v>64</v>
      </c>
      <c r="C112" s="95">
        <v>60</v>
      </c>
      <c r="D112" s="95" t="s">
        <v>70</v>
      </c>
      <c r="E112" s="95">
        <v>1</v>
      </c>
      <c r="F112" s="95">
        <v>4</v>
      </c>
      <c r="G112" s="95" t="s">
        <v>244</v>
      </c>
      <c r="H112" s="95" t="s">
        <v>16</v>
      </c>
      <c r="I112" s="95"/>
      <c r="J112" s="95"/>
    </row>
    <row r="113" spans="1:10" x14ac:dyDescent="0.35">
      <c r="A113" s="95">
        <v>4</v>
      </c>
      <c r="B113" s="95" t="s">
        <v>13</v>
      </c>
      <c r="C113" s="95">
        <v>60</v>
      </c>
      <c r="D113" s="95" t="s">
        <v>70</v>
      </c>
      <c r="E113" s="95">
        <v>1</v>
      </c>
      <c r="F113" s="95">
        <v>4</v>
      </c>
      <c r="G113" s="95" t="s">
        <v>244</v>
      </c>
      <c r="H113" s="95" t="s">
        <v>16</v>
      </c>
      <c r="I113" s="95"/>
      <c r="J113" s="95"/>
    </row>
    <row r="114" spans="1:10" x14ac:dyDescent="0.35">
      <c r="A114" s="95">
        <v>10</v>
      </c>
      <c r="B114" s="95" t="s">
        <v>13</v>
      </c>
      <c r="C114" s="95">
        <v>40</v>
      </c>
      <c r="D114" s="95" t="s">
        <v>59</v>
      </c>
      <c r="E114" s="95">
        <v>2</v>
      </c>
      <c r="F114" s="95">
        <v>4</v>
      </c>
      <c r="G114" s="95" t="s">
        <v>244</v>
      </c>
      <c r="H114" s="95" t="s">
        <v>218</v>
      </c>
      <c r="I114" s="95"/>
      <c r="J114" s="95"/>
    </row>
    <row r="115" spans="1:10" x14ac:dyDescent="0.35">
      <c r="A115" s="95">
        <v>2</v>
      </c>
      <c r="B115" s="95" t="s">
        <v>64</v>
      </c>
      <c r="C115" s="95">
        <v>40</v>
      </c>
      <c r="D115" s="95" t="s">
        <v>70</v>
      </c>
      <c r="E115" s="95">
        <v>2</v>
      </c>
      <c r="F115" s="95">
        <v>4</v>
      </c>
      <c r="G115" s="95" t="s">
        <v>244</v>
      </c>
      <c r="H115" s="95" t="s">
        <v>218</v>
      </c>
      <c r="I115" s="95"/>
      <c r="J115" s="95" t="s">
        <v>249</v>
      </c>
    </row>
    <row r="116" spans="1:10" x14ac:dyDescent="0.35">
      <c r="A116" s="95">
        <v>16</v>
      </c>
      <c r="B116" s="95" t="s">
        <v>64</v>
      </c>
      <c r="C116" s="95">
        <v>40</v>
      </c>
      <c r="D116" s="95" t="s">
        <v>70</v>
      </c>
      <c r="E116" s="95">
        <v>1</v>
      </c>
      <c r="F116" s="95">
        <v>4</v>
      </c>
      <c r="G116" s="95" t="s">
        <v>244</v>
      </c>
      <c r="H116" s="95" t="s">
        <v>218</v>
      </c>
      <c r="I116" s="95"/>
      <c r="J116" s="95" t="s">
        <v>250</v>
      </c>
    </row>
    <row r="117" spans="1:10" x14ac:dyDescent="0.35">
      <c r="A117" s="95">
        <v>5</v>
      </c>
      <c r="B117" s="95" t="s">
        <v>64</v>
      </c>
      <c r="C117" s="95">
        <v>60</v>
      </c>
      <c r="D117" s="95" t="s">
        <v>59</v>
      </c>
      <c r="E117" s="95">
        <v>2</v>
      </c>
      <c r="F117" s="95">
        <v>4</v>
      </c>
      <c r="G117" s="95" t="s">
        <v>244</v>
      </c>
      <c r="H117" s="95" t="s">
        <v>218</v>
      </c>
      <c r="I117" s="95"/>
      <c r="J117" s="95"/>
    </row>
    <row r="118" spans="1:10" x14ac:dyDescent="0.35">
      <c r="A118" s="95">
        <v>6</v>
      </c>
      <c r="B118" s="95" t="s">
        <v>13</v>
      </c>
      <c r="C118" s="95">
        <v>40</v>
      </c>
      <c r="D118" s="95" t="s">
        <v>59</v>
      </c>
      <c r="E118" s="95">
        <v>2</v>
      </c>
      <c r="F118" s="95">
        <v>4</v>
      </c>
      <c r="G118" s="95" t="s">
        <v>244</v>
      </c>
      <c r="H118" s="95" t="s">
        <v>218</v>
      </c>
      <c r="I118" s="95"/>
      <c r="J118" s="95"/>
    </row>
    <row r="119" spans="1:10" x14ac:dyDescent="0.35">
      <c r="A119" s="95">
        <v>6</v>
      </c>
      <c r="B119" s="95" t="s">
        <v>64</v>
      </c>
      <c r="C119" s="95">
        <v>60</v>
      </c>
      <c r="D119" s="95" t="s">
        <v>70</v>
      </c>
      <c r="E119" s="95">
        <v>1</v>
      </c>
      <c r="F119" s="95">
        <v>4</v>
      </c>
      <c r="G119" s="95" t="s">
        <v>244</v>
      </c>
      <c r="H119" s="95" t="s">
        <v>218</v>
      </c>
      <c r="I119" s="95"/>
      <c r="J119" s="95"/>
    </row>
    <row r="120" spans="1:10" x14ac:dyDescent="0.35">
      <c r="A120" s="95">
        <v>1</v>
      </c>
      <c r="B120" s="95" t="s">
        <v>13</v>
      </c>
      <c r="C120" s="95">
        <v>40</v>
      </c>
      <c r="D120" s="95" t="s">
        <v>59</v>
      </c>
      <c r="E120" s="95">
        <v>2</v>
      </c>
      <c r="F120" s="95">
        <v>4</v>
      </c>
      <c r="G120" s="95" t="s">
        <v>244</v>
      </c>
      <c r="H120" s="95" t="s">
        <v>218</v>
      </c>
      <c r="I120" s="95"/>
      <c r="J120" s="95" t="s">
        <v>226</v>
      </c>
    </row>
    <row r="121" spans="1:10" x14ac:dyDescent="0.35">
      <c r="A121" s="95">
        <v>1</v>
      </c>
      <c r="B121" s="95" t="s">
        <v>13</v>
      </c>
      <c r="C121" s="95">
        <v>40</v>
      </c>
      <c r="D121" s="95" t="s">
        <v>70</v>
      </c>
      <c r="E121" s="95">
        <v>1</v>
      </c>
      <c r="F121" s="95">
        <v>4</v>
      </c>
      <c r="G121" s="95" t="s">
        <v>244</v>
      </c>
      <c r="H121" s="95" t="s">
        <v>218</v>
      </c>
      <c r="I121" s="95"/>
      <c r="J121" s="95"/>
    </row>
    <row r="122" spans="1:10" x14ac:dyDescent="0.35">
      <c r="A122" s="95">
        <v>4</v>
      </c>
      <c r="B122" s="95" t="s">
        <v>6</v>
      </c>
      <c r="C122" s="95">
        <v>50</v>
      </c>
      <c r="D122" s="95" t="s">
        <v>59</v>
      </c>
      <c r="E122" s="95">
        <v>2</v>
      </c>
      <c r="F122" s="95">
        <v>4</v>
      </c>
      <c r="G122" s="95" t="s">
        <v>244</v>
      </c>
      <c r="H122" s="95" t="s">
        <v>218</v>
      </c>
      <c r="I122" s="95"/>
      <c r="J122" s="95"/>
    </row>
    <row r="123" spans="1:10" x14ac:dyDescent="0.35">
      <c r="A123" s="95">
        <v>2</v>
      </c>
      <c r="B123" s="95" t="s">
        <v>13</v>
      </c>
      <c r="C123" s="95">
        <v>40</v>
      </c>
      <c r="D123" s="95" t="s">
        <v>59</v>
      </c>
      <c r="E123" s="95">
        <v>2</v>
      </c>
      <c r="F123" s="95">
        <v>4</v>
      </c>
      <c r="G123" s="95" t="s">
        <v>244</v>
      </c>
      <c r="H123" s="95" t="s">
        <v>218</v>
      </c>
      <c r="I123" s="95"/>
      <c r="J123" s="95"/>
    </row>
    <row r="124" spans="1:10" x14ac:dyDescent="0.35">
      <c r="A124" s="95">
        <v>6</v>
      </c>
      <c r="B124" s="95" t="s">
        <v>13</v>
      </c>
      <c r="C124" s="95">
        <v>30</v>
      </c>
      <c r="D124" s="95" t="s">
        <v>70</v>
      </c>
      <c r="E124" s="95">
        <v>1</v>
      </c>
      <c r="F124" s="95">
        <v>4</v>
      </c>
      <c r="G124" s="95" t="s">
        <v>244</v>
      </c>
      <c r="H124" s="95" t="s">
        <v>218</v>
      </c>
      <c r="I124" s="95"/>
      <c r="J124" s="95"/>
    </row>
    <row r="125" spans="1:10" x14ac:dyDescent="0.35">
      <c r="A125" s="95">
        <v>2</v>
      </c>
      <c r="B125" s="95" t="s">
        <v>6</v>
      </c>
      <c r="C125" s="95">
        <v>60</v>
      </c>
      <c r="D125" s="95" t="s">
        <v>70</v>
      </c>
      <c r="E125" s="95">
        <v>1</v>
      </c>
      <c r="F125" s="95">
        <v>4</v>
      </c>
      <c r="G125" s="95" t="s">
        <v>244</v>
      </c>
      <c r="H125" s="95" t="s">
        <v>218</v>
      </c>
      <c r="I125" s="95"/>
      <c r="J125" s="95"/>
    </row>
    <row r="126" spans="1:10" x14ac:dyDescent="0.35">
      <c r="A126" s="95">
        <v>1</v>
      </c>
      <c r="B126" s="95" t="s">
        <v>64</v>
      </c>
      <c r="C126" s="95">
        <v>30</v>
      </c>
      <c r="D126" s="95" t="s">
        <v>70</v>
      </c>
      <c r="E126" s="95">
        <v>1</v>
      </c>
      <c r="F126" s="95">
        <v>4</v>
      </c>
      <c r="G126" s="95" t="s">
        <v>244</v>
      </c>
      <c r="H126" s="95" t="s">
        <v>218</v>
      </c>
      <c r="I126" s="95"/>
      <c r="J126" s="95"/>
    </row>
    <row r="127" spans="1:10" x14ac:dyDescent="0.35">
      <c r="A127" s="95">
        <v>4</v>
      </c>
      <c r="B127" s="95" t="s">
        <v>64</v>
      </c>
      <c r="C127" s="95">
        <v>60</v>
      </c>
      <c r="D127" s="95" t="s">
        <v>70</v>
      </c>
      <c r="E127" s="95">
        <v>1</v>
      </c>
      <c r="F127" s="95">
        <v>4</v>
      </c>
      <c r="G127" s="95" t="s">
        <v>244</v>
      </c>
      <c r="H127" s="95" t="s">
        <v>218</v>
      </c>
      <c r="I127" s="95"/>
      <c r="J127" s="95"/>
    </row>
    <row r="128" spans="1:10" x14ac:dyDescent="0.35">
      <c r="A128" s="95">
        <v>2</v>
      </c>
      <c r="B128" s="95" t="s">
        <v>13</v>
      </c>
      <c r="C128" s="95">
        <v>40</v>
      </c>
      <c r="D128" s="95" t="s">
        <v>70</v>
      </c>
      <c r="E128" s="95">
        <v>1</v>
      </c>
      <c r="F128" s="95">
        <v>4</v>
      </c>
      <c r="G128" s="95" t="s">
        <v>244</v>
      </c>
      <c r="H128" s="95" t="s">
        <v>218</v>
      </c>
      <c r="I128" s="95"/>
      <c r="J128" s="95"/>
    </row>
    <row r="129" spans="1:10" x14ac:dyDescent="0.35">
      <c r="A129" s="95">
        <v>1</v>
      </c>
      <c r="B129" s="95" t="s">
        <v>6</v>
      </c>
      <c r="C129" s="95">
        <v>60</v>
      </c>
      <c r="D129" s="95" t="s">
        <v>70</v>
      </c>
      <c r="E129" s="95">
        <v>1</v>
      </c>
      <c r="F129" s="95">
        <v>4</v>
      </c>
      <c r="G129" s="95" t="s">
        <v>244</v>
      </c>
      <c r="H129" s="95" t="s">
        <v>218</v>
      </c>
      <c r="I129" s="95"/>
      <c r="J129" s="95"/>
    </row>
    <row r="130" spans="1:10" x14ac:dyDescent="0.35">
      <c r="A130" s="95">
        <v>8</v>
      </c>
      <c r="B130" s="95" t="s">
        <v>13</v>
      </c>
      <c r="C130" s="95">
        <v>40</v>
      </c>
      <c r="D130" s="95" t="s">
        <v>70</v>
      </c>
      <c r="E130" s="95">
        <v>1</v>
      </c>
      <c r="F130" s="95">
        <v>4</v>
      </c>
      <c r="G130" s="95" t="s">
        <v>244</v>
      </c>
      <c r="H130" s="95" t="s">
        <v>218</v>
      </c>
      <c r="I130" s="95"/>
      <c r="J130" s="95"/>
    </row>
    <row r="131" spans="1:10" x14ac:dyDescent="0.35">
      <c r="A131" s="95">
        <v>10</v>
      </c>
      <c r="B131" s="95" t="s">
        <v>13</v>
      </c>
      <c r="C131" s="95">
        <v>40</v>
      </c>
      <c r="D131" s="95" t="s">
        <v>59</v>
      </c>
      <c r="E131" s="95">
        <v>2</v>
      </c>
      <c r="F131" s="95">
        <v>6</v>
      </c>
      <c r="G131" s="95" t="s">
        <v>20</v>
      </c>
      <c r="H131" s="95" t="s">
        <v>218</v>
      </c>
      <c r="I131" s="95"/>
      <c r="J131" s="95"/>
    </row>
    <row r="132" spans="1:10" x14ac:dyDescent="0.35">
      <c r="A132" s="95">
        <v>1</v>
      </c>
      <c r="B132" s="95" t="s">
        <v>13</v>
      </c>
      <c r="C132" s="95">
        <v>20</v>
      </c>
      <c r="D132" s="95" t="s">
        <v>70</v>
      </c>
      <c r="E132" s="95">
        <v>1</v>
      </c>
      <c r="F132" s="95">
        <v>6</v>
      </c>
      <c r="G132" s="95" t="s">
        <v>20</v>
      </c>
      <c r="H132" s="95" t="s">
        <v>22</v>
      </c>
      <c r="I132" s="95"/>
      <c r="J132" s="95"/>
    </row>
    <row r="133" spans="1:10" x14ac:dyDescent="0.35">
      <c r="A133" s="95">
        <v>1</v>
      </c>
      <c r="B133" s="95" t="s">
        <v>13</v>
      </c>
      <c r="C133" s="95">
        <v>20</v>
      </c>
      <c r="D133" s="95" t="s">
        <v>70</v>
      </c>
      <c r="E133" s="95">
        <v>1</v>
      </c>
      <c r="F133" s="95">
        <v>6</v>
      </c>
      <c r="G133" s="95" t="s">
        <v>20</v>
      </c>
      <c r="H133" s="95" t="s">
        <v>218</v>
      </c>
      <c r="I133" s="95"/>
      <c r="J133" s="95"/>
    </row>
    <row r="134" spans="1:10" x14ac:dyDescent="0.35">
      <c r="A134" s="95">
        <v>7</v>
      </c>
      <c r="B134" s="95" t="s">
        <v>13</v>
      </c>
      <c r="C134" s="95">
        <v>20</v>
      </c>
      <c r="D134" s="95" t="s">
        <v>70</v>
      </c>
      <c r="E134" s="95">
        <v>1</v>
      </c>
      <c r="F134" s="95">
        <v>6</v>
      </c>
      <c r="G134" s="95" t="s">
        <v>20</v>
      </c>
      <c r="H134" s="95" t="s">
        <v>218</v>
      </c>
      <c r="I134" s="95"/>
      <c r="J134" s="95"/>
    </row>
    <row r="135" spans="1:10" x14ac:dyDescent="0.35">
      <c r="A135" s="95">
        <v>10</v>
      </c>
      <c r="B135" s="95" t="s">
        <v>13</v>
      </c>
      <c r="C135" s="95">
        <v>30</v>
      </c>
      <c r="D135" s="95" t="s">
        <v>59</v>
      </c>
      <c r="E135" s="95">
        <v>2</v>
      </c>
      <c r="F135" s="95">
        <v>6</v>
      </c>
      <c r="G135" s="95" t="s">
        <v>20</v>
      </c>
      <c r="H135" s="95" t="s">
        <v>218</v>
      </c>
      <c r="I135" s="95"/>
      <c r="J135" s="95"/>
    </row>
    <row r="136" spans="1:10" x14ac:dyDescent="0.35">
      <c r="A136" s="95">
        <v>1</v>
      </c>
      <c r="B136" s="95" t="s">
        <v>6</v>
      </c>
      <c r="C136" s="95">
        <v>50</v>
      </c>
      <c r="D136" s="95" t="s">
        <v>59</v>
      </c>
      <c r="E136" s="95">
        <v>2</v>
      </c>
      <c r="F136" s="95">
        <v>7</v>
      </c>
      <c r="G136" s="95" t="s">
        <v>8</v>
      </c>
      <c r="H136" s="95" t="s">
        <v>10</v>
      </c>
      <c r="I136" s="95"/>
      <c r="J136" s="95"/>
    </row>
    <row r="137" spans="1:10" x14ac:dyDescent="0.35">
      <c r="A137" s="95">
        <v>1</v>
      </c>
      <c r="B137" s="95" t="s">
        <v>13</v>
      </c>
      <c r="C137" s="95">
        <v>40</v>
      </c>
      <c r="D137" s="95" t="s">
        <v>59</v>
      </c>
      <c r="E137" s="95">
        <v>2</v>
      </c>
      <c r="F137" s="95">
        <v>7</v>
      </c>
      <c r="G137" s="95" t="s">
        <v>8</v>
      </c>
      <c r="H137" s="95" t="s">
        <v>10</v>
      </c>
      <c r="I137" s="95"/>
      <c r="J137" s="95"/>
    </row>
    <row r="138" spans="1:10" x14ac:dyDescent="0.35">
      <c r="A138" s="95">
        <v>1</v>
      </c>
      <c r="B138" s="95" t="s">
        <v>13</v>
      </c>
      <c r="C138" s="95">
        <v>30</v>
      </c>
      <c r="D138" s="95" t="s">
        <v>70</v>
      </c>
      <c r="E138" s="95">
        <v>1</v>
      </c>
      <c r="F138" s="95">
        <v>7</v>
      </c>
      <c r="G138" s="95" t="s">
        <v>8</v>
      </c>
      <c r="H138" s="95" t="s">
        <v>218</v>
      </c>
      <c r="I138" s="95"/>
      <c r="J138" s="95"/>
    </row>
    <row r="139" spans="1:10" x14ac:dyDescent="0.35">
      <c r="A139" s="95">
        <v>1</v>
      </c>
      <c r="B139" s="95" t="s">
        <v>13</v>
      </c>
      <c r="C139" s="95">
        <v>20</v>
      </c>
      <c r="D139" s="95" t="s">
        <v>70</v>
      </c>
      <c r="E139" s="95">
        <v>1</v>
      </c>
      <c r="F139" s="95">
        <v>7</v>
      </c>
      <c r="G139" s="95" t="s">
        <v>8</v>
      </c>
      <c r="H139" s="95" t="s">
        <v>22</v>
      </c>
      <c r="I139" s="95"/>
      <c r="J139" s="95"/>
    </row>
    <row r="140" spans="1:10" x14ac:dyDescent="0.35">
      <c r="A140" s="95">
        <v>6</v>
      </c>
      <c r="B140" s="95" t="s">
        <v>13</v>
      </c>
      <c r="C140" s="95">
        <v>40</v>
      </c>
      <c r="D140" s="95" t="s">
        <v>70</v>
      </c>
      <c r="E140" s="95">
        <v>1</v>
      </c>
      <c r="F140" s="95">
        <v>8</v>
      </c>
      <c r="G140" s="95" t="s">
        <v>20</v>
      </c>
      <c r="H140" s="95" t="s">
        <v>218</v>
      </c>
      <c r="I140" s="95"/>
      <c r="J140" s="95"/>
    </row>
    <row r="141" spans="1:10" x14ac:dyDescent="0.35">
      <c r="A141" s="95">
        <v>2</v>
      </c>
      <c r="B141" s="95" t="s">
        <v>13</v>
      </c>
      <c r="C141" s="95">
        <v>20</v>
      </c>
      <c r="D141" s="95" t="s">
        <v>70</v>
      </c>
      <c r="E141" s="95">
        <v>1</v>
      </c>
      <c r="F141" s="95">
        <v>8</v>
      </c>
      <c r="G141" s="95" t="s">
        <v>20</v>
      </c>
      <c r="H141" s="95" t="s">
        <v>218</v>
      </c>
      <c r="I141" s="95"/>
      <c r="J141" s="95"/>
    </row>
    <row r="142" spans="1:10" x14ac:dyDescent="0.35">
      <c r="A142" s="95">
        <v>19</v>
      </c>
      <c r="B142" s="95" t="s">
        <v>13</v>
      </c>
      <c r="C142" s="95">
        <v>40</v>
      </c>
      <c r="D142" s="95" t="s">
        <v>70</v>
      </c>
      <c r="E142" s="95">
        <v>1</v>
      </c>
      <c r="F142" s="95">
        <v>8</v>
      </c>
      <c r="G142" s="95" t="s">
        <v>20</v>
      </c>
      <c r="H142" s="95" t="s">
        <v>218</v>
      </c>
      <c r="I142" s="95"/>
      <c r="J142" s="95" t="s">
        <v>251</v>
      </c>
    </row>
    <row r="143" spans="1:10" x14ac:dyDescent="0.35">
      <c r="A143" s="95">
        <v>6</v>
      </c>
      <c r="B143" s="95" t="s">
        <v>13</v>
      </c>
      <c r="C143" s="95">
        <v>40</v>
      </c>
      <c r="D143" s="95" t="s">
        <v>59</v>
      </c>
      <c r="E143" s="95">
        <v>2</v>
      </c>
      <c r="F143" s="95">
        <v>8</v>
      </c>
      <c r="G143" s="95" t="s">
        <v>15</v>
      </c>
      <c r="H143" s="95" t="s">
        <v>218</v>
      </c>
      <c r="I143" s="95"/>
      <c r="J143" s="95"/>
    </row>
    <row r="144" spans="1:10" x14ac:dyDescent="0.35">
      <c r="A144" s="95">
        <v>1</v>
      </c>
      <c r="B144" s="95" t="s">
        <v>6</v>
      </c>
      <c r="C144" s="95">
        <v>50</v>
      </c>
      <c r="D144" s="95" t="s">
        <v>59</v>
      </c>
      <c r="E144" s="95">
        <v>2</v>
      </c>
      <c r="F144" s="95">
        <v>8</v>
      </c>
      <c r="G144" s="95" t="s">
        <v>15</v>
      </c>
      <c r="H144" s="95" t="s">
        <v>218</v>
      </c>
      <c r="I144" s="95"/>
      <c r="J144" s="95"/>
    </row>
    <row r="145" spans="1:10" x14ac:dyDescent="0.35">
      <c r="A145" s="95">
        <v>1</v>
      </c>
      <c r="B145" s="95" t="s">
        <v>64</v>
      </c>
      <c r="C145" s="95">
        <v>60</v>
      </c>
      <c r="D145" s="95" t="s">
        <v>59</v>
      </c>
      <c r="E145" s="95">
        <v>2</v>
      </c>
      <c r="F145" s="95">
        <v>8</v>
      </c>
      <c r="G145" s="95" t="s">
        <v>15</v>
      </c>
      <c r="H145" s="95" t="s">
        <v>218</v>
      </c>
      <c r="I145" s="95"/>
      <c r="J145" s="95"/>
    </row>
    <row r="146" spans="1:10" x14ac:dyDescent="0.35">
      <c r="A146" s="95">
        <v>3</v>
      </c>
      <c r="B146" s="95" t="s">
        <v>13</v>
      </c>
      <c r="C146" s="95">
        <v>40</v>
      </c>
      <c r="D146" s="95" t="s">
        <v>59</v>
      </c>
      <c r="E146" s="95">
        <v>2</v>
      </c>
      <c r="F146" s="95">
        <v>8</v>
      </c>
      <c r="G146" s="95" t="s">
        <v>15</v>
      </c>
      <c r="H146" s="95" t="s">
        <v>218</v>
      </c>
      <c r="I146" s="95"/>
      <c r="J146" s="95"/>
    </row>
    <row r="147" spans="1:10" x14ac:dyDescent="0.35">
      <c r="A147" s="95">
        <v>1</v>
      </c>
      <c r="B147" s="95" t="s">
        <v>13</v>
      </c>
      <c r="C147" s="95">
        <v>30</v>
      </c>
      <c r="D147" s="95" t="s">
        <v>59</v>
      </c>
      <c r="E147" s="95">
        <v>2</v>
      </c>
      <c r="F147" s="95">
        <v>8</v>
      </c>
      <c r="G147" s="95" t="s">
        <v>15</v>
      </c>
      <c r="H147" s="95" t="s">
        <v>218</v>
      </c>
      <c r="I147" s="95"/>
      <c r="J147" s="95"/>
    </row>
    <row r="148" spans="1:10" x14ac:dyDescent="0.35">
      <c r="A148" s="95">
        <v>6</v>
      </c>
      <c r="B148" s="95" t="s">
        <v>13</v>
      </c>
      <c r="C148" s="95">
        <v>30</v>
      </c>
      <c r="D148" s="95" t="s">
        <v>70</v>
      </c>
      <c r="E148" s="95">
        <v>1</v>
      </c>
      <c r="F148" s="95">
        <v>8</v>
      </c>
      <c r="G148" s="95" t="s">
        <v>15</v>
      </c>
      <c r="H148" s="95" t="s">
        <v>22</v>
      </c>
      <c r="I148" s="95"/>
      <c r="J148" s="95"/>
    </row>
    <row r="149" spans="1:10" x14ac:dyDescent="0.35">
      <c r="A149" s="95">
        <v>10</v>
      </c>
      <c r="B149" s="95" t="s">
        <v>13</v>
      </c>
      <c r="C149" s="95">
        <v>30</v>
      </c>
      <c r="D149" s="95" t="s">
        <v>70</v>
      </c>
      <c r="E149" s="95">
        <v>1</v>
      </c>
      <c r="F149" s="95">
        <v>8</v>
      </c>
      <c r="G149" s="95" t="s">
        <v>15</v>
      </c>
      <c r="H149" s="95" t="s">
        <v>218</v>
      </c>
      <c r="I149" s="95"/>
      <c r="J149" s="95" t="s">
        <v>252</v>
      </c>
    </row>
    <row r="150" spans="1:10" x14ac:dyDescent="0.35">
      <c r="A150" s="95">
        <v>11</v>
      </c>
      <c r="B150" s="95" t="s">
        <v>13</v>
      </c>
      <c r="C150" s="95">
        <v>50</v>
      </c>
      <c r="D150" s="95" t="s">
        <v>59</v>
      </c>
      <c r="E150" s="95">
        <v>2</v>
      </c>
      <c r="F150" s="95">
        <v>8</v>
      </c>
      <c r="G150" s="95" t="s">
        <v>15</v>
      </c>
      <c r="H150" s="95" t="s">
        <v>218</v>
      </c>
      <c r="I150" s="95"/>
      <c r="J150" s="95"/>
    </row>
    <row r="151" spans="1:10" x14ac:dyDescent="0.35">
      <c r="A151" s="95">
        <v>3</v>
      </c>
      <c r="B151" s="95" t="s">
        <v>13</v>
      </c>
      <c r="C151" s="95">
        <v>30</v>
      </c>
      <c r="D151" s="95" t="s">
        <v>70</v>
      </c>
      <c r="E151" s="95">
        <v>1</v>
      </c>
      <c r="F151" s="95">
        <v>8</v>
      </c>
      <c r="G151" s="95" t="s">
        <v>15</v>
      </c>
      <c r="H151" s="95" t="s">
        <v>218</v>
      </c>
      <c r="I151" s="95"/>
      <c r="J151" s="95"/>
    </row>
    <row r="152" spans="1:10" x14ac:dyDescent="0.35">
      <c r="A152" s="95">
        <v>2</v>
      </c>
      <c r="B152" s="95" t="s">
        <v>6</v>
      </c>
      <c r="C152" s="95">
        <v>60</v>
      </c>
      <c r="D152" s="95" t="s">
        <v>59</v>
      </c>
      <c r="E152" s="95">
        <v>2</v>
      </c>
      <c r="F152" s="95">
        <v>8</v>
      </c>
      <c r="G152" s="95" t="s">
        <v>15</v>
      </c>
      <c r="H152" s="95" t="s">
        <v>218</v>
      </c>
      <c r="I152" s="95"/>
      <c r="J152" s="95"/>
    </row>
    <row r="153" spans="1:10" x14ac:dyDescent="0.35">
      <c r="A153" s="95">
        <v>2</v>
      </c>
      <c r="B153" s="95" t="s">
        <v>13</v>
      </c>
      <c r="C153" s="95">
        <v>40</v>
      </c>
      <c r="D153" s="95" t="s">
        <v>59</v>
      </c>
      <c r="E153" s="95">
        <v>2</v>
      </c>
      <c r="F153" s="95">
        <v>8</v>
      </c>
      <c r="G153" s="95" t="s">
        <v>15</v>
      </c>
      <c r="H153" s="95" t="s">
        <v>218</v>
      </c>
      <c r="I153" s="95"/>
      <c r="J153" s="95"/>
    </row>
    <row r="154" spans="1:10" x14ac:dyDescent="0.35">
      <c r="A154" s="95">
        <v>7</v>
      </c>
      <c r="B154" s="95" t="s">
        <v>13</v>
      </c>
      <c r="C154" s="95">
        <v>30</v>
      </c>
      <c r="D154" s="95" t="s">
        <v>70</v>
      </c>
      <c r="E154" s="95">
        <v>1</v>
      </c>
      <c r="F154" s="95">
        <v>8</v>
      </c>
      <c r="G154" s="95" t="s">
        <v>15</v>
      </c>
      <c r="H154" s="95" t="s">
        <v>218</v>
      </c>
      <c r="I154" s="95"/>
      <c r="J154" s="95"/>
    </row>
    <row r="155" spans="1:10" x14ac:dyDescent="0.35">
      <c r="A155" s="95">
        <v>4</v>
      </c>
      <c r="B155" s="95" t="s">
        <v>13</v>
      </c>
      <c r="C155" s="95">
        <v>30</v>
      </c>
      <c r="D155" s="95" t="s">
        <v>70</v>
      </c>
      <c r="E155" s="95">
        <v>1</v>
      </c>
      <c r="F155" s="95">
        <v>8</v>
      </c>
      <c r="G155" s="95" t="s">
        <v>15</v>
      </c>
      <c r="H155" s="95" t="s">
        <v>218</v>
      </c>
      <c r="I155" s="95"/>
      <c r="J155" s="95"/>
    </row>
    <row r="156" spans="1:10" x14ac:dyDescent="0.35">
      <c r="A156" s="95">
        <v>3</v>
      </c>
      <c r="B156" s="95" t="s">
        <v>13</v>
      </c>
      <c r="C156" s="95">
        <v>40</v>
      </c>
      <c r="D156" s="95" t="s">
        <v>70</v>
      </c>
      <c r="E156" s="95">
        <v>1</v>
      </c>
      <c r="F156" s="95">
        <v>8</v>
      </c>
      <c r="G156" s="95" t="s">
        <v>15</v>
      </c>
      <c r="H156" s="95" t="s">
        <v>218</v>
      </c>
      <c r="I156" s="95"/>
      <c r="J156" s="95"/>
    </row>
    <row r="157" spans="1:10" x14ac:dyDescent="0.35">
      <c r="A157" s="95">
        <v>10</v>
      </c>
      <c r="B157" s="95" t="s">
        <v>13</v>
      </c>
      <c r="C157" s="95">
        <v>30</v>
      </c>
      <c r="D157" s="95" t="s">
        <v>59</v>
      </c>
      <c r="E157" s="95">
        <v>2</v>
      </c>
      <c r="F157" s="95">
        <v>8</v>
      </c>
      <c r="G157" s="95" t="s">
        <v>15</v>
      </c>
      <c r="H157" s="95" t="s">
        <v>218</v>
      </c>
      <c r="I157" s="95"/>
      <c r="J157" s="95"/>
    </row>
    <row r="158" spans="1:10" x14ac:dyDescent="0.35">
      <c r="A158" s="95">
        <v>2</v>
      </c>
      <c r="B158" s="95" t="s">
        <v>13</v>
      </c>
      <c r="C158" s="95">
        <v>30</v>
      </c>
      <c r="D158" s="95" t="s">
        <v>70</v>
      </c>
      <c r="E158" s="95">
        <v>1</v>
      </c>
      <c r="F158" s="95">
        <v>8</v>
      </c>
      <c r="G158" s="95" t="s">
        <v>15</v>
      </c>
      <c r="H158" s="95" t="s">
        <v>218</v>
      </c>
      <c r="I158" s="95"/>
      <c r="J158" s="95" t="s">
        <v>225</v>
      </c>
    </row>
    <row r="159" spans="1:10" x14ac:dyDescent="0.35">
      <c r="A159" s="95">
        <v>1</v>
      </c>
      <c r="B159" s="95" t="s">
        <v>13</v>
      </c>
      <c r="C159" s="95">
        <v>30</v>
      </c>
      <c r="D159" s="95" t="s">
        <v>70</v>
      </c>
      <c r="E159" s="95">
        <v>1</v>
      </c>
      <c r="F159" s="95">
        <v>8</v>
      </c>
      <c r="G159" s="95" t="s">
        <v>15</v>
      </c>
      <c r="H159" s="95" t="s">
        <v>218</v>
      </c>
      <c r="I159" s="95">
        <v>1501</v>
      </c>
      <c r="J159" s="9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89"/>
  <sheetViews>
    <sheetView zoomScaleNormal="100" workbookViewId="0"/>
  </sheetViews>
  <sheetFormatPr defaultRowHeight="14.5" x14ac:dyDescent="0.35"/>
  <cols>
    <col min="1" max="1" width="11" customWidth="1"/>
    <col min="2" max="2" width="9.7265625" customWidth="1"/>
    <col min="3" max="3" width="11.6328125" customWidth="1"/>
    <col min="7" max="7" width="16" customWidth="1"/>
    <col min="9" max="9" width="10.6328125" customWidth="1"/>
    <col min="10" max="10" width="10.90625" customWidth="1"/>
    <col min="11" max="11" width="8.08984375" customWidth="1"/>
    <col min="12" max="12" width="8.6328125" customWidth="1"/>
    <col min="13" max="15" width="8.453125" customWidth="1"/>
  </cols>
  <sheetData>
    <row r="1" spans="1:20" ht="15.5" thickTop="1" thickBot="1" x14ac:dyDescent="0.4">
      <c r="A1" s="1"/>
      <c r="B1" s="2"/>
      <c r="C1" s="2"/>
      <c r="D1" s="3" t="s">
        <v>165</v>
      </c>
      <c r="E1" s="2"/>
      <c r="F1" s="2"/>
      <c r="G1" s="2"/>
      <c r="H1" s="4"/>
      <c r="I1" s="37" t="s">
        <v>69</v>
      </c>
      <c r="J1" s="45" t="s">
        <v>65</v>
      </c>
      <c r="K1" s="48" t="s">
        <v>114</v>
      </c>
      <c r="L1" s="34"/>
      <c r="M1" s="35"/>
      <c r="N1" s="35"/>
    </row>
    <row r="2" spans="1:20" ht="15.5" thickTop="1" thickBot="1" x14ac:dyDescent="0.4">
      <c r="A2" s="37" t="s">
        <v>52</v>
      </c>
      <c r="B2" s="2"/>
      <c r="C2" s="2"/>
      <c r="D2" s="3"/>
      <c r="E2" s="2"/>
      <c r="F2" s="2"/>
      <c r="G2" s="6"/>
      <c r="H2" s="32"/>
      <c r="I2" s="37" t="s">
        <v>60</v>
      </c>
      <c r="J2" s="5" t="s">
        <v>61</v>
      </c>
      <c r="K2" s="34" t="s">
        <v>46</v>
      </c>
      <c r="L2" s="34" t="s">
        <v>41</v>
      </c>
      <c r="M2" s="34" t="s">
        <v>42</v>
      </c>
      <c r="N2" s="34" t="s">
        <v>41</v>
      </c>
      <c r="O2" s="34" t="s">
        <v>42</v>
      </c>
    </row>
    <row r="3" spans="1:20" ht="15.5" thickTop="1" thickBot="1" x14ac:dyDescent="0.4">
      <c r="A3" s="37" t="s">
        <v>0</v>
      </c>
      <c r="B3" s="33" t="s">
        <v>178</v>
      </c>
      <c r="C3" s="7" t="s">
        <v>1</v>
      </c>
      <c r="D3" s="8"/>
      <c r="E3" s="7" t="s">
        <v>2</v>
      </c>
      <c r="F3" s="9"/>
      <c r="G3" s="10" t="s">
        <v>3</v>
      </c>
      <c r="H3" s="8"/>
      <c r="I3" s="35"/>
      <c r="J3" s="9"/>
      <c r="K3" s="46" t="s">
        <v>72</v>
      </c>
      <c r="L3" s="46">
        <f>SUMIFS($A$11:$A$401,$B$11:$B$401,"CH",$F$11:$F$401,"1")</f>
        <v>0</v>
      </c>
      <c r="M3" s="46" t="s">
        <v>6</v>
      </c>
      <c r="N3" s="46">
        <f>SUMIFS($A$11:$A$401,$B$11:$B$401,"RT",$F$11:$F$401,"1")</f>
        <v>0</v>
      </c>
      <c r="O3" s="46" t="s">
        <v>13</v>
      </c>
    </row>
    <row r="4" spans="1:20" ht="15" thickTop="1" x14ac:dyDescent="0.35">
      <c r="A4" s="78" t="s">
        <v>4</v>
      </c>
      <c r="B4" s="84"/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5" t="s">
        <v>10</v>
      </c>
      <c r="I4" s="35"/>
      <c r="J4" s="9"/>
      <c r="K4" s="46" t="s">
        <v>73</v>
      </c>
      <c r="L4" s="46">
        <f>SUMIFS($A$11:$A$401,$B$11:$B$401,"CH",$F$11:$F$401,"2")</f>
        <v>0</v>
      </c>
      <c r="M4" s="46" t="s">
        <v>6</v>
      </c>
      <c r="N4" s="46">
        <f>SUMIFS($A$11:$A$401,$B$11:$B$401,"RT",$F$11:$F$401,"2")</f>
        <v>0</v>
      </c>
      <c r="O4" s="46" t="s">
        <v>13</v>
      </c>
    </row>
    <row r="5" spans="1:20" x14ac:dyDescent="0.35">
      <c r="A5" s="82" t="s">
        <v>11</v>
      </c>
      <c r="B5" s="83"/>
      <c r="C5" s="11" t="s">
        <v>12</v>
      </c>
      <c r="D5" s="12" t="s">
        <v>13</v>
      </c>
      <c r="E5" s="13" t="s">
        <v>14</v>
      </c>
      <c r="F5" s="12" t="s">
        <v>15</v>
      </c>
      <c r="G5" s="14" t="s">
        <v>67</v>
      </c>
      <c r="H5" s="15" t="s">
        <v>16</v>
      </c>
      <c r="I5" s="35"/>
      <c r="J5" s="9"/>
      <c r="K5" s="46" t="s">
        <v>74</v>
      </c>
      <c r="L5" s="46">
        <f>SUMIFS($A$11:$A$401,$B$11:$B$401,"CH",$F$11:$F$401,"3")</f>
        <v>0</v>
      </c>
      <c r="M5" s="46" t="s">
        <v>6</v>
      </c>
      <c r="N5" s="46">
        <f>SUMIFS($A$11:$A$401,$B$11:$B$401,"RT",$F$11:$F$401,"3")</f>
        <v>0</v>
      </c>
      <c r="O5" s="46" t="s">
        <v>13</v>
      </c>
    </row>
    <row r="6" spans="1:20" x14ac:dyDescent="0.35">
      <c r="A6" s="79" t="s">
        <v>156</v>
      </c>
      <c r="B6" s="67"/>
      <c r="C6" s="11" t="s">
        <v>17</v>
      </c>
      <c r="D6" s="12" t="s">
        <v>18</v>
      </c>
      <c r="E6" s="13" t="s">
        <v>19</v>
      </c>
      <c r="F6" s="12" t="s">
        <v>20</v>
      </c>
      <c r="G6" s="14" t="s">
        <v>21</v>
      </c>
      <c r="H6" s="15" t="s">
        <v>22</v>
      </c>
      <c r="I6" s="35"/>
      <c r="J6" s="9"/>
      <c r="K6" s="46" t="s">
        <v>75</v>
      </c>
      <c r="L6" s="46">
        <f>SUMIFS($A$11:$A$401,$B$11:$B$401,"CH",$F$11:$F$401,"4")</f>
        <v>0</v>
      </c>
      <c r="M6" s="46" t="s">
        <v>6</v>
      </c>
      <c r="N6" s="46">
        <f>SUMIFS($A$11:$A$401,$B$11:$B$401,"RT",$F$11:$F$401,"4")</f>
        <v>0</v>
      </c>
      <c r="O6" s="46" t="s">
        <v>13</v>
      </c>
    </row>
    <row r="7" spans="1:20" x14ac:dyDescent="0.35">
      <c r="A7" s="80" t="s">
        <v>23</v>
      </c>
      <c r="B7" s="68"/>
      <c r="C7" s="11" t="s">
        <v>24</v>
      </c>
      <c r="D7" s="12" t="s">
        <v>25</v>
      </c>
      <c r="E7" s="11" t="s">
        <v>68</v>
      </c>
      <c r="F7" s="12" t="s">
        <v>62</v>
      </c>
      <c r="G7" s="16" t="s">
        <v>136</v>
      </c>
      <c r="H7" s="70" t="s">
        <v>137</v>
      </c>
      <c r="I7" s="35"/>
      <c r="J7" s="9"/>
      <c r="K7" s="46" t="s">
        <v>76</v>
      </c>
      <c r="L7" s="46">
        <f>SUMIFS($A$11:$A$401,$B$11:$B$401,"CH",$F$11:$F$401,"5")</f>
        <v>0</v>
      </c>
      <c r="M7" s="46" t="s">
        <v>6</v>
      </c>
      <c r="N7" s="46">
        <f>SUMIFS($A$11:$A$401,$B$11:$B$401,"RT",$F$11:$F$401,"5")</f>
        <v>0</v>
      </c>
      <c r="O7" s="46" t="s">
        <v>13</v>
      </c>
    </row>
    <row r="8" spans="1:20" ht="15" thickBot="1" x14ac:dyDescent="0.4">
      <c r="A8" s="81" t="s">
        <v>26</v>
      </c>
      <c r="B8" s="74"/>
      <c r="C8" s="13" t="s">
        <v>63</v>
      </c>
      <c r="D8" s="12" t="s">
        <v>64</v>
      </c>
      <c r="E8" s="13" t="s">
        <v>66</v>
      </c>
      <c r="F8" s="12" t="s">
        <v>58</v>
      </c>
      <c r="G8" s="16" t="s">
        <v>55</v>
      </c>
      <c r="H8" s="15" t="s">
        <v>53</v>
      </c>
      <c r="I8" s="35"/>
      <c r="J8" s="9"/>
      <c r="K8" s="46" t="s">
        <v>77</v>
      </c>
      <c r="L8" s="46">
        <f>SUMIFS($A$11:$A$401,$B$11:$B$401,"CH",$F$11:$F$401,"6")</f>
        <v>0</v>
      </c>
      <c r="M8" s="46" t="s">
        <v>6</v>
      </c>
      <c r="N8" s="46">
        <f>SUMIFS($A$11:$A$401,$B$11:$B$401,"RT",$F$11:$F$401,"6")</f>
        <v>0</v>
      </c>
      <c r="O8" s="46" t="s">
        <v>13</v>
      </c>
    </row>
    <row r="9" spans="1:20" ht="15.5" thickTop="1" thickBot="1" x14ac:dyDescent="0.4">
      <c r="A9" s="38" t="s">
        <v>28</v>
      </c>
      <c r="B9" s="75"/>
      <c r="C9" s="11" t="s">
        <v>29</v>
      </c>
      <c r="D9" s="12" t="s">
        <v>27</v>
      </c>
      <c r="E9" s="18" t="s">
        <v>30</v>
      </c>
      <c r="F9" s="12" t="s">
        <v>31</v>
      </c>
      <c r="G9" s="17" t="s">
        <v>56</v>
      </c>
      <c r="H9" s="71" t="s">
        <v>54</v>
      </c>
      <c r="I9" s="69"/>
      <c r="J9" s="25"/>
      <c r="K9" s="46" t="s">
        <v>78</v>
      </c>
      <c r="L9" s="46">
        <f>SUMIFS($A$11:$A$401,$B$11:$B$401,"CH",$F$11:$F$401,"7")</f>
        <v>0</v>
      </c>
      <c r="M9" s="46" t="s">
        <v>6</v>
      </c>
      <c r="N9" s="46">
        <f>SUMIFS($A$11:$A$401,$B$11:$B$401,"RT",$F$11:$F$401,"7")</f>
        <v>0</v>
      </c>
      <c r="O9" s="46" t="s">
        <v>13</v>
      </c>
    </row>
    <row r="10" spans="1:20" ht="15" thickTop="1" x14ac:dyDescent="0.35">
      <c r="A10" s="76"/>
      <c r="B10" s="8"/>
      <c r="C10" s="11" t="s">
        <v>32</v>
      </c>
      <c r="D10" s="12" t="s">
        <v>33</v>
      </c>
      <c r="E10" s="20" t="s">
        <v>34</v>
      </c>
      <c r="F10" s="21" t="s">
        <v>35</v>
      </c>
      <c r="G10" s="19" t="s">
        <v>138</v>
      </c>
      <c r="H10" s="9"/>
      <c r="I10" s="36" t="s">
        <v>36</v>
      </c>
      <c r="J10" s="8"/>
      <c r="K10" s="46" t="s">
        <v>79</v>
      </c>
      <c r="L10" s="46">
        <f>SUMIFS($A$11:$A$401,$B$11:$B$401,"CH",$F$11:$F$401,"8")</f>
        <v>0</v>
      </c>
      <c r="M10" s="46" t="s">
        <v>6</v>
      </c>
      <c r="N10" s="46">
        <f>SUMIFS($A$11:$A$401,$B$11:$B$401,"RT",$F$11:$F$401,"8")</f>
        <v>0</v>
      </c>
      <c r="O10" s="46" t="s">
        <v>13</v>
      </c>
    </row>
    <row r="11" spans="1:20" ht="15" thickBot="1" x14ac:dyDescent="0.4">
      <c r="A11" s="22"/>
      <c r="B11" s="23"/>
      <c r="C11" s="22" t="s">
        <v>37</v>
      </c>
      <c r="D11" s="24" t="s">
        <v>38</v>
      </c>
      <c r="E11" s="20" t="s">
        <v>39</v>
      </c>
      <c r="F11" s="24" t="s">
        <v>57</v>
      </c>
      <c r="G11" t="s">
        <v>51</v>
      </c>
      <c r="H11" s="24" t="s">
        <v>40</v>
      </c>
      <c r="I11" s="44"/>
      <c r="J11" s="25"/>
      <c r="K11" s="46" t="s">
        <v>80</v>
      </c>
      <c r="L11" s="46">
        <f>SUMIFS($A$11:$A$401,$B$11:$B$401,"CH",$F$11:$F$401,"9")</f>
        <v>0</v>
      </c>
      <c r="M11" s="46" t="s">
        <v>6</v>
      </c>
      <c r="N11" s="46">
        <f>SUMIFS($A$11:$A$401,$B$11:$B$401,"RT",$F$11:$F$401,"9")</f>
        <v>0</v>
      </c>
      <c r="O11" s="46" t="s">
        <v>13</v>
      </c>
    </row>
    <row r="12" spans="1:20" ht="15.5" thickTop="1" thickBot="1" x14ac:dyDescent="0.4">
      <c r="A12" s="85" t="s">
        <v>41</v>
      </c>
      <c r="B12" s="86" t="s">
        <v>42</v>
      </c>
      <c r="C12" s="86" t="s">
        <v>43</v>
      </c>
      <c r="D12" s="86" t="s">
        <v>44</v>
      </c>
      <c r="E12" s="86" t="s">
        <v>45</v>
      </c>
      <c r="F12" s="86" t="s">
        <v>46</v>
      </c>
      <c r="G12" s="86" t="s">
        <v>47</v>
      </c>
      <c r="H12" s="86" t="s">
        <v>48</v>
      </c>
      <c r="I12" s="86" t="s">
        <v>49</v>
      </c>
      <c r="J12" s="86" t="s">
        <v>50</v>
      </c>
      <c r="K12" s="46" t="s">
        <v>81</v>
      </c>
      <c r="L12" s="46">
        <f>SUMIFS($A$11:$A$401,$B$11:$B$401,"CH",$F$11:$F$401,"10")</f>
        <v>0</v>
      </c>
      <c r="M12" s="46" t="s">
        <v>6</v>
      </c>
      <c r="N12" s="46">
        <f>SUMIFS($A$11:$A$401,$B$11:$B$401,"RT",$F$11:$F$401,"10")</f>
        <v>0</v>
      </c>
      <c r="O12" s="46" t="s">
        <v>13</v>
      </c>
      <c r="P12" s="42"/>
      <c r="Q12" s="42"/>
      <c r="R12" s="42"/>
      <c r="S12" s="42"/>
      <c r="T12" s="42"/>
    </row>
    <row r="13" spans="1:20" ht="15" thickTop="1" x14ac:dyDescent="0.35">
      <c r="A13" s="88"/>
      <c r="B13" s="89"/>
      <c r="C13" s="88"/>
      <c r="D13" s="90"/>
      <c r="E13" s="88"/>
      <c r="F13" s="88"/>
      <c r="G13" s="88"/>
      <c r="H13" s="88"/>
      <c r="I13" s="88"/>
      <c r="J13" s="88"/>
      <c r="K13" s="46" t="s">
        <v>82</v>
      </c>
      <c r="L13" s="46">
        <f>SUMIFS($A$11:$A$401,$B$11:$B$401,"CH",$F$11:$F$401,"11")</f>
        <v>0</v>
      </c>
      <c r="M13" s="46" t="s">
        <v>6</v>
      </c>
      <c r="N13" s="46">
        <f>SUMIFS($A$11:$A$401,$B$11:$B$401,"RT",$F$11:$F$401,"11")</f>
        <v>0</v>
      </c>
      <c r="O13" s="46" t="s">
        <v>13</v>
      </c>
      <c r="P13" s="42"/>
      <c r="Q13" s="42"/>
      <c r="R13" s="42"/>
      <c r="S13" s="42"/>
      <c r="T13" s="42"/>
    </row>
    <row r="14" spans="1:20" x14ac:dyDescent="0.35">
      <c r="A14" s="30"/>
      <c r="B14" s="40"/>
      <c r="C14" s="30"/>
      <c r="D14" s="31"/>
      <c r="E14" s="30"/>
      <c r="F14" s="30"/>
      <c r="G14" s="30"/>
      <c r="H14" s="30"/>
      <c r="I14" s="30"/>
      <c r="J14" s="30"/>
      <c r="K14" s="46" t="s">
        <v>83</v>
      </c>
      <c r="L14" s="46">
        <f>SUMIFS($A$11:$A$401,$B$11:$B$401,"CH",$F$11:$F$401,"12")</f>
        <v>0</v>
      </c>
      <c r="M14" s="46" t="s">
        <v>6</v>
      </c>
      <c r="N14" s="46">
        <f>SUMIFS($A$11:$A$401,$B$11:$B$401,"RT",$F$11:$F$401,"12")</f>
        <v>0</v>
      </c>
      <c r="O14" s="46" t="s">
        <v>13</v>
      </c>
      <c r="P14" s="42"/>
      <c r="Q14" s="42"/>
      <c r="R14" s="42"/>
      <c r="S14" s="42"/>
      <c r="T14" s="42"/>
    </row>
    <row r="15" spans="1:20" x14ac:dyDescent="0.35">
      <c r="A15" s="30"/>
      <c r="B15" s="40"/>
      <c r="C15" s="30"/>
      <c r="D15" s="30"/>
      <c r="E15" s="30"/>
      <c r="F15" s="30"/>
      <c r="G15" s="30"/>
      <c r="H15" s="30"/>
      <c r="I15" s="30"/>
      <c r="J15" s="30"/>
      <c r="K15" s="46" t="s">
        <v>84</v>
      </c>
      <c r="L15" s="46">
        <f>SUMIFS($A$11:$A$401,$B$11:$B$401,"CH",$F$11:$F$401,"13")</f>
        <v>0</v>
      </c>
      <c r="M15" s="46" t="s">
        <v>6</v>
      </c>
      <c r="N15" s="46">
        <f>SUMIFS($A$11:$A$401,$B$11:$B$401,"RT",$F$11:$F$401,"13")</f>
        <v>0</v>
      </c>
      <c r="O15" s="46" t="s">
        <v>13</v>
      </c>
      <c r="P15" s="42"/>
      <c r="Q15" s="42"/>
      <c r="R15" s="42"/>
      <c r="S15" s="42"/>
      <c r="T15" s="42"/>
    </row>
    <row r="16" spans="1:20" x14ac:dyDescent="0.35">
      <c r="A16" s="30"/>
      <c r="B16" s="40"/>
      <c r="C16" s="30"/>
      <c r="D16" s="30"/>
      <c r="E16" s="30"/>
      <c r="F16" s="30"/>
      <c r="G16" s="30"/>
      <c r="H16" s="30"/>
      <c r="I16" s="30"/>
      <c r="J16" s="30"/>
      <c r="K16" s="46" t="s">
        <v>85</v>
      </c>
      <c r="L16" s="46">
        <f>SUMIFS($A$11:$A$401,$B$11:$B$401,"CH",$F$11:$F$401,"14")</f>
        <v>0</v>
      </c>
      <c r="M16" s="46" t="s">
        <v>6</v>
      </c>
      <c r="N16" s="46">
        <f>SUMIFS($A$11:$A$401,$B$11:$B$401,"RT",$F$11:$F$401,"14")</f>
        <v>0</v>
      </c>
      <c r="O16" s="46" t="s">
        <v>13</v>
      </c>
      <c r="P16" s="42"/>
      <c r="Q16" s="42"/>
      <c r="R16" s="42"/>
      <c r="S16" s="42"/>
      <c r="T16" s="42"/>
    </row>
    <row r="17" spans="1:20" x14ac:dyDescent="0.35">
      <c r="A17" s="30"/>
      <c r="B17" s="40"/>
      <c r="C17" s="30"/>
      <c r="D17" s="30"/>
      <c r="E17" s="30"/>
      <c r="F17" s="30"/>
      <c r="G17" s="30"/>
      <c r="H17" s="30"/>
      <c r="I17" s="30"/>
      <c r="J17" s="30"/>
      <c r="K17" s="46" t="s">
        <v>86</v>
      </c>
      <c r="L17" s="46">
        <f>SUMIFS($A$11:$A$401,$B$11:$B$401,"CH",$F$11:$F$401,"15")</f>
        <v>0</v>
      </c>
      <c r="M17" s="46" t="s">
        <v>6</v>
      </c>
      <c r="N17" s="46">
        <f>SUMIFS($A$11:$A$401,$B$11:$B$401,"RT",$F$11:$F$401,"15")</f>
        <v>0</v>
      </c>
      <c r="O17" s="46" t="s">
        <v>13</v>
      </c>
      <c r="P17" s="42"/>
      <c r="Q17" s="42"/>
      <c r="R17" s="42"/>
      <c r="S17" s="42"/>
      <c r="T17" s="42"/>
    </row>
    <row r="18" spans="1:20" x14ac:dyDescent="0.35">
      <c r="A18" s="30"/>
      <c r="B18" s="40"/>
      <c r="C18" s="30"/>
      <c r="D18" s="30"/>
      <c r="E18" s="30"/>
      <c r="F18" s="30"/>
      <c r="G18" s="30"/>
      <c r="H18" s="30"/>
      <c r="I18" s="30"/>
      <c r="J18" s="30"/>
      <c r="K18" s="46" t="s">
        <v>87</v>
      </c>
      <c r="L18" s="46">
        <f>SUMIFS($A$11:$A$401,$B$11:$B$401,"CH",$F$11:$F$401,"16")</f>
        <v>0</v>
      </c>
      <c r="M18" s="46" t="s">
        <v>6</v>
      </c>
      <c r="N18" s="46">
        <f>SUMIFS($A$11:$A$401,$B$11:$B$401,"RT",$F$11:$F$401,"16")</f>
        <v>0</v>
      </c>
      <c r="O18" s="46" t="s">
        <v>13</v>
      </c>
      <c r="P18" s="42"/>
      <c r="Q18" s="42"/>
      <c r="R18" s="42"/>
      <c r="S18" s="42"/>
      <c r="T18" s="42"/>
    </row>
    <row r="19" spans="1:20" x14ac:dyDescent="0.35">
      <c r="A19" s="30"/>
      <c r="B19" s="40"/>
      <c r="C19" s="30"/>
      <c r="D19" s="30"/>
      <c r="E19" s="30"/>
      <c r="F19" s="30"/>
      <c r="G19" s="30"/>
      <c r="H19" s="30"/>
      <c r="I19" s="30"/>
      <c r="J19" s="30"/>
      <c r="K19" s="46" t="s">
        <v>88</v>
      </c>
      <c r="L19" s="46">
        <f>SUMIFS($A$11:$A$401,$B$11:$B$401,"CH",$F$11:$F$401,"17")</f>
        <v>0</v>
      </c>
      <c r="M19" s="46" t="s">
        <v>6</v>
      </c>
      <c r="N19" s="46">
        <f>SUMIFS($A$11:$A$401,$B$11:$B$401,"RT",$F$11:$F$401,"17")</f>
        <v>0</v>
      </c>
      <c r="O19" s="46" t="s">
        <v>13</v>
      </c>
      <c r="P19" s="42"/>
      <c r="Q19" s="42"/>
      <c r="R19" s="43"/>
      <c r="S19" s="42"/>
      <c r="T19" s="42"/>
    </row>
    <row r="20" spans="1:20" x14ac:dyDescent="0.35">
      <c r="A20" s="30"/>
      <c r="B20" s="40"/>
      <c r="C20" s="30"/>
      <c r="D20" s="30"/>
      <c r="E20" s="30"/>
      <c r="F20" s="30"/>
      <c r="G20" s="30"/>
      <c r="H20" s="30"/>
      <c r="I20" s="30"/>
      <c r="J20" s="30"/>
      <c r="K20" s="46" t="s">
        <v>89</v>
      </c>
      <c r="L20" s="46">
        <f>SUMIFS($A$11:$A$401,$B$11:$B$401,"CH",$F$11:$F$401,"18")</f>
        <v>0</v>
      </c>
      <c r="M20" s="46" t="s">
        <v>6</v>
      </c>
      <c r="N20" s="46">
        <f>SUMIFS($A$11:$A$401,$B$11:$B$401,"RT",$F$11:$F$401,"18")</f>
        <v>0</v>
      </c>
      <c r="O20" s="46" t="s">
        <v>13</v>
      </c>
      <c r="P20" s="42"/>
      <c r="Q20" s="42"/>
      <c r="R20" s="42"/>
      <c r="S20" s="42"/>
      <c r="T20" s="42"/>
    </row>
    <row r="21" spans="1:20" x14ac:dyDescent="0.35">
      <c r="A21" s="30"/>
      <c r="B21" s="40"/>
      <c r="C21" s="30"/>
      <c r="D21" s="30"/>
      <c r="E21" s="30"/>
      <c r="F21" s="30"/>
      <c r="G21" s="30"/>
      <c r="H21" s="30"/>
      <c r="I21" s="30"/>
      <c r="J21" s="30"/>
      <c r="K21" s="46" t="s">
        <v>90</v>
      </c>
      <c r="L21" s="46">
        <f>SUMIFS($A$11:$A$401,$B$11:$B$401,"CH",$F$11:$F$401,"19")</f>
        <v>0</v>
      </c>
      <c r="M21" s="46" t="s">
        <v>6</v>
      </c>
      <c r="N21" s="46">
        <f>SUMIFS($A$11:$A$401,$B$11:$B$401,"RT",$F$11:$F$401,"19")</f>
        <v>0</v>
      </c>
      <c r="O21" s="46" t="s">
        <v>13</v>
      </c>
      <c r="P21" s="42"/>
      <c r="Q21" s="42"/>
      <c r="R21" s="42"/>
      <c r="S21" s="42"/>
      <c r="T21" s="42"/>
    </row>
    <row r="22" spans="1:20" x14ac:dyDescent="0.35">
      <c r="A22" s="30"/>
      <c r="B22" s="40"/>
      <c r="C22" s="30"/>
      <c r="D22" s="30"/>
      <c r="E22" s="30"/>
      <c r="F22" s="30"/>
      <c r="G22" s="30"/>
      <c r="H22" s="30"/>
      <c r="I22" s="30"/>
      <c r="J22" s="30"/>
      <c r="K22" s="46" t="s">
        <v>91</v>
      </c>
      <c r="L22" s="46">
        <f>SUMIFS($A$11:$A$401,$B$11:$B$401,"CH",$F$11:$F$401,"20")</f>
        <v>0</v>
      </c>
      <c r="M22" s="46" t="s">
        <v>6</v>
      </c>
      <c r="N22" s="46">
        <f>SUMIFS($A$11:$A$401,$B$11:$B$401,"RT",$F$11:$F$401,"20")</f>
        <v>0</v>
      </c>
      <c r="O22" s="46" t="s">
        <v>13</v>
      </c>
    </row>
    <row r="23" spans="1:20" x14ac:dyDescent="0.35">
      <c r="A23" s="30"/>
      <c r="B23" s="40"/>
      <c r="C23" s="30"/>
      <c r="D23" s="30"/>
      <c r="E23" s="30"/>
      <c r="F23" s="30"/>
      <c r="G23" s="30"/>
      <c r="H23" s="30"/>
      <c r="I23" s="30"/>
      <c r="J23" s="30"/>
      <c r="K23" s="46" t="s">
        <v>92</v>
      </c>
      <c r="L23" s="46">
        <f>SUMIFS($A$11:$A$401,$B$11:$B$401,"CH",$F$11:$F$401,"21")</f>
        <v>0</v>
      </c>
      <c r="M23" s="46" t="s">
        <v>6</v>
      </c>
      <c r="N23" s="46">
        <f>SUMIFS($A$11:$A$401,$B$11:$B$401,"RT",$F$11:$F$401,"21")</f>
        <v>0</v>
      </c>
      <c r="O23" s="46" t="s">
        <v>13</v>
      </c>
    </row>
    <row r="24" spans="1:20" x14ac:dyDescent="0.35">
      <c r="A24" s="30"/>
      <c r="B24" s="40"/>
      <c r="C24" s="30"/>
      <c r="D24" s="30"/>
      <c r="E24" s="30"/>
      <c r="F24" s="30"/>
      <c r="G24" s="30"/>
      <c r="H24" s="30"/>
      <c r="I24" s="30"/>
      <c r="J24" s="30"/>
      <c r="K24" s="46" t="s">
        <v>93</v>
      </c>
      <c r="L24" s="46">
        <f>SUMIFS($A$11:$A$401,$B$11:$B$401,"CH",$F$11:$F$401,"22")</f>
        <v>0</v>
      </c>
      <c r="M24" s="46" t="s">
        <v>6</v>
      </c>
      <c r="N24" s="46">
        <f>SUMIFS($A$11:$A$401,$B$11:$B$401,"RT",$F$11:$F$401,"22")</f>
        <v>0</v>
      </c>
      <c r="O24" s="46" t="s">
        <v>13</v>
      </c>
    </row>
    <row r="25" spans="1:20" x14ac:dyDescent="0.35">
      <c r="A25" s="30"/>
      <c r="B25" s="40"/>
      <c r="C25" s="30"/>
      <c r="D25" s="30"/>
      <c r="E25" s="30"/>
      <c r="F25" s="30"/>
      <c r="G25" s="30"/>
      <c r="H25" s="30"/>
      <c r="I25" s="30"/>
      <c r="J25" s="30"/>
      <c r="K25" s="46" t="s">
        <v>94</v>
      </c>
      <c r="L25" s="46">
        <f>SUMIFS($A$11:$A$401,$B$11:$B$401,"CH",$F$11:$F$401,"23")</f>
        <v>0</v>
      </c>
      <c r="M25" s="46" t="s">
        <v>6</v>
      </c>
      <c r="N25" s="46">
        <f>SUMIFS($A$11:$A$401,$B$11:$B$401,"RT",$F$11:$F$401,"23")</f>
        <v>0</v>
      </c>
      <c r="O25" s="46" t="s">
        <v>13</v>
      </c>
    </row>
    <row r="26" spans="1:20" x14ac:dyDescent="0.35">
      <c r="A26" s="30"/>
      <c r="B26" s="40"/>
      <c r="C26" s="30"/>
      <c r="D26" s="30"/>
      <c r="E26" s="30"/>
      <c r="F26" s="30"/>
      <c r="G26" s="30"/>
      <c r="H26" s="30"/>
      <c r="I26" s="30"/>
      <c r="J26" s="30"/>
      <c r="K26" s="46" t="s">
        <v>95</v>
      </c>
      <c r="L26" s="46">
        <f>SUMIFS($A$11:$A$401,$B$11:$B$401,"CH",$F$11:$F$401,"24")</f>
        <v>0</v>
      </c>
      <c r="M26" s="46" t="s">
        <v>6</v>
      </c>
      <c r="N26" s="46">
        <f>SUMIFS($A$11:$A$401,$B$11:$B$401,"RT",$F$11:$F$401,"24")</f>
        <v>0</v>
      </c>
      <c r="O26" s="46" t="s">
        <v>13</v>
      </c>
    </row>
    <row r="27" spans="1:20" x14ac:dyDescent="0.35">
      <c r="A27" s="30"/>
      <c r="B27" s="40"/>
      <c r="C27" s="30"/>
      <c r="D27" s="30"/>
      <c r="E27" s="30"/>
      <c r="F27" s="30"/>
      <c r="G27" s="30"/>
      <c r="H27" s="30"/>
      <c r="I27" s="30"/>
      <c r="J27" s="30"/>
      <c r="K27" s="46" t="s">
        <v>96</v>
      </c>
      <c r="L27" s="46">
        <f>SUMIFS($A$11:$A$401,$B$11:$B$401,"CH",$F$11:$F$401,"25")</f>
        <v>0</v>
      </c>
      <c r="M27" s="46" t="s">
        <v>6</v>
      </c>
      <c r="N27" s="46">
        <f>SUMIFS($A$11:$A$401,$B$11:$B$401,"RT",$F$11:$F$401,"25")</f>
        <v>0</v>
      </c>
      <c r="O27" s="46" t="s">
        <v>13</v>
      </c>
    </row>
    <row r="28" spans="1:20" x14ac:dyDescent="0.35">
      <c r="A28" s="30"/>
      <c r="B28" s="40"/>
      <c r="C28" s="30"/>
      <c r="D28" s="30"/>
      <c r="E28" s="30"/>
      <c r="F28" s="30"/>
      <c r="G28" s="30"/>
      <c r="H28" s="30"/>
      <c r="I28" s="30"/>
      <c r="J28" s="30"/>
      <c r="K28" s="46" t="s">
        <v>97</v>
      </c>
      <c r="L28" s="46">
        <f>SUMIFS($A$11:$A$401,$B$11:$B$401,"CH",$F$11:$F$401,"26")</f>
        <v>0</v>
      </c>
      <c r="M28" s="46" t="s">
        <v>6</v>
      </c>
      <c r="N28" s="46">
        <f>SUMIFS($A$11:$A$401,$B$11:$B$401,"RT",$F$11:$F$401,"26")</f>
        <v>0</v>
      </c>
      <c r="O28" s="46" t="s">
        <v>13</v>
      </c>
    </row>
    <row r="29" spans="1:20" x14ac:dyDescent="0.35">
      <c r="A29" s="30"/>
      <c r="B29" s="40"/>
      <c r="C29" s="30"/>
      <c r="D29" s="30"/>
      <c r="E29" s="30"/>
      <c r="F29" s="30"/>
      <c r="G29" s="30"/>
      <c r="H29" s="30"/>
      <c r="I29" s="30"/>
      <c r="J29" s="30"/>
      <c r="K29" s="46" t="s">
        <v>98</v>
      </c>
      <c r="L29" s="46">
        <f>SUMIFS($A$11:$A$401,$B$11:$B$401,"CH",$F$11:$F$401,"27")</f>
        <v>0</v>
      </c>
      <c r="M29" s="46" t="s">
        <v>6</v>
      </c>
      <c r="N29" s="46">
        <f>SUMIFS($A$11:$A$401,$B$11:$B$401,"RT",$F$11:$F$401,"27")</f>
        <v>0</v>
      </c>
      <c r="O29" s="46" t="s">
        <v>13</v>
      </c>
    </row>
    <row r="30" spans="1:20" x14ac:dyDescent="0.35">
      <c r="A30" s="30"/>
      <c r="B30" s="40"/>
      <c r="C30" s="30"/>
      <c r="D30" s="30"/>
      <c r="E30" s="30"/>
      <c r="F30" s="30"/>
      <c r="G30" s="30"/>
      <c r="H30" s="30"/>
      <c r="I30" s="30"/>
      <c r="J30" s="30"/>
      <c r="K30" s="46" t="s">
        <v>99</v>
      </c>
      <c r="L30" s="46">
        <f>SUMIFS($A$11:$A$401,$B$11:$B$401,"CH",$F$11:$F$401,"28")</f>
        <v>0</v>
      </c>
      <c r="M30" s="46" t="s">
        <v>6</v>
      </c>
      <c r="N30" s="46">
        <f>SUMIFS($A$11:$A$401,$B$11:$B$401,"RT",$F$11:$F$401,"28")</f>
        <v>0</v>
      </c>
      <c r="O30" s="46" t="s">
        <v>13</v>
      </c>
    </row>
    <row r="31" spans="1:20" x14ac:dyDescent="0.35">
      <c r="A31" s="30"/>
      <c r="B31" s="40"/>
      <c r="C31" s="30"/>
      <c r="D31" s="30"/>
      <c r="E31" s="30"/>
      <c r="F31" s="30"/>
      <c r="G31" s="30"/>
      <c r="H31" s="30"/>
      <c r="I31" s="30"/>
      <c r="J31" s="30"/>
      <c r="K31" s="46" t="s">
        <v>100</v>
      </c>
      <c r="L31" s="46">
        <f>SUMIFS($A$11:$A$401,$B$11:$B$401,"CH",$F$11:$F$401,"29")</f>
        <v>0</v>
      </c>
      <c r="M31" s="46" t="s">
        <v>6</v>
      </c>
      <c r="N31" s="46">
        <f>SUMIFS($A$11:$A$401,$B$11:$B$401,"RT",$F$11:$F$401,"29")</f>
        <v>0</v>
      </c>
      <c r="O31" s="46" t="s">
        <v>13</v>
      </c>
    </row>
    <row r="32" spans="1:20" x14ac:dyDescent="0.35">
      <c r="A32" s="30"/>
      <c r="B32" s="40"/>
      <c r="C32" s="30"/>
      <c r="D32" s="30"/>
      <c r="E32" s="30"/>
      <c r="F32" s="30"/>
      <c r="G32" s="30"/>
      <c r="H32" s="30"/>
      <c r="I32" s="87"/>
      <c r="J32" s="30"/>
      <c r="K32" s="46" t="s">
        <v>101</v>
      </c>
      <c r="L32" s="46">
        <f>SUMIFS($A$11:$A$401,$B$11:$B$401,"CH",$F$11:$F$401,"30")</f>
        <v>0</v>
      </c>
      <c r="M32" s="46" t="s">
        <v>6</v>
      </c>
      <c r="N32" s="46">
        <f>SUMIFS($A$11:$A$401,$B$11:$B$401,"RT",$F$11:$F$401,"30")</f>
        <v>0</v>
      </c>
      <c r="O32" s="46" t="s">
        <v>13</v>
      </c>
    </row>
    <row r="33" spans="11:15" x14ac:dyDescent="0.35">
      <c r="K33" s="46" t="s">
        <v>102</v>
      </c>
      <c r="L33" s="46">
        <f>SUMIFS($A$11:$A$401,$B$11:$B$401,"CH",$F$11:$F$401,"31")</f>
        <v>0</v>
      </c>
      <c r="M33" s="46" t="s">
        <v>6</v>
      </c>
      <c r="N33" s="46">
        <f>SUMIFS($A$11:$A$401,$B$11:$B$401,"RT",$F$11:$F$401,"31")</f>
        <v>0</v>
      </c>
      <c r="O33" s="46" t="s">
        <v>13</v>
      </c>
    </row>
    <row r="34" spans="11:15" x14ac:dyDescent="0.35">
      <c r="K34" s="46" t="s">
        <v>103</v>
      </c>
      <c r="L34" s="46">
        <f>SUMIFS($A$11:$A$401,$B$11:$B$401,"CH",$F$11:$F$401,"32")</f>
        <v>0</v>
      </c>
      <c r="M34" s="46" t="s">
        <v>6</v>
      </c>
      <c r="N34" s="46">
        <f>SUMIFS($A$11:$A$401,$B$11:$B$401,"RT",$F$11:$F$401,"32")</f>
        <v>0</v>
      </c>
      <c r="O34" s="46" t="s">
        <v>13</v>
      </c>
    </row>
    <row r="35" spans="11:15" x14ac:dyDescent="0.35">
      <c r="K35" s="46" t="s">
        <v>104</v>
      </c>
      <c r="L35" s="46">
        <f>SUMIFS($A$11:$A$401,$B$11:$B$401,"CH",$F$11:$F$401,"33")</f>
        <v>0</v>
      </c>
      <c r="M35" s="46" t="s">
        <v>6</v>
      </c>
      <c r="N35" s="46">
        <f>SUMIFS($A$11:$A$401,$B$11:$B$401,"RT",$F$11:$F$401,"33")</f>
        <v>0</v>
      </c>
      <c r="O35" s="46" t="s">
        <v>13</v>
      </c>
    </row>
    <row r="36" spans="11:15" x14ac:dyDescent="0.35">
      <c r="K36" s="46" t="s">
        <v>105</v>
      </c>
      <c r="L36" s="46">
        <f>SUMIFS($A$11:$A$401,$B$11:$B$401,"CH",$F$11:$F$401,"34")</f>
        <v>0</v>
      </c>
      <c r="M36" s="46" t="s">
        <v>6</v>
      </c>
      <c r="N36" s="46">
        <f>SUMIFS($A$11:$A$401,$B$11:$B$401,"RT",$F$11:$F$401,"34")</f>
        <v>0</v>
      </c>
      <c r="O36" s="46" t="s">
        <v>13</v>
      </c>
    </row>
    <row r="37" spans="11:15" x14ac:dyDescent="0.35">
      <c r="K37" s="46" t="s">
        <v>106</v>
      </c>
      <c r="L37" s="46">
        <f>SUMIFS($A$11:$A$401,$B$11:$B$401,"CH",$F$11:$F$401,"35")</f>
        <v>0</v>
      </c>
      <c r="M37" s="46" t="s">
        <v>6</v>
      </c>
      <c r="N37" s="46">
        <f>SUMIFS($A$11:$A$401,$B$11:$B$401,"RT",$F$11:$F$401,"35")</f>
        <v>0</v>
      </c>
      <c r="O37" s="46" t="s">
        <v>13</v>
      </c>
    </row>
    <row r="38" spans="11:15" x14ac:dyDescent="0.35">
      <c r="K38" s="46" t="s">
        <v>107</v>
      </c>
      <c r="L38" s="46">
        <f>SUMIFS($A$11:$A$401,$B$11:$B$401,"CH",$F$11:$F$401,"36")</f>
        <v>0</v>
      </c>
      <c r="M38" s="46" t="s">
        <v>6</v>
      </c>
      <c r="N38" s="46">
        <f>SUMIFS($A$11:$A$401,$B$11:$B$401,"RT",$F$11:$F$401,"36")</f>
        <v>0</v>
      </c>
      <c r="O38" s="46" t="s">
        <v>13</v>
      </c>
    </row>
    <row r="39" spans="11:15" x14ac:dyDescent="0.35">
      <c r="K39" s="46" t="s">
        <v>108</v>
      </c>
      <c r="L39" s="46">
        <f>SUMIFS($A$11:$A$401,$B$11:$B$401,"CH",$F$11:$F$401,"37")</f>
        <v>0</v>
      </c>
      <c r="M39" s="46" t="s">
        <v>6</v>
      </c>
      <c r="N39" s="46">
        <f>SUMIFS($A$11:$A$401,$B$11:$B$401,"RT",$F$11:$F$401,"37")</f>
        <v>0</v>
      </c>
      <c r="O39" s="46" t="s">
        <v>13</v>
      </c>
    </row>
    <row r="40" spans="11:15" x14ac:dyDescent="0.35">
      <c r="K40" s="46" t="s">
        <v>109</v>
      </c>
      <c r="L40" s="46">
        <f>SUMIFS($A$11:$A$401,$B$11:$B$401,"CH",$F$11:$F$401,"38")</f>
        <v>0</v>
      </c>
      <c r="M40" s="46" t="s">
        <v>6</v>
      </c>
      <c r="N40" s="46">
        <f>SUMIFS($A$11:$A$401,$B$11:$B$401,"RT",$F$11:$F$401,"38")</f>
        <v>0</v>
      </c>
      <c r="O40" s="46" t="s">
        <v>13</v>
      </c>
    </row>
    <row r="41" spans="11:15" x14ac:dyDescent="0.35">
      <c r="K41" s="46" t="s">
        <v>110</v>
      </c>
      <c r="L41" s="46">
        <f>SUMIFS($A$11:$A$401,$B$11:$B$401,"CH",$F$11:$F$401,"39")</f>
        <v>0</v>
      </c>
      <c r="M41" s="46" t="s">
        <v>6</v>
      </c>
      <c r="N41" s="46">
        <f>SUMIFS($A$11:$A$401,$B$11:$B$401,"RT",$F$11:$F$401,"39")</f>
        <v>0</v>
      </c>
      <c r="O41" s="46" t="s">
        <v>13</v>
      </c>
    </row>
    <row r="42" spans="11:15" x14ac:dyDescent="0.35">
      <c r="K42" s="46" t="s">
        <v>111</v>
      </c>
      <c r="L42" s="46">
        <f>SUMIFS($A$11:$A$401,$B$11:$B$401,"CH",$F$11:$F$401,"40")</f>
        <v>0</v>
      </c>
      <c r="M42" s="46" t="s">
        <v>6</v>
      </c>
      <c r="N42" s="46">
        <f>SUMIFS($A$11:$A$401,$B$11:$B$401,"RT",$F$11:$F$401,"40")</f>
        <v>0</v>
      </c>
      <c r="O42" s="46" t="s">
        <v>13</v>
      </c>
    </row>
    <row r="43" spans="11:15" x14ac:dyDescent="0.35">
      <c r="K43" s="46" t="s">
        <v>112</v>
      </c>
      <c r="L43" s="46">
        <f>SUMIFS($A$11:$A$401,$B$11:$B$401,"CH",$F$11:$F$401,"41")</f>
        <v>0</v>
      </c>
      <c r="M43" s="46" t="s">
        <v>6</v>
      </c>
      <c r="N43" s="46">
        <f>SUMIFS($A$11:$A$401,$B$11:$B$401,"RT",$F$11:$F$401,"41")</f>
        <v>0</v>
      </c>
      <c r="O43" s="46" t="s">
        <v>13</v>
      </c>
    </row>
    <row r="44" spans="11:15" x14ac:dyDescent="0.35">
      <c r="K44" s="46"/>
      <c r="L44" s="46">
        <f>SUMIFS($A$11:$A$401,$B$11:$B$401,"CH",$F$11:$F$401,"")</f>
        <v>0</v>
      </c>
      <c r="M44" s="46" t="s">
        <v>6</v>
      </c>
      <c r="N44" s="46">
        <f>SUMIFS($A$11:$A$401,$B$11:$B$401,"RT",$F$11:$F$401,"")</f>
        <v>0</v>
      </c>
      <c r="O44" s="46" t="s">
        <v>13</v>
      </c>
    </row>
    <row r="45" spans="11:15" x14ac:dyDescent="0.35">
      <c r="K45" s="46" t="s">
        <v>113</v>
      </c>
      <c r="L45" s="46">
        <f>SUM(L3:L44)</f>
        <v>0</v>
      </c>
      <c r="M45" s="46" t="s">
        <v>6</v>
      </c>
      <c r="N45" s="46">
        <f>SUM(N3:N44)</f>
        <v>0</v>
      </c>
      <c r="O45" s="46" t="s">
        <v>13</v>
      </c>
    </row>
    <row r="46" spans="11:15" x14ac:dyDescent="0.35">
      <c r="K46" s="46"/>
      <c r="L46" s="46"/>
      <c r="M46" s="46"/>
      <c r="N46" s="46"/>
    </row>
    <row r="47" spans="11:15" x14ac:dyDescent="0.35">
      <c r="K47" s="46"/>
      <c r="N47" s="46"/>
    </row>
    <row r="48" spans="11:15" x14ac:dyDescent="0.35">
      <c r="K48" s="46"/>
      <c r="N48" s="46"/>
    </row>
    <row r="49" spans="11:14" x14ac:dyDescent="0.35">
      <c r="K49" s="46"/>
      <c r="N49" s="46"/>
    </row>
    <row r="50" spans="11:14" x14ac:dyDescent="0.35">
      <c r="K50" s="46"/>
      <c r="N50" s="46"/>
    </row>
    <row r="51" spans="11:14" x14ac:dyDescent="0.35">
      <c r="K51" s="46"/>
      <c r="N51" s="46"/>
    </row>
    <row r="52" spans="11:14" x14ac:dyDescent="0.35">
      <c r="K52" s="46"/>
      <c r="N52" s="46"/>
    </row>
    <row r="53" spans="11:14" x14ac:dyDescent="0.35">
      <c r="K53" s="46"/>
      <c r="N53" s="46"/>
    </row>
    <row r="54" spans="11:14" x14ac:dyDescent="0.35">
      <c r="K54" s="46"/>
      <c r="N54" s="46"/>
    </row>
    <row r="55" spans="11:14" x14ac:dyDescent="0.35">
      <c r="K55" s="46"/>
      <c r="N55" s="46"/>
    </row>
    <row r="56" spans="11:14" x14ac:dyDescent="0.35">
      <c r="K56" s="46"/>
      <c r="N56" s="46"/>
    </row>
    <row r="57" spans="11:14" x14ac:dyDescent="0.35">
      <c r="K57" s="46"/>
      <c r="N57" s="46"/>
    </row>
    <row r="58" spans="11:14" x14ac:dyDescent="0.35">
      <c r="K58" s="46"/>
      <c r="N58" s="46"/>
    </row>
    <row r="59" spans="11:14" x14ac:dyDescent="0.35">
      <c r="K59" s="46"/>
      <c r="N59" s="46"/>
    </row>
    <row r="60" spans="11:14" x14ac:dyDescent="0.35">
      <c r="K60" s="46"/>
      <c r="N60" s="46"/>
    </row>
    <row r="61" spans="11:14" x14ac:dyDescent="0.35">
      <c r="K61" s="46"/>
      <c r="N61" s="46"/>
    </row>
    <row r="62" spans="11:14" x14ac:dyDescent="0.35">
      <c r="K62" s="46"/>
      <c r="N62" s="46"/>
    </row>
    <row r="63" spans="11:14" x14ac:dyDescent="0.35">
      <c r="K63" s="46"/>
      <c r="N63" s="46"/>
    </row>
    <row r="64" spans="11:14" x14ac:dyDescent="0.35">
      <c r="K64" s="46"/>
      <c r="N64" s="46"/>
    </row>
    <row r="65" spans="11:14" x14ac:dyDescent="0.35">
      <c r="K65" s="46"/>
      <c r="N65" s="46"/>
    </row>
    <row r="66" spans="11:14" x14ac:dyDescent="0.35">
      <c r="K66" s="46"/>
      <c r="N66" s="46"/>
    </row>
    <row r="67" spans="11:14" x14ac:dyDescent="0.35">
      <c r="K67" s="46"/>
      <c r="N67" s="46"/>
    </row>
    <row r="68" spans="11:14" x14ac:dyDescent="0.35">
      <c r="K68" s="46"/>
      <c r="N68" s="46"/>
    </row>
    <row r="69" spans="11:14" x14ac:dyDescent="0.35">
      <c r="K69" s="46"/>
      <c r="N69" s="46"/>
    </row>
    <row r="70" spans="11:14" x14ac:dyDescent="0.35">
      <c r="K70" s="46"/>
      <c r="N70" s="46"/>
    </row>
    <row r="71" spans="11:14" x14ac:dyDescent="0.35">
      <c r="K71" s="46"/>
      <c r="N71" s="46"/>
    </row>
    <row r="72" spans="11:14" x14ac:dyDescent="0.35">
      <c r="K72" s="46"/>
      <c r="N72" s="46"/>
    </row>
    <row r="73" spans="11:14" x14ac:dyDescent="0.35">
      <c r="K73" s="46"/>
      <c r="N73" s="46"/>
    </row>
    <row r="74" spans="11:14" x14ac:dyDescent="0.35">
      <c r="K74" s="46"/>
      <c r="N74" s="46"/>
    </row>
    <row r="75" spans="11:14" x14ac:dyDescent="0.35">
      <c r="K75" s="46"/>
      <c r="N75" s="46"/>
    </row>
    <row r="76" spans="11:14" x14ac:dyDescent="0.35">
      <c r="K76" s="46"/>
      <c r="N76" s="46"/>
    </row>
    <row r="77" spans="11:14" x14ac:dyDescent="0.35">
      <c r="K77" s="46"/>
      <c r="N77" s="46"/>
    </row>
    <row r="78" spans="11:14" x14ac:dyDescent="0.35">
      <c r="K78" s="46"/>
      <c r="N78" s="46"/>
    </row>
    <row r="79" spans="11:14" x14ac:dyDescent="0.35">
      <c r="K79" s="46"/>
      <c r="N79" s="46"/>
    </row>
    <row r="80" spans="11:14" x14ac:dyDescent="0.35">
      <c r="K80" s="46"/>
      <c r="N80" s="46"/>
    </row>
    <row r="81" spans="11:14" x14ac:dyDescent="0.35">
      <c r="K81" s="46"/>
      <c r="N81" s="46"/>
    </row>
    <row r="82" spans="11:14" x14ac:dyDescent="0.35">
      <c r="K82" s="46"/>
      <c r="N82" s="46"/>
    </row>
    <row r="83" spans="11:14" x14ac:dyDescent="0.35">
      <c r="K83" s="46"/>
      <c r="N83" s="46"/>
    </row>
    <row r="84" spans="11:14" x14ac:dyDescent="0.35">
      <c r="K84" s="46"/>
      <c r="N84" s="46"/>
    </row>
    <row r="85" spans="11:14" x14ac:dyDescent="0.35">
      <c r="K85" s="46"/>
      <c r="N85" s="46"/>
    </row>
    <row r="86" spans="11:14" x14ac:dyDescent="0.35">
      <c r="K86" s="46"/>
      <c r="N86" s="46"/>
    </row>
    <row r="87" spans="11:14" x14ac:dyDescent="0.35">
      <c r="K87" s="46"/>
      <c r="N87" s="46"/>
    </row>
    <row r="88" spans="11:14" x14ac:dyDescent="0.35">
      <c r="K88" s="46"/>
      <c r="N88" s="46"/>
    </row>
    <row r="89" spans="11:14" x14ac:dyDescent="0.35">
      <c r="K89" s="47"/>
      <c r="N89" s="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2021 CHaMP Snorkel UTMLatLong</vt:lpstr>
      <vt:lpstr>595e</vt:lpstr>
      <vt:lpstr>1129s</vt:lpstr>
      <vt:lpstr>1196e</vt:lpstr>
      <vt:lpstr>1971</vt:lpstr>
      <vt:lpstr>2159s</vt:lpstr>
      <vt:lpstr>TEMPLATE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Mendez</dc:creator>
  <cp:lastModifiedBy>Julia Markham</cp:lastModifiedBy>
  <dcterms:created xsi:type="dcterms:W3CDTF">2018-11-28T19:23:12Z</dcterms:created>
  <dcterms:modified xsi:type="dcterms:W3CDTF">2022-03-24T14:57:56Z</dcterms:modified>
</cp:coreProperties>
</file>