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Users\beame\Documents\NMFS Columbia Basin\10. Quantitative goals\LCR chum\"/>
    </mc:Choice>
  </mc:AlternateContent>
  <xr:revisionPtr revIDLastSave="0" documentId="13_ncr:1_{0037DF27-67DE-4659-BCA2-A1246B9D17CB}" xr6:coauthVersionLast="46" xr6:coauthVersionMax="46" xr10:uidLastSave="{00000000-0000-0000-0000-000000000000}"/>
  <bookViews>
    <workbookView xWindow="28680" yWindow="-120" windowWidth="29040" windowHeight="15840" tabRatio="820" activeTab="6" xr2:uid="{00000000-000D-0000-FFFF-FFFF00000000}"/>
  </bookViews>
  <sheets>
    <sheet name="Summary" sheetId="7" r:id="rId1"/>
    <sheet name="Escape" sheetId="1" r:id="rId2"/>
    <sheet name="T2 Fishery" sheetId="3" r:id="rId3"/>
    <sheet name="T3 Hatchery" sheetId="4" r:id="rId4"/>
    <sheet name="DataDictionary" sheetId="2" r:id="rId5"/>
    <sheet name="Background" sheetId="5" r:id="rId6"/>
    <sheet name="Run" sheetId="6" r:id="rId7"/>
    <sheet name="Conv" sheetId="10" r:id="rId8"/>
    <sheet name="Factors" sheetId="8" r:id="rId9"/>
    <sheet name="Documentation" sheetId="9" r:id="rId10"/>
  </sheets>
  <definedNames>
    <definedName name="_Ref67714019">#REF!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45" i="6" l="1"/>
  <c r="AH45" i="6"/>
  <c r="AI44" i="6"/>
  <c r="AH44" i="6"/>
  <c r="AI43" i="6"/>
  <c r="AH43" i="6"/>
  <c r="AI42" i="6"/>
  <c r="AH42" i="6"/>
  <c r="AI41" i="6"/>
  <c r="AH41" i="6"/>
  <c r="AI40" i="6"/>
  <c r="AH40" i="6"/>
  <c r="AI39" i="6"/>
  <c r="AH39" i="6"/>
  <c r="AI38" i="6"/>
  <c r="AH38" i="6"/>
  <c r="AI37" i="6"/>
  <c r="AH37" i="6"/>
  <c r="AI36" i="6"/>
  <c r="AH36" i="6"/>
  <c r="AI35" i="6"/>
  <c r="AH35" i="6"/>
  <c r="AI34" i="6"/>
  <c r="AH34" i="6"/>
  <c r="AI33" i="6"/>
  <c r="AH33" i="6"/>
  <c r="AI32" i="6"/>
  <c r="AH32" i="6"/>
  <c r="AI31" i="6"/>
  <c r="AH31" i="6"/>
  <c r="AI30" i="6"/>
  <c r="AH30" i="6"/>
  <c r="AI29" i="6"/>
  <c r="AH29" i="6"/>
  <c r="AI28" i="6"/>
  <c r="AH28" i="6"/>
  <c r="AG45" i="6"/>
  <c r="AG44" i="6"/>
  <c r="AG43" i="6"/>
  <c r="AG42" i="6"/>
  <c r="AG41" i="6"/>
  <c r="AG40" i="6"/>
  <c r="AG39" i="6"/>
  <c r="AG38" i="6"/>
  <c r="AG37" i="6"/>
  <c r="AG36" i="6"/>
  <c r="AG35" i="6"/>
  <c r="AG34" i="6"/>
  <c r="AG33" i="6"/>
  <c r="AG32" i="6"/>
  <c r="AG31" i="6"/>
  <c r="AG30" i="6"/>
  <c r="AG29" i="6"/>
  <c r="AG28" i="6"/>
  <c r="Y28" i="7"/>
  <c r="Y27" i="7"/>
  <c r="Y26" i="7"/>
  <c r="Y25" i="7"/>
  <c r="Y34" i="7" l="1"/>
  <c r="H14" i="10" l="1"/>
  <c r="H17" i="10" s="1"/>
  <c r="I17" i="10" s="1"/>
  <c r="I7" i="10"/>
  <c r="I14" i="10" l="1"/>
  <c r="H18" i="10"/>
  <c r="I18" i="10" s="1"/>
  <c r="I8" i="10"/>
  <c r="H16" i="10"/>
  <c r="I16" i="10" s="1"/>
  <c r="F13" i="10"/>
  <c r="I9" i="10"/>
  <c r="G9" i="10" l="1"/>
  <c r="Q9" i="10"/>
  <c r="F18" i="10"/>
  <c r="J18" i="10" s="1"/>
  <c r="K18" i="10" s="1"/>
  <c r="E14" i="10"/>
  <c r="G14" i="10" s="1"/>
  <c r="F17" i="10"/>
  <c r="F16" i="10"/>
  <c r="J16" i="10" s="1"/>
  <c r="K16" i="10" s="1"/>
  <c r="E18" i="10" l="1"/>
  <c r="G18" i="10" s="1"/>
  <c r="E16" i="10"/>
  <c r="G16" i="10" s="1"/>
  <c r="O16" i="10" s="1"/>
  <c r="P16" i="10" s="1"/>
  <c r="O18" i="10"/>
  <c r="P18" i="10" s="1"/>
  <c r="J17" i="10"/>
  <c r="E17" i="10"/>
  <c r="G17" i="10" s="1"/>
  <c r="K17" i="10" l="1"/>
  <c r="O17" i="10" s="1"/>
  <c r="P17" i="10" s="1"/>
  <c r="AA19" i="6" l="1"/>
  <c r="U43" i="7" s="1"/>
  <c r="AU15" i="6"/>
  <c r="S15" i="6" s="1"/>
  <c r="AU14" i="6"/>
  <c r="S14" i="6" s="1"/>
  <c r="AU13" i="6"/>
  <c r="S13" i="6" s="1"/>
  <c r="AU12" i="6"/>
  <c r="S12" i="6" s="1"/>
  <c r="AU11" i="6"/>
  <c r="S11" i="6" s="1"/>
  <c r="AU10" i="6"/>
  <c r="S10" i="6" s="1"/>
  <c r="AU9" i="6"/>
  <c r="S9" i="6" s="1"/>
  <c r="AS15" i="6"/>
  <c r="AS14" i="6"/>
  <c r="AS13" i="6"/>
  <c r="AS12" i="6"/>
  <c r="AS11" i="6"/>
  <c r="AS10" i="6"/>
  <c r="AS9" i="6"/>
  <c r="AS20" i="6" l="1"/>
  <c r="AT18" i="6" s="1"/>
  <c r="AU18" i="6" s="1"/>
  <c r="S18" i="6" s="1"/>
  <c r="AT17" i="6"/>
  <c r="AU17" i="6" s="1"/>
  <c r="S17" i="6" s="1"/>
  <c r="AT16" i="6"/>
  <c r="AU16" i="6" s="1"/>
  <c r="S16" i="6" s="1"/>
  <c r="AH17" i="8"/>
  <c r="AH16" i="8"/>
  <c r="AH15" i="8"/>
  <c r="AH14" i="8"/>
  <c r="AH13" i="8"/>
  <c r="AH12" i="8"/>
  <c r="AH11" i="8"/>
  <c r="AH10" i="8"/>
  <c r="AH9" i="8"/>
  <c r="AH17" i="9"/>
  <c r="AH16" i="9"/>
  <c r="AH15" i="9"/>
  <c r="AH14" i="9"/>
  <c r="AH13" i="9"/>
  <c r="AH12" i="9"/>
  <c r="AH11" i="9"/>
  <c r="AH10" i="9"/>
  <c r="AH9" i="9"/>
  <c r="AH8" i="8"/>
  <c r="AH8" i="9"/>
  <c r="S20" i="6" l="1"/>
  <c r="X34" i="7"/>
  <c r="F4" i="10"/>
  <c r="U51" i="7"/>
  <c r="X8" i="6"/>
  <c r="Y8" i="6"/>
  <c r="Z8" i="6"/>
  <c r="X9" i="6"/>
  <c r="Y9" i="6"/>
  <c r="Z9" i="6"/>
  <c r="X10" i="6"/>
  <c r="Y10" i="6"/>
  <c r="Z10" i="6"/>
  <c r="X11" i="6"/>
  <c r="Y11" i="6"/>
  <c r="Z11" i="6"/>
  <c r="X12" i="6"/>
  <c r="Y12" i="6"/>
  <c r="Z12" i="6"/>
  <c r="X13" i="6"/>
  <c r="Y13" i="6"/>
  <c r="Z13" i="6"/>
  <c r="X14" i="6"/>
  <c r="Y14" i="6"/>
  <c r="Z14" i="6"/>
  <c r="X15" i="6"/>
  <c r="Y15" i="6"/>
  <c r="Z15" i="6"/>
  <c r="X16" i="6"/>
  <c r="Y16" i="6"/>
  <c r="Z16" i="6"/>
  <c r="X17" i="6"/>
  <c r="Y17" i="6"/>
  <c r="Z17" i="6"/>
  <c r="BL46" i="6"/>
  <c r="BL43" i="6"/>
  <c r="BN40" i="6"/>
  <c r="BL35" i="6"/>
  <c r="BN28" i="6"/>
  <c r="BW25" i="6"/>
  <c r="BW24" i="6"/>
  <c r="BT24" i="6"/>
  <c r="BR24" i="6"/>
  <c r="BQ24" i="6"/>
  <c r="BM24" i="6"/>
  <c r="BL24" i="6"/>
  <c r="BY23" i="6"/>
  <c r="CC23" i="6" s="1"/>
  <c r="CB23" i="6" s="1"/>
  <c r="BW23" i="6"/>
  <c r="BY22" i="6"/>
  <c r="CA22" i="6" s="1"/>
  <c r="BW22" i="6"/>
  <c r="BW21" i="6"/>
  <c r="BT21" i="6"/>
  <c r="BL21" i="6"/>
  <c r="BY20" i="6"/>
  <c r="CA20" i="6" s="1"/>
  <c r="BP20" i="6"/>
  <c r="BY19" i="6"/>
  <c r="CA19" i="6" s="1"/>
  <c r="BZ19" i="6" s="1"/>
  <c r="BP19" i="6"/>
  <c r="BY18" i="6"/>
  <c r="CC18" i="6" s="1"/>
  <c r="CB18" i="6" s="1"/>
  <c r="BW18" i="6"/>
  <c r="BY17" i="6"/>
  <c r="CA17" i="6" s="1"/>
  <c r="BW17" i="6"/>
  <c r="BY16" i="6"/>
  <c r="CA16" i="6" s="1"/>
  <c r="CD16" i="6" s="1"/>
  <c r="BW16" i="6"/>
  <c r="BR16" i="6"/>
  <c r="BQ16" i="6"/>
  <c r="BM16" i="6"/>
  <c r="BY15" i="6"/>
  <c r="CA15" i="6" s="1"/>
  <c r="CD15" i="6" s="1"/>
  <c r="BW15" i="6"/>
  <c r="BY14" i="6"/>
  <c r="BW14" i="6"/>
  <c r="BR14" i="6"/>
  <c r="BQ14" i="6"/>
  <c r="BM14" i="6"/>
  <c r="BW13" i="6"/>
  <c r="BT13" i="6"/>
  <c r="BL13" i="6"/>
  <c r="BY12" i="6"/>
  <c r="CA12" i="6" s="1"/>
  <c r="BP12" i="6"/>
  <c r="BY11" i="6"/>
  <c r="BP11" i="6"/>
  <c r="BY10" i="6"/>
  <c r="CC10" i="6" s="1"/>
  <c r="CB10" i="6" s="1"/>
  <c r="BP10" i="6"/>
  <c r="BY9" i="6"/>
  <c r="CA9" i="6" s="1"/>
  <c r="BZ9" i="6" s="1"/>
  <c r="BP9" i="6"/>
  <c r="BY8" i="6"/>
  <c r="BW8" i="6"/>
  <c r="BR8" i="6"/>
  <c r="BQ8" i="6"/>
  <c r="BM8" i="6"/>
  <c r="BY7" i="6"/>
  <c r="BW7" i="6"/>
  <c r="BR7" i="6"/>
  <c r="BQ7" i="6"/>
  <c r="BM7" i="6"/>
  <c r="BY6" i="6"/>
  <c r="CA6" i="6" s="1"/>
  <c r="CD6" i="6" s="1"/>
  <c r="BW6" i="6"/>
  <c r="AN13" i="6" l="1"/>
  <c r="R14" i="6" s="1"/>
  <c r="T14" i="6" s="1"/>
  <c r="U14" i="6" s="1"/>
  <c r="AN15" i="6"/>
  <c r="R16" i="6" s="1"/>
  <c r="T16" i="6" s="1"/>
  <c r="U16" i="6" s="1"/>
  <c r="AN10" i="6"/>
  <c r="R11" i="6" s="1"/>
  <c r="T11" i="6" s="1"/>
  <c r="U11" i="6" s="1"/>
  <c r="AN12" i="6"/>
  <c r="R13" i="6" s="1"/>
  <c r="T13" i="6" s="1"/>
  <c r="U13" i="6" s="1"/>
  <c r="AN17" i="6"/>
  <c r="R18" i="6" s="1"/>
  <c r="T18" i="6" s="1"/>
  <c r="U18" i="6" s="1"/>
  <c r="AN9" i="6"/>
  <c r="R10" i="6" s="1"/>
  <c r="T10" i="6" s="1"/>
  <c r="U10" i="6" s="1"/>
  <c r="AN14" i="6"/>
  <c r="R15" i="6" s="1"/>
  <c r="T15" i="6" s="1"/>
  <c r="U15" i="6" s="1"/>
  <c r="AN11" i="6"/>
  <c r="R12" i="6" s="1"/>
  <c r="T12" i="6" s="1"/>
  <c r="U12" i="6" s="1"/>
  <c r="AN16" i="6"/>
  <c r="R17" i="6" s="1"/>
  <c r="T17" i="6" s="1"/>
  <c r="U17" i="6" s="1"/>
  <c r="AN8" i="6"/>
  <c r="R9" i="6" s="1"/>
  <c r="BL47" i="6"/>
  <c r="BR13" i="6"/>
  <c r="CC19" i="6"/>
  <c r="CB19" i="6" s="1"/>
  <c r="CC20" i="6"/>
  <c r="CB20" i="6" s="1"/>
  <c r="CA23" i="6"/>
  <c r="BZ23" i="6" s="1"/>
  <c r="CD17" i="6"/>
  <c r="BZ17" i="6"/>
  <c r="CC7" i="6"/>
  <c r="CB7" i="6" s="1"/>
  <c r="CA14" i="6"/>
  <c r="CD14" i="6" s="1"/>
  <c r="CA18" i="6"/>
  <c r="BZ18" i="6" s="1"/>
  <c r="BM13" i="6"/>
  <c r="BQ21" i="6"/>
  <c r="BQ13" i="6"/>
  <c r="BR21" i="6"/>
  <c r="BM21" i="6"/>
  <c r="BN46" i="6"/>
  <c r="BO46" i="6" s="1"/>
  <c r="CD22" i="6"/>
  <c r="BZ22" i="6"/>
  <c r="BZ6" i="6"/>
  <c r="CA10" i="6"/>
  <c r="BZ10" i="6" s="1"/>
  <c r="BL25" i="6"/>
  <c r="CC6" i="6"/>
  <c r="CB6" i="6" s="1"/>
  <c r="CA7" i="6"/>
  <c r="CD7" i="6" s="1"/>
  <c r="CC11" i="6"/>
  <c r="CB11" i="6" s="1"/>
  <c r="BZ15" i="6"/>
  <c r="BT25" i="6"/>
  <c r="CC15" i="6"/>
  <c r="CB15" i="6" s="1"/>
  <c r="CC8" i="6"/>
  <c r="CB8" i="6" s="1"/>
  <c r="CC14" i="6"/>
  <c r="CB14" i="6" s="1"/>
  <c r="CC17" i="6"/>
  <c r="CB17" i="6" s="1"/>
  <c r="CC22" i="6"/>
  <c r="CB22" i="6" s="1"/>
  <c r="CA11" i="6"/>
  <c r="BZ11" i="6" s="1"/>
  <c r="CC12" i="6"/>
  <c r="CB12" i="6" s="1"/>
  <c r="CC16" i="6"/>
  <c r="CB16" i="6" s="1"/>
  <c r="BZ20" i="6"/>
  <c r="BZ16" i="6"/>
  <c r="CC9" i="6"/>
  <c r="CB9" i="6" s="1"/>
  <c r="CA8" i="6"/>
  <c r="BO28" i="6"/>
  <c r="BZ12" i="6"/>
  <c r="R20" i="6" l="1"/>
  <c r="T9" i="6"/>
  <c r="CD23" i="6"/>
  <c r="BR25" i="6"/>
  <c r="BQ25" i="6"/>
  <c r="BZ14" i="6"/>
  <c r="BN47" i="6"/>
  <c r="BO47" i="6" s="1"/>
  <c r="BM25" i="6"/>
  <c r="CD18" i="6"/>
  <c r="BZ7" i="6"/>
  <c r="BZ8" i="6"/>
  <c r="CD8" i="6"/>
  <c r="D4" i="10" l="1"/>
  <c r="U47" i="7"/>
  <c r="T20" i="6"/>
  <c r="U9" i="6"/>
  <c r="U20" i="6" s="1"/>
  <c r="F73" i="9"/>
  <c r="F72" i="9"/>
  <c r="F71" i="9"/>
  <c r="F57" i="9"/>
  <c r="F56" i="9"/>
  <c r="F55" i="9"/>
  <c r="F41" i="9"/>
  <c r="F40" i="9"/>
  <c r="F39" i="9"/>
  <c r="H4" i="10" l="1"/>
  <c r="U39" i="7"/>
  <c r="U34" i="7"/>
  <c r="P7" i="10"/>
  <c r="G4" i="10"/>
  <c r="E4" i="10"/>
  <c r="F25" i="9"/>
  <c r="F24" i="9"/>
  <c r="F23" i="9"/>
  <c r="P8" i="10" l="1"/>
  <c r="Q8" i="10" s="1"/>
  <c r="Q7" i="10"/>
  <c r="L13" i="10"/>
  <c r="E7" i="10"/>
  <c r="E9" i="10"/>
  <c r="E8" i="10"/>
  <c r="G7" i="10"/>
  <c r="G8" i="10" s="1"/>
  <c r="J13" i="10"/>
  <c r="K14" i="10" s="1"/>
  <c r="O14" i="10" s="1"/>
  <c r="P14" i="10" s="1"/>
  <c r="K5" i="10"/>
  <c r="F5" i="10"/>
  <c r="G5" i="10"/>
  <c r="F77" i="9"/>
  <c r="F70" i="9"/>
  <c r="M14" i="10" l="1"/>
  <c r="L17" i="10"/>
  <c r="M17" i="10" s="1"/>
  <c r="L18" i="10"/>
  <c r="M18" i="10" s="1"/>
  <c r="L16" i="10"/>
  <c r="M16" i="10" s="1"/>
  <c r="J5" i="10"/>
  <c r="M5" i="10" s="1"/>
  <c r="N5" i="10" s="1"/>
  <c r="R14" i="10" s="1"/>
  <c r="H5" i="10"/>
  <c r="D5" i="10" s="1"/>
  <c r="F61" i="9"/>
  <c r="F54" i="9"/>
  <c r="F45" i="9" l="1"/>
  <c r="F38" i="9" l="1"/>
  <c r="AU65" i="1" l="1"/>
  <c r="U20" i="7" s="1"/>
  <c r="F32" i="9" l="1"/>
  <c r="F31" i="9"/>
  <c r="V13" i="7"/>
  <c r="F27" i="9" l="1"/>
  <c r="F12" i="1"/>
  <c r="F22" i="9"/>
  <c r="F18" i="9" l="1"/>
  <c r="F16" i="9"/>
  <c r="F13" i="9"/>
  <c r="F12" i="9"/>
  <c r="F11" i="9"/>
  <c r="F10" i="9"/>
  <c r="U11" i="7" l="1"/>
  <c r="F9" i="9" s="1"/>
  <c r="U10" i="7"/>
  <c r="F8" i="9" s="1"/>
  <c r="U9" i="7"/>
  <c r="F7" i="9" s="1"/>
  <c r="U8" i="7"/>
  <c r="BZ46" i="1"/>
  <c r="CK45" i="1"/>
  <c r="CH45" i="1"/>
  <c r="BZ45" i="1"/>
  <c r="CK35" i="1"/>
  <c r="CE35" i="1"/>
  <c r="CD35" i="1"/>
  <c r="CA35" i="1"/>
  <c r="CK33" i="1"/>
  <c r="CE33" i="1"/>
  <c r="CD33" i="1"/>
  <c r="CD45" i="1" s="1"/>
  <c r="CA33" i="1"/>
  <c r="CA45" i="1" s="1"/>
  <c r="CK31" i="1"/>
  <c r="CE45" i="1" l="1"/>
  <c r="F6" i="9"/>
  <c r="F5" i="9"/>
  <c r="F4" i="9" l="1"/>
  <c r="W35" i="7" l="1"/>
  <c r="AX52" i="1" l="1"/>
  <c r="U19" i="7" s="1"/>
  <c r="F17" i="9" s="1"/>
  <c r="AX36" i="1"/>
  <c r="U5" i="7" s="1"/>
  <c r="AX20" i="1"/>
  <c r="U16" i="7" s="1"/>
  <c r="F14" i="9" s="1"/>
  <c r="F3" i="9" l="1"/>
  <c r="AQ51" i="1"/>
  <c r="AQ50" i="1"/>
  <c r="AQ49" i="1"/>
  <c r="AQ48" i="1"/>
  <c r="AQ47" i="1"/>
  <c r="AQ46" i="1"/>
  <c r="AQ45" i="1"/>
  <c r="AQ44" i="1"/>
  <c r="AQ43" i="1"/>
  <c r="AQ42" i="1"/>
  <c r="AQ41" i="1"/>
  <c r="AQ40" i="1"/>
  <c r="AQ39" i="1"/>
  <c r="AQ38" i="1"/>
  <c r="AQ37" i="1"/>
  <c r="AQ35" i="1"/>
  <c r="AQ34" i="1"/>
  <c r="AQ33" i="1"/>
  <c r="AQ32" i="1"/>
  <c r="AQ31" i="1"/>
  <c r="AQ30" i="1"/>
  <c r="AQ29" i="1"/>
  <c r="AQ28" i="1"/>
  <c r="AQ27" i="1"/>
  <c r="AQ26" i="1"/>
  <c r="AQ25" i="1"/>
  <c r="AQ24" i="1"/>
  <c r="AQ23" i="1"/>
  <c r="AQ22" i="1"/>
  <c r="AQ21" i="1"/>
  <c r="AQ19" i="1"/>
  <c r="AQ18" i="1"/>
  <c r="AQ17" i="1"/>
  <c r="AQ16" i="1"/>
  <c r="AQ15" i="1"/>
  <c r="AQ14" i="1"/>
  <c r="AQ13" i="1"/>
  <c r="AQ12" i="1"/>
  <c r="AQ11" i="1"/>
  <c r="AQ10" i="1"/>
  <c r="AQ9" i="1"/>
  <c r="AQ8" i="1"/>
  <c r="AQ7" i="1"/>
  <c r="AQ6" i="1"/>
  <c r="AQ5" i="1"/>
  <c r="G34" i="4" l="1"/>
  <c r="G33" i="4"/>
  <c r="G32" i="4"/>
  <c r="D33" i="4"/>
  <c r="D32" i="4"/>
  <c r="Y29" i="7"/>
  <c r="G26" i="1" l="1"/>
  <c r="H26" i="1" s="1"/>
  <c r="G38" i="1"/>
  <c r="C82" i="6"/>
  <c r="C81" i="6"/>
  <c r="C80" i="6"/>
  <c r="C79" i="6"/>
  <c r="C78" i="6"/>
  <c r="C77" i="6"/>
  <c r="C76" i="6"/>
  <c r="C75" i="6"/>
  <c r="C74" i="6"/>
  <c r="C73" i="6"/>
  <c r="C72" i="6"/>
  <c r="C71" i="6"/>
  <c r="C70" i="6"/>
  <c r="C69" i="6"/>
  <c r="V35" i="7" l="1"/>
  <c r="U35" i="7"/>
  <c r="E64" i="7" s="1"/>
  <c r="I18" i="1" l="1"/>
  <c r="I17" i="1"/>
  <c r="I10" i="1"/>
  <c r="I9" i="1"/>
  <c r="I8" i="1"/>
  <c r="I7" i="1"/>
  <c r="E44" i="1"/>
  <c r="E41" i="1"/>
  <c r="E33" i="1"/>
  <c r="E45" i="1" l="1"/>
  <c r="U17" i="7"/>
  <c r="F15" i="9" l="1"/>
  <c r="U21" i="7"/>
  <c r="R15" i="1"/>
  <c r="R21" i="1"/>
  <c r="V21" i="1" s="1"/>
  <c r="R20" i="1"/>
  <c r="R18" i="1"/>
  <c r="R17" i="1"/>
  <c r="R16" i="1"/>
  <c r="V16" i="1" s="1"/>
  <c r="R14" i="1"/>
  <c r="R13" i="1"/>
  <c r="V13" i="1" s="1"/>
  <c r="R12" i="1"/>
  <c r="R10" i="1"/>
  <c r="R9" i="1"/>
  <c r="R8" i="1"/>
  <c r="R7" i="1"/>
  <c r="V7" i="1" s="1"/>
  <c r="U7" i="1" s="1"/>
  <c r="R6" i="1"/>
  <c r="V6" i="1" s="1"/>
  <c r="R5" i="1"/>
  <c r="V5" i="1" s="1"/>
  <c r="R4" i="1"/>
  <c r="V20" i="7"/>
  <c r="F34" i="9" s="1"/>
  <c r="V16" i="7"/>
  <c r="F30" i="9" s="1"/>
  <c r="V15" i="7"/>
  <c r="F29" i="9" s="1"/>
  <c r="V5" i="7"/>
  <c r="F19" i="9" l="1"/>
  <c r="U16" i="1"/>
  <c r="X16" i="7" s="1"/>
  <c r="F62" i="9" s="1"/>
  <c r="Y16" i="7"/>
  <c r="F78" i="9" s="1"/>
  <c r="U6" i="1"/>
  <c r="X7" i="7" s="1"/>
  <c r="Y7" i="7"/>
  <c r="F69" i="9" s="1"/>
  <c r="V17" i="1"/>
  <c r="Y17" i="7" s="1"/>
  <c r="F79" i="9" s="1"/>
  <c r="W19" i="7"/>
  <c r="F49" i="9" s="1"/>
  <c r="V20" i="1"/>
  <c r="Y19" i="7" s="1"/>
  <c r="F81" i="9" s="1"/>
  <c r="T8" i="1"/>
  <c r="S8" i="1" s="1"/>
  <c r="V8" i="1"/>
  <c r="U8" i="1" s="1"/>
  <c r="V18" i="1"/>
  <c r="Y18" i="7" s="1"/>
  <c r="F80" i="9" s="1"/>
  <c r="V9" i="1"/>
  <c r="U9" i="1" s="1"/>
  <c r="U21" i="1"/>
  <c r="X20" i="7" s="1"/>
  <c r="F66" i="9" s="1"/>
  <c r="Y20" i="7"/>
  <c r="F82" i="9" s="1"/>
  <c r="V15" i="1"/>
  <c r="U15" i="1" s="1"/>
  <c r="T10" i="1"/>
  <c r="S10" i="1" s="1"/>
  <c r="V10" i="1"/>
  <c r="U10" i="1" s="1"/>
  <c r="V12" i="1"/>
  <c r="Y12" i="7" s="1"/>
  <c r="F74" i="9" s="1"/>
  <c r="W12" i="7"/>
  <c r="V4" i="1"/>
  <c r="Y5" i="7" s="1"/>
  <c r="F67" i="9" s="1"/>
  <c r="U13" i="1"/>
  <c r="X13" i="7" s="1"/>
  <c r="F59" i="9" s="1"/>
  <c r="Y13" i="7"/>
  <c r="F75" i="9" s="1"/>
  <c r="U5" i="1"/>
  <c r="X6" i="7" s="1"/>
  <c r="Y6" i="7"/>
  <c r="F68" i="9" s="1"/>
  <c r="V14" i="1"/>
  <c r="Y14" i="7" s="1"/>
  <c r="F76" i="9" s="1"/>
  <c r="W20" i="7"/>
  <c r="T21" i="1"/>
  <c r="T7" i="1"/>
  <c r="S7" i="1" s="1"/>
  <c r="T12" i="1"/>
  <c r="T17" i="1"/>
  <c r="S17" i="1" s="1"/>
  <c r="W5" i="7"/>
  <c r="F35" i="9" s="1"/>
  <c r="T4" i="1"/>
  <c r="W4" i="1" s="1"/>
  <c r="W13" i="7"/>
  <c r="F43" i="9" s="1"/>
  <c r="T13" i="1"/>
  <c r="W13" i="1" s="1"/>
  <c r="T18" i="1"/>
  <c r="S18" i="1" s="1"/>
  <c r="T15" i="1"/>
  <c r="W15" i="1" s="1"/>
  <c r="W7" i="7"/>
  <c r="F37" i="9" s="1"/>
  <c r="T6" i="1"/>
  <c r="W6" i="1" s="1"/>
  <c r="T16" i="1"/>
  <c r="S16" i="1" s="1"/>
  <c r="W6" i="7"/>
  <c r="F36" i="9" s="1"/>
  <c r="T5" i="1"/>
  <c r="T9" i="1"/>
  <c r="S9" i="1" s="1"/>
  <c r="W14" i="7"/>
  <c r="F44" i="9" s="1"/>
  <c r="T14" i="1"/>
  <c r="W14" i="1" s="1"/>
  <c r="T20" i="1"/>
  <c r="W16" i="7"/>
  <c r="F46" i="9" s="1"/>
  <c r="W18" i="7"/>
  <c r="F48" i="9" s="1"/>
  <c r="W17" i="7"/>
  <c r="F47" i="9" s="1"/>
  <c r="U4" i="1" l="1"/>
  <c r="X5" i="7" s="1"/>
  <c r="U18" i="1"/>
  <c r="X18" i="7" s="1"/>
  <c r="F64" i="9" s="1"/>
  <c r="S4" i="1"/>
  <c r="U14" i="1"/>
  <c r="X14" i="7" s="1"/>
  <c r="F60" i="9" s="1"/>
  <c r="F51" i="9"/>
  <c r="W12" i="1"/>
  <c r="X12" i="7"/>
  <c r="F58" i="9" s="1"/>
  <c r="U17" i="1"/>
  <c r="X17" i="7" s="1"/>
  <c r="F63" i="9" s="1"/>
  <c r="U12" i="1"/>
  <c r="U20" i="1"/>
  <c r="X19" i="7" s="1"/>
  <c r="F65" i="9" s="1"/>
  <c r="F50" i="9"/>
  <c r="S6" i="1"/>
  <c r="S15" i="1"/>
  <c r="S13" i="1"/>
  <c r="S14" i="1"/>
  <c r="S5" i="1"/>
  <c r="W5" i="1"/>
  <c r="S20" i="1"/>
  <c r="W20" i="1"/>
  <c r="S12" i="1"/>
  <c r="S21" i="1"/>
  <c r="W21" i="1"/>
  <c r="W16" i="1"/>
  <c r="W21" i="7"/>
  <c r="D7" i="10" s="1"/>
  <c r="D19" i="7"/>
  <c r="V47" i="7" l="1"/>
  <c r="H7" i="10"/>
  <c r="D20" i="7"/>
  <c r="V29" i="7"/>
  <c r="I9" i="3"/>
  <c r="G13" i="3"/>
  <c r="G9" i="3"/>
  <c r="G21" i="3"/>
  <c r="G19" i="3"/>
  <c r="V39" i="7" l="1"/>
  <c r="V43" i="7" s="1"/>
  <c r="F7" i="10"/>
  <c r="K7" i="10"/>
  <c r="J7" i="10" s="1"/>
  <c r="I6" i="3"/>
  <c r="I8" i="3" s="1"/>
  <c r="M7" i="10" l="1"/>
  <c r="F19" i="3"/>
  <c r="F18" i="3"/>
  <c r="F9" i="3"/>
  <c r="F8" i="3"/>
  <c r="N7" i="10" l="1"/>
  <c r="V51" i="7"/>
  <c r="H5" i="4"/>
  <c r="M19" i="1" l="1"/>
  <c r="E19" i="1"/>
  <c r="P16" i="1"/>
  <c r="P15" i="1"/>
  <c r="M11" i="1"/>
  <c r="E11" i="1"/>
  <c r="U28" i="7" l="1"/>
  <c r="U27" i="7"/>
  <c r="D26" i="4" l="1"/>
  <c r="D20" i="4"/>
  <c r="W29" i="7"/>
  <c r="L64" i="7" s="1"/>
  <c r="D14" i="4"/>
  <c r="U29" i="7"/>
  <c r="D5" i="4"/>
  <c r="E22" i="1"/>
  <c r="G44" i="1" s="1"/>
  <c r="P23" i="1"/>
  <c r="P22" i="1"/>
  <c r="P21" i="1"/>
  <c r="P20" i="1"/>
  <c r="P19" i="1"/>
  <c r="P14" i="1"/>
  <c r="P13" i="1"/>
  <c r="P12" i="1"/>
  <c r="P11" i="1"/>
  <c r="P6" i="1"/>
  <c r="P5" i="1"/>
  <c r="P4" i="1"/>
  <c r="K22" i="1"/>
  <c r="K14" i="1"/>
  <c r="K12" i="1"/>
  <c r="K6" i="1"/>
  <c r="K5" i="1"/>
  <c r="J22" i="1"/>
  <c r="J14" i="1"/>
  <c r="J12" i="1"/>
  <c r="J6" i="1"/>
  <c r="J5" i="1"/>
  <c r="M22" i="1"/>
  <c r="M23" i="1" s="1"/>
  <c r="F22" i="1"/>
  <c r="F14" i="1"/>
  <c r="V14" i="7" s="1"/>
  <c r="F28" i="9" s="1"/>
  <c r="F6" i="1"/>
  <c r="V7" i="7" s="1"/>
  <c r="F21" i="9" s="1"/>
  <c r="F5" i="1"/>
  <c r="V6" i="7" s="1"/>
  <c r="F20" i="9" l="1"/>
  <c r="G45" i="1"/>
  <c r="H45" i="1" s="1"/>
  <c r="H44" i="1"/>
  <c r="F19" i="1"/>
  <c r="V12" i="7"/>
  <c r="F26" i="9" s="1"/>
  <c r="F53" i="9"/>
  <c r="F52" i="9"/>
  <c r="K19" i="1"/>
  <c r="J19" i="1"/>
  <c r="J11" i="1"/>
  <c r="F11" i="1"/>
  <c r="K11" i="1"/>
  <c r="E23" i="1"/>
  <c r="D4" i="4" s="1"/>
  <c r="D8" i="4" s="1"/>
  <c r="V21" i="7" l="1"/>
  <c r="D23" i="7" s="1"/>
  <c r="F23" i="1"/>
  <c r="J23" i="1"/>
  <c r="K23" i="1"/>
  <c r="Y21" i="7"/>
  <c r="D9" i="10" s="1"/>
  <c r="X21" i="7"/>
  <c r="D8" i="10" s="1"/>
  <c r="W47" i="7" l="1"/>
  <c r="H8" i="10"/>
  <c r="X47" i="7"/>
  <c r="H9" i="10"/>
  <c r="D21" i="7"/>
  <c r="D22" i="7"/>
  <c r="F9" i="10" l="1"/>
  <c r="K9" i="10"/>
  <c r="J9" i="10" s="1"/>
  <c r="X39" i="7"/>
  <c r="X43" i="7" s="1"/>
  <c r="F8" i="10"/>
  <c r="W39" i="7"/>
  <c r="W43" i="7" s="1"/>
  <c r="K8" i="10"/>
  <c r="J8" i="10" s="1"/>
  <c r="Y35" i="7"/>
  <c r="M8" i="10" l="1"/>
  <c r="M9" i="10"/>
  <c r="X51" i="7" l="1"/>
  <c r="N9" i="10"/>
  <c r="N8" i="10"/>
  <c r="W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 Beamesderfer</author>
    <author>xxx</author>
    <author>pat frazier</author>
    <author>Windows User</author>
    <author>Tucker Jones</author>
  </authors>
  <commentList>
    <comment ref="H3" authorId="0" shapeId="0" xr:uid="{00000000-0006-0000-0100-000001000000}">
      <text>
        <r>
          <rPr>
            <b/>
            <sz val="8"/>
            <color indexed="81"/>
            <rFont val="Tahoma"/>
            <family val="2"/>
          </rPr>
          <t>Identified in LCFRB recovery plan appdx E based directly on viability curve modeling specific to each population. Corresponds to high viability/low risk probability as designated by WLC TRT - this is the same method used to determine ESA goals. ESA goal differs from 'MAT' due to scenario differences in objective level. (Note that chum goals were distilled from risk analysis while other species were derived spefically for each population)</t>
        </r>
      </text>
    </comment>
    <comment ref="I3" authorId="0" shapeId="0" xr:uid="{00000000-0006-0000-0100-000002000000}">
      <text>
        <r>
          <rPr>
            <b/>
            <sz val="8"/>
            <color indexed="81"/>
            <rFont val="Tahoma"/>
            <family val="2"/>
          </rPr>
          <t>McElhany et al. 2007 Oregon pop TRT report</t>
        </r>
      </text>
    </comment>
    <comment ref="L3" authorId="0" shapeId="0" xr:uid="{00000000-0006-0000-0100-000003000000}">
      <text>
        <r>
          <rPr>
            <b/>
            <sz val="8"/>
            <color indexed="81"/>
            <rFont val="Tahoma"/>
            <family val="2"/>
          </rPr>
          <t>From LCFRB recovery plan. Corresponds to ESA goal value</t>
        </r>
      </text>
    </comment>
    <comment ref="T4" authorId="1" shapeId="0" xr:uid="{00000000-0006-0000-0100-000004000000}">
      <text>
        <r>
          <rPr>
            <b/>
            <sz val="9"/>
            <color indexed="81"/>
            <rFont val="Tahoma"/>
            <family val="2"/>
          </rPr>
          <t>Based on Rawding &amp; Manlow recommendation in white paper
upon further discussion between Pat Frazier and Ray Beames</t>
        </r>
      </text>
    </comment>
    <comment ref="V4" authorId="2" shapeId="0" xr:uid="{952CE96F-5554-4312-8B27-4D8065B67557}">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5" authorId="1" shapeId="0" xr:uid="{00000000-0006-0000-0100-000005000000}">
      <text>
        <r>
          <rPr>
            <b/>
            <sz val="9"/>
            <color indexed="81"/>
            <rFont val="Tahoma"/>
            <family val="2"/>
          </rPr>
          <t>Based on Rawding &amp; Manlow recommendation in white paper</t>
        </r>
      </text>
    </comment>
    <comment ref="V5" authorId="2" shapeId="0" xr:uid="{98F8AD4E-67BE-4CD5-B28D-B708BAD7370D}">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6" authorId="1" shapeId="0" xr:uid="{00000000-0006-0000-0100-000006000000}">
      <text>
        <r>
          <rPr>
            <b/>
            <sz val="9"/>
            <color indexed="81"/>
            <rFont val="Tahoma"/>
            <family val="2"/>
          </rPr>
          <t>Based on Rawding &amp; Manlow recommendation in white paper</t>
        </r>
      </text>
    </comment>
    <comment ref="V6" authorId="2" shapeId="0" xr:uid="{98D021D7-B0F0-4A8B-AA38-83716ED84248}">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7" authorId="1" shapeId="0" xr:uid="{00000000-0006-0000-0100-000007000000}">
      <text>
        <r>
          <rPr>
            <b/>
            <sz val="9"/>
            <color indexed="81"/>
            <rFont val="Tahoma"/>
            <family val="2"/>
          </rPr>
          <t xml:space="preserve">Assigned by Beamesderfer for the purposes of this exercise. </t>
        </r>
      </text>
    </comment>
    <comment ref="M7" authorId="1" shapeId="0" xr:uid="{00000000-0006-0000-0100-000008000000}">
      <text>
        <r>
          <rPr>
            <b/>
            <sz val="9"/>
            <color indexed="81"/>
            <rFont val="Tahoma"/>
            <family val="2"/>
          </rPr>
          <t>identified by NMFS in 2013 recovery plan based on McElhany et al. viability analysis</t>
        </r>
      </text>
    </comment>
    <comment ref="T7" authorId="1" shapeId="0" xr:uid="{00000000-0006-0000-0100-000009000000}">
      <text>
        <r>
          <rPr>
            <b/>
            <sz val="9"/>
            <color indexed="81"/>
            <rFont val="Tahoma"/>
            <family val="2"/>
          </rPr>
          <t>Based on Rawding &amp; Manlow recommendation in white paper</t>
        </r>
      </text>
    </comment>
    <comment ref="V7" authorId="2" shapeId="0" xr:uid="{FD0599E4-4A1C-4A2C-9708-787B8B0161C7}">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8" authorId="1" shapeId="0" xr:uid="{00000000-0006-0000-0100-00000A000000}">
      <text>
        <r>
          <rPr>
            <b/>
            <sz val="9"/>
            <color indexed="81"/>
            <rFont val="Tahoma"/>
            <family val="2"/>
          </rPr>
          <t xml:space="preserve">Assigned by Beamesderfer for the purposes of this exercise. </t>
        </r>
      </text>
    </comment>
    <comment ref="M8" authorId="1" shapeId="0" xr:uid="{00000000-0006-0000-0100-00000B000000}">
      <text>
        <r>
          <rPr>
            <b/>
            <sz val="9"/>
            <color indexed="81"/>
            <rFont val="Tahoma"/>
            <family val="2"/>
          </rPr>
          <t>identified by NMFS in 2013 recovery plan based on McElhany et al. viability analysis</t>
        </r>
      </text>
    </comment>
    <comment ref="T8" authorId="1" shapeId="0" xr:uid="{00000000-0006-0000-0100-00000C000000}">
      <text>
        <r>
          <rPr>
            <b/>
            <sz val="9"/>
            <color indexed="81"/>
            <rFont val="Tahoma"/>
            <family val="2"/>
          </rPr>
          <t>Based on Rawding &amp; Manlow recommendation in white paper</t>
        </r>
      </text>
    </comment>
    <comment ref="V8" authorId="2" shapeId="0" xr:uid="{40F5A2E0-AA21-4A21-BDC6-E2E9847616B8}">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9" authorId="1" shapeId="0" xr:uid="{00000000-0006-0000-0100-00000D000000}">
      <text>
        <r>
          <rPr>
            <b/>
            <sz val="9"/>
            <color indexed="81"/>
            <rFont val="Tahoma"/>
            <family val="2"/>
          </rPr>
          <t xml:space="preserve">Assigned by Beamesderfer for the purposes of this exercise. </t>
        </r>
      </text>
    </comment>
    <comment ref="M9" authorId="1" shapeId="0" xr:uid="{00000000-0006-0000-0100-00000E000000}">
      <text>
        <r>
          <rPr>
            <b/>
            <sz val="9"/>
            <color indexed="81"/>
            <rFont val="Tahoma"/>
            <family val="2"/>
          </rPr>
          <t>identified by NMFS in 2013 recovery plan based on McElhany et al. viability analysis</t>
        </r>
      </text>
    </comment>
    <comment ref="T9" authorId="1" shapeId="0" xr:uid="{00000000-0006-0000-0100-00000F000000}">
      <text>
        <r>
          <rPr>
            <b/>
            <sz val="9"/>
            <color indexed="81"/>
            <rFont val="Tahoma"/>
            <family val="2"/>
          </rPr>
          <t>Based on Rawding &amp; Manlow recommendation in white paper</t>
        </r>
      </text>
    </comment>
    <comment ref="V9" authorId="2" shapeId="0" xr:uid="{46B77E6A-0F21-4F5B-9CEF-99A895523107}">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10" authorId="1" shapeId="0" xr:uid="{00000000-0006-0000-0100-000010000000}">
      <text>
        <r>
          <rPr>
            <b/>
            <sz val="9"/>
            <color indexed="81"/>
            <rFont val="Tahoma"/>
            <family val="2"/>
          </rPr>
          <t xml:space="preserve">Assigned by Beamesderfer for the purposes of this exercise. </t>
        </r>
      </text>
    </comment>
    <comment ref="M10" authorId="1" shapeId="0" xr:uid="{00000000-0006-0000-0100-000011000000}">
      <text>
        <r>
          <rPr>
            <b/>
            <sz val="9"/>
            <color indexed="81"/>
            <rFont val="Tahoma"/>
            <family val="2"/>
          </rPr>
          <t>identified by NMFS in 2013 recovery plan based on McElhany et al. viability analysis</t>
        </r>
      </text>
    </comment>
    <comment ref="T10" authorId="1" shapeId="0" xr:uid="{00000000-0006-0000-0100-000012000000}">
      <text>
        <r>
          <rPr>
            <b/>
            <sz val="9"/>
            <color indexed="81"/>
            <rFont val="Tahoma"/>
            <family val="2"/>
          </rPr>
          <t>Based on Rawding &amp; Manlow recommendation in white paper</t>
        </r>
      </text>
    </comment>
    <comment ref="V10" authorId="2" shapeId="0" xr:uid="{6F5577F7-4991-4ECD-87FF-A449422B73C6}">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K12" authorId="3" shapeId="0" xr:uid="{00000000-0006-0000-0100-000013000000}">
      <text>
        <r>
          <rPr>
            <b/>
            <sz val="9"/>
            <color indexed="81"/>
            <rFont val="Tahoma"/>
            <family val="2"/>
          </rPr>
          <t>Windows User:</t>
        </r>
        <r>
          <rPr>
            <sz val="9"/>
            <color indexed="81"/>
            <rFont val="Tahoma"/>
            <family val="2"/>
          </rPr>
          <t xml:space="preserve">
not include Toutle</t>
        </r>
      </text>
    </comment>
    <comment ref="T12" authorId="1" shapeId="0" xr:uid="{00000000-0006-0000-0100-000014000000}">
      <text>
        <r>
          <rPr>
            <b/>
            <sz val="9"/>
            <color indexed="81"/>
            <rFont val="Tahoma"/>
            <family val="2"/>
          </rPr>
          <t>Based on Rawding &amp; Manlow recommendation in white paper</t>
        </r>
      </text>
    </comment>
    <comment ref="V12" authorId="2" shapeId="0" xr:uid="{FEF36D7F-4025-4055-9C42-AC1C734C66F8}">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13" authorId="1" shapeId="0" xr:uid="{00000000-0006-0000-0100-000015000000}">
      <text>
        <r>
          <rPr>
            <b/>
            <sz val="9"/>
            <color indexed="81"/>
            <rFont val="Tahoma"/>
            <family val="2"/>
          </rPr>
          <t>Based on Rawding &amp; Manlow recommendation in white paper</t>
        </r>
      </text>
    </comment>
    <comment ref="V13" authorId="2" shapeId="0" xr:uid="{3AD01CBC-AC45-4F21-AB4A-1F739C458A96}">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14" authorId="1" shapeId="0" xr:uid="{00000000-0006-0000-0100-000016000000}">
      <text>
        <r>
          <rPr>
            <b/>
            <sz val="9"/>
            <color indexed="81"/>
            <rFont val="Tahoma"/>
            <family val="2"/>
          </rPr>
          <t>Based on Rawding &amp; Manlow recommendation in white paper</t>
        </r>
      </text>
    </comment>
    <comment ref="V14" authorId="2" shapeId="0" xr:uid="{896D13F1-DACC-4FA7-949C-9B70BF5A5BA5}">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15" authorId="1" shapeId="0" xr:uid="{00000000-0006-0000-0100-000017000000}">
      <text>
        <r>
          <rPr>
            <b/>
            <sz val="9"/>
            <color indexed="81"/>
            <rFont val="Tahoma"/>
            <family val="2"/>
          </rPr>
          <t>Based on Rawding &amp; Manlow recommendation in white paper</t>
        </r>
      </text>
    </comment>
    <comment ref="V15" authorId="2" shapeId="0" xr:uid="{B3EC9C78-AEC9-4EB1-A3A8-9BBD507EF10A}">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16" authorId="1" shapeId="0" xr:uid="{00000000-0006-0000-0100-000018000000}">
      <text>
        <r>
          <rPr>
            <b/>
            <sz val="9"/>
            <color indexed="81"/>
            <rFont val="Tahoma"/>
            <family val="2"/>
          </rPr>
          <t>Based on Rawding &amp; Manlow recommendation in white paper</t>
        </r>
      </text>
    </comment>
    <comment ref="V16" authorId="2" shapeId="0" xr:uid="{2AF43606-34D3-48BB-AFC6-07D29B090E9F}">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17" authorId="1" shapeId="0" xr:uid="{00000000-0006-0000-0100-000019000000}">
      <text>
        <r>
          <rPr>
            <b/>
            <sz val="9"/>
            <color indexed="81"/>
            <rFont val="Tahoma"/>
            <family val="2"/>
          </rPr>
          <t xml:space="preserve">Assigned by Beamesderfer for the purposes of this exercise. </t>
        </r>
      </text>
    </comment>
    <comment ref="M17" authorId="1" shapeId="0" xr:uid="{00000000-0006-0000-0100-00001A000000}">
      <text>
        <r>
          <rPr>
            <b/>
            <sz val="9"/>
            <color indexed="81"/>
            <rFont val="Tahoma"/>
            <family val="2"/>
          </rPr>
          <t>identified by NMFS in 2013 recovery plan based on McElhany et al. viability analysis</t>
        </r>
      </text>
    </comment>
    <comment ref="T17" authorId="1" shapeId="0" xr:uid="{00000000-0006-0000-0100-00001B000000}">
      <text>
        <r>
          <rPr>
            <b/>
            <sz val="9"/>
            <color indexed="81"/>
            <rFont val="Tahoma"/>
            <family val="2"/>
          </rPr>
          <t>Based on Rawding &amp; Manlow recommendation in white paper</t>
        </r>
      </text>
    </comment>
    <comment ref="V17" authorId="2" shapeId="0" xr:uid="{33E78410-0F70-4C90-A989-D46FE8129A65}">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E18" authorId="1" shapeId="0" xr:uid="{00000000-0006-0000-0100-00001C000000}">
      <text>
        <r>
          <rPr>
            <b/>
            <sz val="9"/>
            <color indexed="81"/>
            <rFont val="Tahoma"/>
            <family val="2"/>
          </rPr>
          <t xml:space="preserve">Assigned by Beamesderfer for the purposes of this exercise. </t>
        </r>
      </text>
    </comment>
    <comment ref="M18" authorId="1" shapeId="0" xr:uid="{00000000-0006-0000-0100-00001D000000}">
      <text>
        <r>
          <rPr>
            <b/>
            <sz val="9"/>
            <color indexed="81"/>
            <rFont val="Tahoma"/>
            <family val="2"/>
          </rPr>
          <t>identified by NMFS in 2013 recovery plan based on McElhany et al. viability analysis</t>
        </r>
      </text>
    </comment>
    <comment ref="T18" authorId="1" shapeId="0" xr:uid="{00000000-0006-0000-0100-00001E000000}">
      <text>
        <r>
          <rPr>
            <b/>
            <sz val="9"/>
            <color indexed="81"/>
            <rFont val="Tahoma"/>
            <family val="2"/>
          </rPr>
          <t>Based on Rawding &amp; Manlow recommendation in white paper</t>
        </r>
      </text>
    </comment>
    <comment ref="V18" authorId="2" shapeId="0" xr:uid="{E4B3613D-9EC9-48EB-AF3A-E4530C028B8F}">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20" authorId="1" shapeId="0" xr:uid="{00000000-0006-0000-0100-00001F000000}">
      <text>
        <r>
          <rPr>
            <b/>
            <sz val="9"/>
            <color indexed="81"/>
            <rFont val="Tahoma"/>
            <family val="2"/>
          </rPr>
          <t>Based on Rawding &amp; Manlow recommendation in white paper</t>
        </r>
      </text>
    </comment>
    <comment ref="V20" authorId="2" shapeId="0" xr:uid="{24FB226F-7CE4-49B5-BF32-F5C282DF5501}">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T21" authorId="1" shapeId="0" xr:uid="{00000000-0006-0000-0100-000020000000}">
      <text>
        <r>
          <rPr>
            <b/>
            <sz val="9"/>
            <color indexed="81"/>
            <rFont val="Tahoma"/>
            <family val="2"/>
          </rPr>
          <t>Based on Rawding &amp; Manlow recommendation in white paper</t>
        </r>
      </text>
    </comment>
    <comment ref="V21" authorId="2" shapeId="0" xr:uid="{4049DC72-B6BF-4BD2-9863-639B1C0C964C}">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Z37" authorId="4" shapeId="0" xr:uid="{FF444E0E-5324-49DD-AA23-18F93B54FD7C}">
      <text>
        <r>
          <rPr>
            <b/>
            <sz val="9"/>
            <color indexed="81"/>
            <rFont val="Tahoma"/>
            <family val="2"/>
          </rPr>
          <t>Tucker Jones:</t>
        </r>
        <r>
          <rPr>
            <sz val="9"/>
            <color indexed="81"/>
            <rFont val="Tahoma"/>
            <family val="2"/>
          </rPr>
          <t xml:space="preserve">
2016 estimate</t>
        </r>
      </text>
    </comment>
    <comment ref="CC37" authorId="4" shapeId="0" xr:uid="{BE32C5F3-424C-42DF-840A-5914ACA6C9DB}">
      <text>
        <r>
          <rPr>
            <b/>
            <sz val="9"/>
            <color indexed="81"/>
            <rFont val="Tahoma"/>
            <family val="2"/>
          </rPr>
          <t>Tucker Jones:</t>
        </r>
        <r>
          <rPr>
            <sz val="9"/>
            <color indexed="81"/>
            <rFont val="Tahoma"/>
            <family val="2"/>
          </rPr>
          <t xml:space="preserve">
*potential historical abundance estimates were derived from values reported in the literature or historical estimates of habitat availbility combined with reported values of chum spawner densities</t>
        </r>
      </text>
    </comment>
    <comment ref="CH37" authorId="4" shapeId="0" xr:uid="{651C9A22-DD92-48CF-BE02-253F23916E49}">
      <text>
        <r>
          <rPr>
            <b/>
            <sz val="9"/>
            <color indexed="81"/>
            <rFont val="Tahoma"/>
            <family val="2"/>
          </rPr>
          <t>Tucker Jones:</t>
        </r>
        <r>
          <rPr>
            <sz val="9"/>
            <color indexed="81"/>
            <rFont val="Tahoma"/>
            <family val="2"/>
          </rPr>
          <t xml:space="preserve">
*ESA goals were created as place holders while we collect data on freshwater and marine survival rates which would better help us understand population variability and demographics.</t>
        </r>
      </text>
    </comment>
    <comment ref="BZ39" authorId="4" shapeId="0" xr:uid="{01AFC942-8EFF-4CBE-A2B6-2CB0473DC152}">
      <text>
        <r>
          <rPr>
            <b/>
            <sz val="9"/>
            <color indexed="81"/>
            <rFont val="Tahoma"/>
            <family val="2"/>
          </rPr>
          <t>Tucker Jones:</t>
        </r>
        <r>
          <rPr>
            <sz val="9"/>
            <color indexed="81"/>
            <rFont val="Tahoma"/>
            <family val="2"/>
          </rPr>
          <t xml:space="preserve">
2016 minimum estimate</t>
        </r>
      </text>
    </comment>
    <comment ref="BZ41" authorId="4" shapeId="0" xr:uid="{4F0770BA-0284-45FB-9762-859D0A803F88}">
      <text>
        <r>
          <rPr>
            <b/>
            <sz val="9"/>
            <color indexed="81"/>
            <rFont val="Tahoma"/>
            <family val="2"/>
          </rPr>
          <t>Tucker Jones:</t>
        </r>
        <r>
          <rPr>
            <sz val="9"/>
            <color indexed="81"/>
            <rFont val="Tahoma"/>
            <family val="2"/>
          </rPr>
          <t xml:space="preserve">
2016 minimum estimate</t>
        </r>
      </text>
    </comment>
    <comment ref="BZ43" authorId="4" shapeId="0" xr:uid="{B97853BB-95BF-4D18-9609-4788762D33DC}">
      <text>
        <r>
          <rPr>
            <b/>
            <sz val="9"/>
            <color indexed="81"/>
            <rFont val="Tahoma"/>
            <family val="2"/>
          </rPr>
          <t>Tucker Jones:</t>
        </r>
        <r>
          <rPr>
            <sz val="9"/>
            <color indexed="81"/>
            <rFont val="Tahoma"/>
            <family val="2"/>
          </rPr>
          <t xml:space="preserve">
2016 estimate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16" authorId="0" shapeId="0" xr:uid="{00000000-0006-0000-0300-000001000000}">
      <text>
        <r>
          <rPr>
            <b/>
            <sz val="9"/>
            <color indexed="81"/>
            <rFont val="Tahoma"/>
            <family val="2"/>
          </rPr>
          <t>2008-2016 avg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Ray Beamesderfer</author>
    <author>xxx</author>
    <author>pat frazier</author>
    <author>Windows User</author>
  </authors>
  <commentList>
    <comment ref="BO5" authorId="0" shapeId="0" xr:uid="{12209AE9-7C49-4BF8-BBE5-15BBE45E1C43}">
      <text>
        <r>
          <rPr>
            <b/>
            <sz val="8"/>
            <color indexed="81"/>
            <rFont val="Tahoma"/>
            <family val="2"/>
          </rPr>
          <t>Identified in LCFRB recovery plan appdx E based directly on viability curve modeling specific to each population. Corresponds to high viability/low risk probability as designated by WLC TRT - this is the same method used to determine ESA goals. ESA goal differs from 'MAT' due to scenario differences in objective level. (Note that chum goals were distilled from risk analysis while other species were derived spefically for each population)</t>
        </r>
      </text>
    </comment>
    <comment ref="BP5" authorId="0" shapeId="0" xr:uid="{FB63A0D8-536B-4F40-9DCA-CA989A13B86C}">
      <text>
        <r>
          <rPr>
            <b/>
            <sz val="8"/>
            <color indexed="81"/>
            <rFont val="Tahoma"/>
            <family val="2"/>
          </rPr>
          <t>McElhany et al. 2007 Oregon pop TRT report</t>
        </r>
      </text>
    </comment>
    <comment ref="BS5" authorId="0" shapeId="0" xr:uid="{410F116B-C1BD-418F-951F-873A773FC6E2}">
      <text>
        <r>
          <rPr>
            <b/>
            <sz val="8"/>
            <color indexed="81"/>
            <rFont val="Tahoma"/>
            <family val="2"/>
          </rPr>
          <t>From LCFRB recovery plan. Corresponds to ESA goal value</t>
        </r>
      </text>
    </comment>
    <comment ref="CA6" authorId="1" shapeId="0" xr:uid="{3753CA07-E79C-42D7-B7A9-9159F1FB3572}">
      <text>
        <r>
          <rPr>
            <b/>
            <sz val="9"/>
            <color indexed="81"/>
            <rFont val="Tahoma"/>
            <family val="2"/>
          </rPr>
          <t>Based on Rawding &amp; Manlow recommendation in white paper
upon further discussion between Pat Frazier and Ray Beames</t>
        </r>
      </text>
    </comment>
    <comment ref="CC6" authorId="2" shapeId="0" xr:uid="{3556634F-6D7E-4220-830C-A722CCF39E6B}">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7" authorId="1" shapeId="0" xr:uid="{ECD66AF9-FEDC-405F-AC5A-03892C77F77B}">
      <text>
        <r>
          <rPr>
            <b/>
            <sz val="9"/>
            <color indexed="81"/>
            <rFont val="Tahoma"/>
            <family val="2"/>
          </rPr>
          <t>Based on Rawding &amp; Manlow recommendation in white paper</t>
        </r>
      </text>
    </comment>
    <comment ref="CC7" authorId="2" shapeId="0" xr:uid="{83905D6D-16B1-45A2-9194-A1E245476DAC}">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8" authorId="1" shapeId="0" xr:uid="{7510A1F0-5107-40F6-BF14-BD0B030F406E}">
      <text>
        <r>
          <rPr>
            <b/>
            <sz val="9"/>
            <color indexed="81"/>
            <rFont val="Tahoma"/>
            <family val="2"/>
          </rPr>
          <t>Based on Rawding &amp; Manlow recommendation in white paper</t>
        </r>
      </text>
    </comment>
    <comment ref="CC8" authorId="2" shapeId="0" xr:uid="{CE3B96AF-8758-4371-88CE-E47757B6D15F}">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9" authorId="1" shapeId="0" xr:uid="{B68FF70C-EB99-418E-9AB7-D6CD50184101}">
      <text>
        <r>
          <rPr>
            <b/>
            <sz val="9"/>
            <color indexed="81"/>
            <rFont val="Tahoma"/>
            <family val="2"/>
          </rPr>
          <t xml:space="preserve">Assigned by Beamesderfer for the purposes of this exercise. </t>
        </r>
      </text>
    </comment>
    <comment ref="BT9" authorId="1" shapeId="0" xr:uid="{3643EFFE-524D-4D36-A080-7805369B768F}">
      <text>
        <r>
          <rPr>
            <b/>
            <sz val="9"/>
            <color indexed="81"/>
            <rFont val="Tahoma"/>
            <family val="2"/>
          </rPr>
          <t>identified by NMFS in 2013 recovery plan based on McElhany et al. viability analysis</t>
        </r>
      </text>
    </comment>
    <comment ref="CA9" authorId="1" shapeId="0" xr:uid="{692B7358-8B26-464B-9276-558D1EE0A177}">
      <text>
        <r>
          <rPr>
            <b/>
            <sz val="9"/>
            <color indexed="81"/>
            <rFont val="Tahoma"/>
            <family val="2"/>
          </rPr>
          <t>Based on Rawding &amp; Manlow recommendation in white paper</t>
        </r>
      </text>
    </comment>
    <comment ref="CC9" authorId="2" shapeId="0" xr:uid="{F4845702-12B5-4A66-88D4-F5AEAD14E15B}">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10" authorId="1" shapeId="0" xr:uid="{1AF78581-2909-4ED6-8F48-D122375A6D3E}">
      <text>
        <r>
          <rPr>
            <b/>
            <sz val="9"/>
            <color indexed="81"/>
            <rFont val="Tahoma"/>
            <family val="2"/>
          </rPr>
          <t xml:space="preserve">Assigned by Beamesderfer for the purposes of this exercise. </t>
        </r>
      </text>
    </comment>
    <comment ref="BT10" authorId="1" shapeId="0" xr:uid="{B704A97A-E6BE-47E7-874D-01F65CAB4ADA}">
      <text>
        <r>
          <rPr>
            <b/>
            <sz val="9"/>
            <color indexed="81"/>
            <rFont val="Tahoma"/>
            <family val="2"/>
          </rPr>
          <t>identified by NMFS in 2013 recovery plan based on McElhany et al. viability analysis</t>
        </r>
      </text>
    </comment>
    <comment ref="CA10" authorId="1" shapeId="0" xr:uid="{0CEDFEBF-2E62-498D-8E71-693C89DF37EF}">
      <text>
        <r>
          <rPr>
            <b/>
            <sz val="9"/>
            <color indexed="81"/>
            <rFont val="Tahoma"/>
            <family val="2"/>
          </rPr>
          <t>Based on Rawding &amp; Manlow recommendation in white paper</t>
        </r>
      </text>
    </comment>
    <comment ref="CC10" authorId="2" shapeId="0" xr:uid="{E997B1F0-00A5-4BE9-9AFA-1364761240F5}">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11" authorId="1" shapeId="0" xr:uid="{493118B1-D18D-48BB-8B2D-029FCF919C2F}">
      <text>
        <r>
          <rPr>
            <b/>
            <sz val="9"/>
            <color indexed="81"/>
            <rFont val="Tahoma"/>
            <family val="2"/>
          </rPr>
          <t xml:space="preserve">Assigned by Beamesderfer for the purposes of this exercise. </t>
        </r>
      </text>
    </comment>
    <comment ref="BT11" authorId="1" shapeId="0" xr:uid="{2426F6E3-98F9-4E10-87FA-F10702730316}">
      <text>
        <r>
          <rPr>
            <b/>
            <sz val="9"/>
            <color indexed="81"/>
            <rFont val="Tahoma"/>
            <family val="2"/>
          </rPr>
          <t>identified by NMFS in 2013 recovery plan based on McElhany et al. viability analysis</t>
        </r>
      </text>
    </comment>
    <comment ref="CA11" authorId="1" shapeId="0" xr:uid="{7CC6CD99-8270-492B-84F0-89B5DCB1FC0D}">
      <text>
        <r>
          <rPr>
            <b/>
            <sz val="9"/>
            <color indexed="81"/>
            <rFont val="Tahoma"/>
            <family val="2"/>
          </rPr>
          <t>Based on Rawding &amp; Manlow recommendation in white paper</t>
        </r>
      </text>
    </comment>
    <comment ref="CC11" authorId="2" shapeId="0" xr:uid="{2DFD577A-DCA8-46EC-B14E-3DCE50C95C0A}">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12" authorId="1" shapeId="0" xr:uid="{0C485A69-2B2F-4B93-B3E6-903DD277EEB8}">
      <text>
        <r>
          <rPr>
            <b/>
            <sz val="9"/>
            <color indexed="81"/>
            <rFont val="Tahoma"/>
            <family val="2"/>
          </rPr>
          <t xml:space="preserve">Assigned by Beamesderfer for the purposes of this exercise. </t>
        </r>
      </text>
    </comment>
    <comment ref="BT12" authorId="1" shapeId="0" xr:uid="{BBC5A871-D594-4B3B-A451-43DA1F3A6CD3}">
      <text>
        <r>
          <rPr>
            <b/>
            <sz val="9"/>
            <color indexed="81"/>
            <rFont val="Tahoma"/>
            <family val="2"/>
          </rPr>
          <t>identified by NMFS in 2013 recovery plan based on McElhany et al. viability analysis</t>
        </r>
      </text>
    </comment>
    <comment ref="CA12" authorId="1" shapeId="0" xr:uid="{E3C67C53-5233-44C2-8A56-2496BE75D88B}">
      <text>
        <r>
          <rPr>
            <b/>
            <sz val="9"/>
            <color indexed="81"/>
            <rFont val="Tahoma"/>
            <family val="2"/>
          </rPr>
          <t>Based on Rawding &amp; Manlow recommendation in white paper</t>
        </r>
      </text>
    </comment>
    <comment ref="CC12" authorId="2" shapeId="0" xr:uid="{1606F58C-E279-4E42-904C-59E4B3A8A46D}">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R14" authorId="3" shapeId="0" xr:uid="{97CE56F1-62CB-420B-8641-759DCC7C4EA9}">
      <text>
        <r>
          <rPr>
            <b/>
            <sz val="9"/>
            <color indexed="81"/>
            <rFont val="Tahoma"/>
            <family val="2"/>
          </rPr>
          <t>Windows User:</t>
        </r>
        <r>
          <rPr>
            <sz val="9"/>
            <color indexed="81"/>
            <rFont val="Tahoma"/>
            <family val="2"/>
          </rPr>
          <t xml:space="preserve">
not include Toutle</t>
        </r>
      </text>
    </comment>
    <comment ref="CA14" authorId="1" shapeId="0" xr:uid="{46B87B82-38C1-4865-955D-988FFB72C7F0}">
      <text>
        <r>
          <rPr>
            <b/>
            <sz val="9"/>
            <color indexed="81"/>
            <rFont val="Tahoma"/>
            <family val="2"/>
          </rPr>
          <t>Based on Rawding &amp; Manlow recommendation in white paper</t>
        </r>
      </text>
    </comment>
    <comment ref="CC14" authorId="2" shapeId="0" xr:uid="{8B643938-7D63-472A-8BF6-C8F8377C5219}">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15" authorId="1" shapeId="0" xr:uid="{9D22A1FF-9106-4E0C-96ED-B37B5CF255B0}">
      <text>
        <r>
          <rPr>
            <b/>
            <sz val="9"/>
            <color indexed="81"/>
            <rFont val="Tahoma"/>
            <family val="2"/>
          </rPr>
          <t>Based on Rawding &amp; Manlow recommendation in white paper</t>
        </r>
      </text>
    </comment>
    <comment ref="CC15" authorId="2" shapeId="0" xr:uid="{EAA3A7DF-9938-476C-BD88-B207152DFDDB}">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16" authorId="1" shapeId="0" xr:uid="{66DA3636-CB7B-4A8D-9D42-002C16A2BC6E}">
      <text>
        <r>
          <rPr>
            <b/>
            <sz val="9"/>
            <color indexed="81"/>
            <rFont val="Tahoma"/>
            <family val="2"/>
          </rPr>
          <t>Based on Rawding &amp; Manlow recommendation in white paper</t>
        </r>
      </text>
    </comment>
    <comment ref="CC16" authorId="2" shapeId="0" xr:uid="{5FE504ED-03FD-4CA7-852C-4C6A54C83AAD}">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17" authorId="1" shapeId="0" xr:uid="{776B1CFF-58DC-4A2B-9506-DA6EF24D6AF9}">
      <text>
        <r>
          <rPr>
            <b/>
            <sz val="9"/>
            <color indexed="81"/>
            <rFont val="Tahoma"/>
            <family val="2"/>
          </rPr>
          <t>Based on Rawding &amp; Manlow recommendation in white paper</t>
        </r>
      </text>
    </comment>
    <comment ref="CC17" authorId="2" shapeId="0" xr:uid="{70DB72E8-E973-4D4A-AA88-E6EAE6C7CEA2}">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18" authorId="1" shapeId="0" xr:uid="{BF112DF5-88FB-433C-A5CC-2ECA2C415BBB}">
      <text>
        <r>
          <rPr>
            <b/>
            <sz val="9"/>
            <color indexed="81"/>
            <rFont val="Tahoma"/>
            <family val="2"/>
          </rPr>
          <t>Based on Rawding &amp; Manlow recommendation in white paper</t>
        </r>
      </text>
    </comment>
    <comment ref="CC18" authorId="2" shapeId="0" xr:uid="{083B2481-408F-4D63-A7E1-32DD3218DCA5}">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19" authorId="1" shapeId="0" xr:uid="{1BEC1F51-80FF-41C9-B8A1-C68384099E1B}">
      <text>
        <r>
          <rPr>
            <b/>
            <sz val="9"/>
            <color indexed="81"/>
            <rFont val="Tahoma"/>
            <family val="2"/>
          </rPr>
          <t xml:space="preserve">Assigned by Beamesderfer for the purposes of this exercise. </t>
        </r>
      </text>
    </comment>
    <comment ref="BT19" authorId="1" shapeId="0" xr:uid="{9BDD3D60-C8A9-4E87-B709-92CE406E248A}">
      <text>
        <r>
          <rPr>
            <b/>
            <sz val="9"/>
            <color indexed="81"/>
            <rFont val="Tahoma"/>
            <family val="2"/>
          </rPr>
          <t>identified by NMFS in 2013 recovery plan based on McElhany et al. viability analysis</t>
        </r>
      </text>
    </comment>
    <comment ref="CA19" authorId="1" shapeId="0" xr:uid="{8DEA6FEA-B139-4FE0-A648-BDF804DDA595}">
      <text>
        <r>
          <rPr>
            <b/>
            <sz val="9"/>
            <color indexed="81"/>
            <rFont val="Tahoma"/>
            <family val="2"/>
          </rPr>
          <t>Based on Rawding &amp; Manlow recommendation in white paper</t>
        </r>
      </text>
    </comment>
    <comment ref="CC19" authorId="2" shapeId="0" xr:uid="{7B2AFB09-630A-4EAA-A8A5-A21E57FBADDC}">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BL20" authorId="1" shapeId="0" xr:uid="{DA01FA06-D829-43B9-AD50-FCB87EABDA08}">
      <text>
        <r>
          <rPr>
            <b/>
            <sz val="9"/>
            <color indexed="81"/>
            <rFont val="Tahoma"/>
            <family val="2"/>
          </rPr>
          <t xml:space="preserve">Assigned by Beamesderfer for the purposes of this exercise. </t>
        </r>
      </text>
    </comment>
    <comment ref="BT20" authorId="1" shapeId="0" xr:uid="{6291D7FB-B333-4B9C-9195-2F9E7EF33CBB}">
      <text>
        <r>
          <rPr>
            <b/>
            <sz val="9"/>
            <color indexed="81"/>
            <rFont val="Tahoma"/>
            <family val="2"/>
          </rPr>
          <t>identified by NMFS in 2013 recovery plan based on McElhany et al. viability analysis</t>
        </r>
      </text>
    </comment>
    <comment ref="CA20" authorId="1" shapeId="0" xr:uid="{3F0A6476-385C-427D-A14B-9130CE2E3673}">
      <text>
        <r>
          <rPr>
            <b/>
            <sz val="9"/>
            <color indexed="81"/>
            <rFont val="Tahoma"/>
            <family val="2"/>
          </rPr>
          <t>Based on Rawding &amp; Manlow recommendation in white paper</t>
        </r>
      </text>
    </comment>
    <comment ref="CC20" authorId="2" shapeId="0" xr:uid="{96EF4444-CB20-4212-A9A2-5B8D4383BD41}">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22" authorId="1" shapeId="0" xr:uid="{FB80163C-8967-48CB-B943-4A27B553BD4B}">
      <text>
        <r>
          <rPr>
            <b/>
            <sz val="9"/>
            <color indexed="81"/>
            <rFont val="Tahoma"/>
            <family val="2"/>
          </rPr>
          <t>Based on Rawding &amp; Manlow recommendation in white paper</t>
        </r>
      </text>
    </comment>
    <comment ref="CC22" authorId="2" shapeId="0" xr:uid="{A83BA0BC-7D8C-434B-AF07-FD97903EBFD5}">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 ref="CA23" authorId="1" shapeId="0" xr:uid="{4DC9986F-DBC3-49CC-A350-929FEDE1B7C9}">
      <text>
        <r>
          <rPr>
            <b/>
            <sz val="9"/>
            <color indexed="81"/>
            <rFont val="Tahoma"/>
            <family val="2"/>
          </rPr>
          <t>Based on Rawding &amp; Manlow recommendation in white paper</t>
        </r>
      </text>
    </comment>
    <comment ref="CC23" authorId="2" shapeId="0" xr:uid="{DC3DAD1F-EC72-4C54-A03A-A62C2A38E193}">
      <text>
        <r>
          <rPr>
            <b/>
            <sz val="9"/>
            <color indexed="81"/>
            <rFont val="Tahoma"/>
            <family val="2"/>
          </rPr>
          <t>pat frazier:</t>
        </r>
        <r>
          <rPr>
            <sz val="9"/>
            <color indexed="81"/>
            <rFont val="Tahoma"/>
            <family val="2"/>
          </rPr>
          <t xml:space="preserve">
after subesquent discussion between Pat Frazier and Ray Beamesderfer decided to use default rule of high goal = 3 x low goal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24CCC01F-5942-4A0F-8288-B245C054941A}">
      <text>
        <r>
          <rPr>
            <b/>
            <sz val="9"/>
            <color indexed="81"/>
            <rFont val="Tahoma"/>
            <family val="2"/>
          </rPr>
          <t>from goal summary table</t>
        </r>
      </text>
    </comment>
    <comment ref="E4" authorId="0" shapeId="0" xr:uid="{7B7211A4-750B-4D17-8DC7-53726A9661F6}">
      <text>
        <r>
          <rPr>
            <b/>
            <sz val="9"/>
            <color indexed="81"/>
            <rFont val="Tahoma"/>
            <family val="2"/>
          </rPr>
          <t>For this example solved to force match to number of spawners (because averages don't always align perfectly)</t>
        </r>
      </text>
    </comment>
    <comment ref="Q7" authorId="0" shapeId="0" xr:uid="{6FC9E8F2-B3B0-427F-97C6-0D3A7F23CE21}">
      <text>
        <r>
          <rPr>
            <b/>
            <sz val="9"/>
            <color indexed="81"/>
            <rFont val="Tahoma"/>
            <family val="2"/>
          </rPr>
          <t>need to select this so that total matches target (col M = col O)</t>
        </r>
      </text>
    </comment>
    <comment ref="Q8" authorId="0" shapeId="0" xr:uid="{7C10D7A9-ED90-4957-807E-8C8FE353B7C0}">
      <text>
        <r>
          <rPr>
            <b/>
            <sz val="9"/>
            <color indexed="81"/>
            <rFont val="Tahoma"/>
            <family val="2"/>
          </rPr>
          <t>need to select this so that total matches target (col M = col O)</t>
        </r>
      </text>
    </comment>
    <comment ref="G9" authorId="0" shapeId="0" xr:uid="{2AC2ACF3-8F5E-480E-A4D6-D3AB9B4487A8}">
      <text>
        <r>
          <rPr>
            <b/>
            <sz val="9"/>
            <color indexed="81"/>
            <rFont val="Tahoma"/>
            <family val="2"/>
          </rPr>
          <t>need to select this so that total matches target (col M = col O)</t>
        </r>
      </text>
    </comment>
    <comment ref="Q9" authorId="0" shapeId="0" xr:uid="{2DA1E45D-059C-41AE-974E-E3A1AF2266F9}">
      <text>
        <r>
          <rPr>
            <b/>
            <sz val="9"/>
            <color indexed="81"/>
            <rFont val="Tahoma"/>
            <family val="2"/>
          </rPr>
          <t>need to select this so that total matches target (col M = col O)</t>
        </r>
      </text>
    </comment>
    <comment ref="M12" authorId="0" shapeId="0" xr:uid="{76C1119A-BD36-439F-B993-2FACA02E82E9}">
      <text>
        <r>
          <rPr>
            <b/>
            <sz val="9"/>
            <color indexed="81"/>
            <rFont val="Tahoma"/>
            <family val="2"/>
          </rPr>
          <t>this ideally should include hatchery rack returns &amp; strays into natural spawning grounds</t>
        </r>
      </text>
    </comment>
    <comment ref="R12" authorId="0" shapeId="0" xr:uid="{431991BA-6226-4093-A04E-8E77688D3F94}">
      <text>
        <r>
          <rPr>
            <b/>
            <sz val="9"/>
            <color indexed="81"/>
            <rFont val="Tahoma"/>
            <family val="2"/>
          </rPr>
          <t>from goal summary table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2" authorId="0" shapeId="0" xr:uid="{225C6FF6-BB1A-4F74-B64F-7E8E21BF4DDB}">
      <text>
        <r>
          <rPr>
            <b/>
            <u/>
            <sz val="9"/>
            <color indexed="81"/>
            <rFont val="Tahoma"/>
            <family val="2"/>
          </rPr>
          <t>Subject</t>
        </r>
        <r>
          <rPr>
            <b/>
            <sz val="9"/>
            <color indexed="81"/>
            <rFont val="Tahoma"/>
            <family val="2"/>
          </rPr>
          <t xml:space="preserve">
Population
Fishery
Hatchery</t>
        </r>
      </text>
    </comment>
    <comment ref="F2" authorId="0" shapeId="0" xr:uid="{EFF26CAA-C029-459E-A5F6-73056598D385}">
      <text>
        <r>
          <rPr>
            <b/>
            <sz val="9"/>
            <color indexed="81"/>
            <rFont val="Tahoma"/>
            <family val="2"/>
          </rPr>
          <t>fill these in when final</t>
        </r>
      </text>
    </comment>
    <comment ref="I2" authorId="0" shapeId="0" xr:uid="{3468C71B-C00D-4B0B-83C7-96910F1B2022}">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2" authorId="0" shapeId="0" xr:uid="{FC5EE1B7-65A3-4BEF-A9E1-E4301A83C90A}">
      <text>
        <r>
          <rPr>
            <b/>
            <sz val="9"/>
            <color indexed="81"/>
            <rFont val="Tahoma"/>
            <family val="2"/>
          </rPr>
          <t>if applicable</t>
        </r>
      </text>
    </comment>
    <comment ref="L2" authorId="0" shapeId="0" xr:uid="{FEDFCF50-86BA-43FE-B715-8F5030E185DF}">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<sst xmlns="http://schemas.openxmlformats.org/spreadsheetml/2006/main" count="2196" uniqueCount="406">
  <si>
    <t>Units</t>
  </si>
  <si>
    <t>Reference Values</t>
  </si>
  <si>
    <t>Existing Goals</t>
  </si>
  <si>
    <t>Current</t>
  </si>
  <si>
    <t>ESA</t>
  </si>
  <si>
    <t>Tribal</t>
  </si>
  <si>
    <t>State</t>
  </si>
  <si>
    <t>Natural spawners</t>
  </si>
  <si>
    <t>Total spawners</t>
  </si>
  <si>
    <t>Total</t>
  </si>
  <si>
    <t>Grays</t>
  </si>
  <si>
    <t>Elochoman</t>
  </si>
  <si>
    <t>Mill</t>
  </si>
  <si>
    <t>Coast</t>
  </si>
  <si>
    <t>Definition</t>
  </si>
  <si>
    <t>Natural Spawners</t>
  </si>
  <si>
    <t>Alternate</t>
  </si>
  <si>
    <t xml:space="preserve">Natural Origin Spawner Abundance </t>
  </si>
  <si>
    <t>Abbrev.</t>
  </si>
  <si>
    <t>NOSA</t>
  </si>
  <si>
    <t>Term</t>
  </si>
  <si>
    <t>Cascade</t>
  </si>
  <si>
    <t>Cowlitz</t>
  </si>
  <si>
    <t>Kalama</t>
  </si>
  <si>
    <t>Lewis</t>
  </si>
  <si>
    <t>Salmon</t>
  </si>
  <si>
    <t>Gorge</t>
  </si>
  <si>
    <t>Lower Columbia</t>
  </si>
  <si>
    <t>Total Spawner</t>
  </si>
  <si>
    <t>NA</t>
  </si>
  <si>
    <t>1,300-5,888</t>
  </si>
  <si>
    <t>1,300-2,129</t>
  </si>
  <si>
    <t>4,200-13,593</t>
  </si>
  <si>
    <t>900-47,062</t>
  </si>
  <si>
    <t>900-6,014</t>
  </si>
  <si>
    <t>1,300-30,051</t>
  </si>
  <si>
    <t>0-1,789</t>
  </si>
  <si>
    <t>1,300-3,971</t>
  </si>
  <si>
    <t>4,400-88,887</t>
  </si>
  <si>
    <t>2,000-1,943</t>
  </si>
  <si>
    <t>2,900-4,525</t>
  </si>
  <si>
    <t>11,500-107,005</t>
  </si>
  <si>
    <t>Numbers</t>
  </si>
  <si>
    <r>
      <t>Optimum Yield</t>
    </r>
    <r>
      <rPr>
        <b/>
        <vertAlign val="superscript"/>
        <sz val="11"/>
        <color theme="1"/>
        <rFont val="Calibri"/>
        <family val="2"/>
        <scheme val="minor"/>
      </rPr>
      <t>b</t>
    </r>
  </si>
  <si>
    <r>
      <t>Max.Yield</t>
    </r>
    <r>
      <rPr>
        <b/>
        <vertAlign val="superscript"/>
        <sz val="11"/>
        <color theme="1"/>
        <rFont val="Calibri"/>
        <family val="2"/>
        <scheme val="minor"/>
      </rPr>
      <t>c</t>
    </r>
  </si>
  <si>
    <t>PSC</t>
  </si>
  <si>
    <t>PFMC</t>
  </si>
  <si>
    <t>USvOR</t>
  </si>
  <si>
    <t>Harvest (Natl.)</t>
  </si>
  <si>
    <t>Harvest (Hat.)</t>
  </si>
  <si>
    <t>Impact rate (Natl.)</t>
  </si>
  <si>
    <t>Impact rate (Hat.)</t>
  </si>
  <si>
    <t>Terminal tribal</t>
  </si>
  <si>
    <t>Terminal sport</t>
  </si>
  <si>
    <t>Zone 6 tribal</t>
  </si>
  <si>
    <t>UpR. sport</t>
  </si>
  <si>
    <t>LCR comm.</t>
  </si>
  <si>
    <t>LCR sport</t>
  </si>
  <si>
    <t>US Ocean</t>
  </si>
  <si>
    <t>AK/CA</t>
  </si>
  <si>
    <t>Return</t>
  </si>
  <si>
    <t>Broodstock</t>
  </si>
  <si>
    <t>Col R run</t>
  </si>
  <si>
    <t>Natural</t>
  </si>
  <si>
    <t>Hatchery</t>
  </si>
  <si>
    <r>
      <t>Local run</t>
    </r>
    <r>
      <rPr>
        <vertAlign val="superscript"/>
        <sz val="11"/>
        <color theme="1"/>
        <rFont val="Calibri"/>
        <family val="2"/>
        <scheme val="minor"/>
      </rPr>
      <t>c</t>
    </r>
  </si>
  <si>
    <t>Releases</t>
  </si>
  <si>
    <t>Returns</t>
  </si>
  <si>
    <t>Wash/Dunc</t>
  </si>
  <si>
    <t>1,600-5,576</t>
  </si>
  <si>
    <t>Coastal Subtotal</t>
  </si>
  <si>
    <t>Cascade Subtotal</t>
  </si>
  <si>
    <t>Gorge Subtotal</t>
  </si>
  <si>
    <t>1,400-2800</t>
  </si>
  <si>
    <t>700-1,400</t>
  </si>
  <si>
    <t>2,000-4,000</t>
  </si>
  <si>
    <r>
      <t>Abundance</t>
    </r>
    <r>
      <rPr>
        <b/>
        <vertAlign val="superscript"/>
        <sz val="9"/>
        <color theme="1"/>
        <rFont val="Calibri"/>
        <family val="2"/>
        <scheme val="minor"/>
      </rPr>
      <t>a</t>
    </r>
  </si>
  <si>
    <r>
      <t>Current</t>
    </r>
    <r>
      <rPr>
        <b/>
        <vertAlign val="superscript"/>
        <sz val="9"/>
        <color theme="1"/>
        <rFont val="Calibri"/>
        <family val="2"/>
        <scheme val="minor"/>
      </rPr>
      <t>h</t>
    </r>
  </si>
  <si>
    <r>
      <t>Historical</t>
    </r>
    <r>
      <rPr>
        <b/>
        <vertAlign val="superscript"/>
        <sz val="9"/>
        <color theme="1"/>
        <rFont val="Calibri"/>
        <family val="2"/>
        <scheme val="minor"/>
      </rPr>
      <t>d</t>
    </r>
  </si>
  <si>
    <r>
      <t>Habitat capacity</t>
    </r>
    <r>
      <rPr>
        <b/>
        <vertAlign val="superscript"/>
        <sz val="9"/>
        <color theme="1"/>
        <rFont val="Calibri"/>
        <family val="2"/>
        <scheme val="minor"/>
      </rPr>
      <t>b</t>
    </r>
  </si>
  <si>
    <r>
      <t>Potential</t>
    </r>
    <r>
      <rPr>
        <b/>
        <vertAlign val="superscript"/>
        <sz val="9"/>
        <color theme="1"/>
        <rFont val="Calibri"/>
        <family val="2"/>
        <scheme val="minor"/>
      </rPr>
      <t>c</t>
    </r>
  </si>
  <si>
    <r>
      <t>Subbasin</t>
    </r>
    <r>
      <rPr>
        <b/>
        <vertAlign val="superscript"/>
        <sz val="9"/>
        <color theme="1"/>
        <rFont val="Calibri"/>
        <family val="2"/>
        <scheme val="minor"/>
      </rPr>
      <t>i</t>
    </r>
  </si>
  <si>
    <r>
      <t>Washougal</t>
    </r>
    <r>
      <rPr>
        <vertAlign val="superscript"/>
        <sz val="9"/>
        <color theme="1"/>
        <rFont val="Calibri"/>
        <family val="2"/>
        <scheme val="minor"/>
      </rPr>
      <t>e</t>
    </r>
  </si>
  <si>
    <r>
      <t>L. Gorge</t>
    </r>
    <r>
      <rPr>
        <vertAlign val="superscript"/>
        <sz val="9"/>
        <color theme="1"/>
        <rFont val="Calibri"/>
        <family val="2"/>
        <scheme val="minor"/>
      </rPr>
      <t xml:space="preserve"> f</t>
    </r>
  </si>
  <si>
    <r>
      <t>U. Gorge</t>
    </r>
    <r>
      <rPr>
        <vertAlign val="superscript"/>
        <sz val="9"/>
        <color theme="1"/>
        <rFont val="Calibri"/>
        <family val="2"/>
        <scheme val="minor"/>
      </rPr>
      <t>g</t>
    </r>
  </si>
  <si>
    <t>3,500-7,000</t>
  </si>
  <si>
    <t>1,400-2,800</t>
  </si>
  <si>
    <t>6,800-13,600</t>
  </si>
  <si>
    <t>11,700-23,400</t>
  </si>
  <si>
    <r>
      <t>Minimum Abundance Threshold</t>
    </r>
    <r>
      <rPr>
        <b/>
        <vertAlign val="superscript"/>
        <sz val="9"/>
        <color theme="1"/>
        <rFont val="Calibri"/>
        <family val="2"/>
        <scheme val="minor"/>
      </rPr>
      <t>j</t>
    </r>
  </si>
  <si>
    <t>900-2,582</t>
  </si>
  <si>
    <t>Youngs Bay</t>
  </si>
  <si>
    <t>Clatskanie</t>
  </si>
  <si>
    <t>Scappoose</t>
  </si>
  <si>
    <t>Clackamas</t>
  </si>
  <si>
    <t>Sandy</t>
  </si>
  <si>
    <t>pNOB</t>
  </si>
  <si>
    <t>NOB</t>
  </si>
  <si>
    <t>Type</t>
  </si>
  <si>
    <t>Integrated</t>
  </si>
  <si>
    <t>&lt;5%</t>
  </si>
  <si>
    <t>48%-70%</t>
  </si>
  <si>
    <t>&gt;60%</t>
  </si>
  <si>
    <t>Big Cr.</t>
  </si>
  <si>
    <t>&lt;4%</t>
  </si>
  <si>
    <t>&lt;9%</t>
  </si>
  <si>
    <t>Production(K)</t>
  </si>
  <si>
    <t>285-460</t>
  </si>
  <si>
    <t>150-200</t>
  </si>
  <si>
    <t>Historical(K)</t>
  </si>
  <si>
    <t>500-1,000</t>
  </si>
  <si>
    <t>125-150</t>
  </si>
  <si>
    <r>
      <t>Historical</t>
    </r>
    <r>
      <rPr>
        <b/>
        <vertAlign val="superscript"/>
        <sz val="11"/>
        <color theme="1"/>
        <rFont val="Calibri"/>
        <family val="2"/>
        <scheme val="minor"/>
      </rPr>
      <t>d</t>
    </r>
  </si>
  <si>
    <r>
      <t>Rebuilding Expl. Rate</t>
    </r>
    <r>
      <rPr>
        <b/>
        <vertAlign val="superscript"/>
        <sz val="11"/>
        <color theme="1"/>
        <rFont val="Calibri"/>
        <family val="2"/>
        <scheme val="minor"/>
      </rPr>
      <t>e</t>
    </r>
  </si>
  <si>
    <r>
      <t>Stock-ESU totals</t>
    </r>
    <r>
      <rPr>
        <vertAlign val="superscript"/>
        <sz val="11"/>
        <color theme="1"/>
        <rFont val="Calibri"/>
        <family val="2"/>
        <scheme val="minor"/>
      </rPr>
      <t>a,f</t>
    </r>
  </si>
  <si>
    <r>
      <t>Fishery</t>
    </r>
    <r>
      <rPr>
        <vertAlign val="superscript"/>
        <sz val="11"/>
        <color theme="1"/>
        <rFont val="Calibri"/>
        <family val="2"/>
        <scheme val="minor"/>
      </rPr>
      <t>g</t>
    </r>
  </si>
  <si>
    <r>
      <t>Current</t>
    </r>
    <r>
      <rPr>
        <b/>
        <vertAlign val="superscript"/>
        <sz val="11"/>
        <color theme="1"/>
        <rFont val="Calibri"/>
        <family val="2"/>
        <scheme val="minor"/>
      </rPr>
      <t>d</t>
    </r>
  </si>
  <si>
    <t>Table 3. Quantitative sustainability reference values for (prototype) stock of Columbia R. Chum Salmon. Sustainability includes conservation, viability, ESA recovery, and ecological/ecosystem function. Addresses listed, nonlisted and extirpated populations/MPGs/ESUs.</t>
  </si>
  <si>
    <r>
      <t>a</t>
    </r>
    <r>
      <rPr>
        <i/>
        <sz val="11"/>
        <color theme="1"/>
        <rFont val="Calibri"/>
        <family val="2"/>
        <scheme val="minor"/>
      </rPr>
      <t xml:space="preserve"> Abundance goals may include corresponding goals for productivity, spatial structure, and diversity.</t>
    </r>
  </si>
  <si>
    <r>
      <t>b</t>
    </r>
    <r>
      <rPr>
        <i/>
        <sz val="11"/>
        <color theme="1"/>
        <rFont val="Calibri"/>
        <family val="2"/>
        <scheme val="minor"/>
      </rPr>
      <t xml:space="preserve"> Habitat capacity (current) is based on the EDT model</t>
    </r>
  </si>
  <si>
    <r>
      <t>c</t>
    </r>
    <r>
      <rPr>
        <i/>
        <sz val="11"/>
        <color theme="1"/>
        <rFont val="Calibri"/>
        <family val="2"/>
        <scheme val="minor"/>
      </rPr>
      <t xml:space="preserve"> Potential is based on NOAA properly functioning conditions (PFC) for habitat using the EDT model</t>
    </r>
  </si>
  <si>
    <r>
      <t>d</t>
    </r>
    <r>
      <rPr>
        <i/>
        <sz val="11"/>
        <color theme="1"/>
        <rFont val="Calibri"/>
        <family val="2"/>
        <scheme val="minor"/>
      </rPr>
      <t xml:space="preserve"> Historical abundance is based on pristine habitat for the EDT model</t>
    </r>
  </si>
  <si>
    <r>
      <t>e</t>
    </r>
    <r>
      <rPr>
        <i/>
        <sz val="11"/>
        <color theme="1"/>
        <rFont val="Calibri"/>
        <family val="2"/>
        <scheme val="minor"/>
      </rPr>
      <t xml:space="preserve"> Washougal historical, habitat capacity, and potential estimates do not include mainstem Columbia River spawners </t>
    </r>
  </si>
  <si>
    <r>
      <t>f</t>
    </r>
    <r>
      <rPr>
        <i/>
        <sz val="11"/>
        <color theme="1"/>
        <rFont val="Calibri"/>
        <family val="2"/>
        <scheme val="minor"/>
      </rPr>
      <t>Lower Gorge historical, habitat capacity, and potential estimates do not include mainstem Columbia River spawners or OR tributary populations; current estimates do not include OR tributaries</t>
    </r>
  </si>
  <si>
    <r>
      <t xml:space="preserve">g </t>
    </r>
    <r>
      <rPr>
        <i/>
        <sz val="11"/>
        <color theme="1"/>
        <rFont val="Calibri"/>
        <family val="2"/>
        <scheme val="minor"/>
      </rPr>
      <t>Upper Gorge historical, habitat capacity, and potential estimates only include Wind River</t>
    </r>
  </si>
  <si>
    <r>
      <t>h</t>
    </r>
    <r>
      <rPr>
        <i/>
        <sz val="11"/>
        <color theme="1"/>
        <rFont val="Calibri"/>
        <family val="2"/>
        <scheme val="minor"/>
      </rPr>
      <t xml:space="preserve"> 10 yr geomean from 2007-2016 for Gorge, Washougal, and Grays. Preliminary estimate for others is 50.</t>
    </r>
  </si>
  <si>
    <r>
      <t>i</t>
    </r>
    <r>
      <rPr>
        <i/>
        <sz val="11"/>
        <color theme="1"/>
        <rFont val="Calibri"/>
        <family val="2"/>
        <scheme val="minor"/>
      </rPr>
      <t xml:space="preserve"> Lower bound of subbasin goal updated by NOAA (2012), which supercedes LCFRB (2004)</t>
    </r>
  </si>
  <si>
    <t>footnotes</t>
  </si>
  <si>
    <t>LCFRB 'MAT'</t>
  </si>
  <si>
    <r>
      <t>k</t>
    </r>
    <r>
      <rPr>
        <i/>
        <sz val="11"/>
        <color theme="1"/>
        <rFont val="Calibri"/>
        <family val="2"/>
        <scheme val="minor"/>
      </rPr>
      <t xml:space="preserve"> </t>
    </r>
    <r>
      <rPr>
        <i/>
        <strike/>
        <sz val="11"/>
        <color theme="1"/>
        <rFont val="Calibri"/>
        <family val="2"/>
        <scheme val="minor"/>
      </rPr>
      <t>Specific MAT not developed WA populations</t>
    </r>
    <r>
      <rPr>
        <i/>
        <sz val="11"/>
        <color theme="1"/>
        <rFont val="Calibri"/>
        <family val="2"/>
        <scheme val="minor"/>
      </rPr>
      <t>.  WDFW applied MAT rules from WLC-TRT (2006; Table 5,14) to estimate MAT</t>
    </r>
  </si>
  <si>
    <t>High</t>
  </si>
  <si>
    <t>Moderate</t>
  </si>
  <si>
    <t>Very Low</t>
  </si>
  <si>
    <t>Very High</t>
  </si>
  <si>
    <t>Scenario viability "goal"</t>
  </si>
  <si>
    <t>High +</t>
  </si>
  <si>
    <r>
      <t>a</t>
    </r>
    <r>
      <rPr>
        <i/>
        <sz val="11"/>
        <color theme="1"/>
        <rFont val="Calibri"/>
        <family val="2"/>
        <scheme val="minor"/>
      </rPr>
      <t>Stock-specific harvest numbers may include single or multiple ESUs.</t>
    </r>
  </si>
  <si>
    <r>
      <t>b</t>
    </r>
    <r>
      <rPr>
        <i/>
        <sz val="11"/>
        <color theme="1"/>
        <rFont val="Calibri"/>
        <family val="2"/>
        <scheme val="minor"/>
      </rPr>
      <t>Optimum sustained yield to be defined in mixed stock fisheries based on exploitation rates that provide reasonable opportunity to access strong stocks and hatchery-origin fish.</t>
    </r>
  </si>
  <si>
    <r>
      <t>c</t>
    </r>
    <r>
      <rPr>
        <i/>
        <sz val="11"/>
        <color theme="1"/>
        <rFont val="Calibri"/>
        <family val="2"/>
        <scheme val="minor"/>
      </rPr>
      <t>Maximum sustained yield typically defined only for healthy stocks. 60% based on Grays Hatchery data.</t>
    </r>
  </si>
  <si>
    <r>
      <t>d</t>
    </r>
    <r>
      <rPr>
        <sz val="11"/>
        <color theme="1"/>
        <rFont val="Calibri"/>
        <family val="2"/>
        <scheme val="minor"/>
      </rPr>
      <t>Historical harvest rates are from Chapman (1986,48%) and MSY from LCFRB(2004,70%) Historical EDT model and are also used in Max. Yield.</t>
    </r>
  </si>
  <si>
    <r>
      <t>e</t>
    </r>
    <r>
      <rPr>
        <sz val="11"/>
        <color theme="1"/>
        <rFont val="Calibri"/>
        <family val="2"/>
        <scheme val="minor"/>
      </rPr>
      <t>Rebuilding rates &lt;4% from WDFW (2003, NOAA approved FMEP) and &lt;5% from harvest chapter in FCRPS BiOp</t>
    </r>
  </si>
  <si>
    <r>
      <t>f</t>
    </r>
    <r>
      <rPr>
        <sz val="11"/>
        <color theme="1"/>
        <rFont val="Calibri"/>
        <family val="2"/>
        <scheme val="minor"/>
      </rPr>
      <t>Impact rate is estimate based on WA and OR Joint Staff Reports and likely minor incident chum catch. Harvest rate is 0% because chum retention is not allowed.</t>
    </r>
  </si>
  <si>
    <r>
      <t>g</t>
    </r>
    <r>
      <rPr>
        <sz val="11"/>
        <color theme="1"/>
        <rFont val="Calibri"/>
        <family val="2"/>
        <scheme val="minor"/>
      </rPr>
      <t>FCRPS BiOp 5% harvest rate is a combination based on current sport commercial fisheries but the 5% is not allocated between categories.</t>
    </r>
  </si>
  <si>
    <t>ESA: Threatened</t>
  </si>
  <si>
    <t>Natural Production</t>
  </si>
  <si>
    <t>Abundance</t>
  </si>
  <si>
    <t>Potential Goal Range</t>
  </si>
  <si>
    <t>MPG</t>
  </si>
  <si>
    <t>Population</t>
  </si>
  <si>
    <t>Recent</t>
  </si>
  <si>
    <t>Historical</t>
  </si>
  <si>
    <t>Low</t>
  </si>
  <si>
    <t>Med</t>
  </si>
  <si>
    <t>Mill/Aber/Germ</t>
  </si>
  <si>
    <t>Youngs</t>
  </si>
  <si>
    <t>Big</t>
  </si>
  <si>
    <t>Totals</t>
  </si>
  <si>
    <t>Location (Program)</t>
  </si>
  <si>
    <t>Brood</t>
  </si>
  <si>
    <t>Smolts</t>
  </si>
  <si>
    <t>Fry</t>
  </si>
  <si>
    <t>Fisheries / Harvest</t>
  </si>
  <si>
    <t>Goals</t>
  </si>
  <si>
    <t>Location</t>
  </si>
  <si>
    <t>--</t>
  </si>
  <si>
    <t>Freshwater</t>
  </si>
  <si>
    <t>Columbia River Chum</t>
  </si>
  <si>
    <t>Life History: Late Fall Run, Ocean-rearing</t>
  </si>
  <si>
    <t>Lewis River</t>
  </si>
  <si>
    <t>Duncan Creek</t>
  </si>
  <si>
    <t>Grays River</t>
  </si>
  <si>
    <t>Ocean</t>
  </si>
  <si>
    <t>LCR Commercial</t>
  </si>
  <si>
    <t>Washougale</t>
  </si>
  <si>
    <t>L. Gorge f</t>
  </si>
  <si>
    <t>U. Gorgeg</t>
  </si>
  <si>
    <t>LCR</t>
  </si>
  <si>
    <t>TRT "MAT"</t>
  </si>
  <si>
    <t>@ Columbia R Mouth</t>
  </si>
  <si>
    <t>To Mid Col R (BON)</t>
  </si>
  <si>
    <t>Harvest (Col mainstem)</t>
  </si>
  <si>
    <t>Exploitation rate</t>
  </si>
  <si>
    <t>Harvest</t>
  </si>
  <si>
    <t>Avg.</t>
  </si>
  <si>
    <t>Goal</t>
  </si>
  <si>
    <t>Wild/Natural</t>
  </si>
  <si>
    <t>Total Return</t>
  </si>
  <si>
    <t>@ Goals</t>
  </si>
  <si>
    <t>% hatchery</t>
  </si>
  <si>
    <t>Artificial Production</t>
  </si>
  <si>
    <t>Current Production</t>
  </si>
  <si>
    <t>production</t>
  </si>
  <si>
    <t>Grays OR</t>
  </si>
  <si>
    <t>WA Lewis</t>
  </si>
  <si>
    <t>Hat =</t>
  </si>
  <si>
    <t>stock-ESU</t>
  </si>
  <si>
    <t>Washougal / I205</t>
  </si>
  <si>
    <t>rel</t>
  </si>
  <si>
    <t>surv</t>
  </si>
  <si>
    <t>adults</t>
  </si>
  <si>
    <t>rtn</t>
  </si>
  <si>
    <t>Spp-Pop</t>
  </si>
  <si>
    <t>Species</t>
  </si>
  <si>
    <t>Strata</t>
  </si>
  <si>
    <t>Designation</t>
  </si>
  <si>
    <t>NOR_MinViabilityGoal</t>
  </si>
  <si>
    <t>Year</t>
  </si>
  <si>
    <t>NOR_Abu</t>
  </si>
  <si>
    <t>chum</t>
  </si>
  <si>
    <t>Washougal</t>
  </si>
  <si>
    <t>Grays/Chinook</t>
  </si>
  <si>
    <t>L Gorge</t>
  </si>
  <si>
    <t>Data provided By Amelia Johnson (LCFRB) from WDFW SCoRE database</t>
  </si>
  <si>
    <t>geomean</t>
  </si>
  <si>
    <t>Table from Washington Recovery Plan</t>
  </si>
  <si>
    <t>Primary</t>
  </si>
  <si>
    <t>Low goal</t>
  </si>
  <si>
    <t>Med goal</t>
  </si>
  <si>
    <t>High goal</t>
  </si>
  <si>
    <t>Anticipated</t>
  </si>
  <si>
    <t>Limits</t>
  </si>
  <si>
    <t>Potential</t>
  </si>
  <si>
    <t>10-30%</t>
  </si>
  <si>
    <t>Stock</t>
  </si>
  <si>
    <t>Record type</t>
  </si>
  <si>
    <t>Subject</t>
  </si>
  <si>
    <t>Variable</t>
  </si>
  <si>
    <t>Value</t>
  </si>
  <si>
    <t>Metric</t>
  </si>
  <si>
    <t>Method</t>
  </si>
  <si>
    <t>Years</t>
  </si>
  <si>
    <t>Quantitative Goal Rules</t>
  </si>
  <si>
    <t>Reference</t>
  </si>
  <si>
    <t>Reference Link</t>
  </si>
  <si>
    <t>Notes</t>
  </si>
  <si>
    <t>natural origin spawners adults</t>
  </si>
  <si>
    <t>spawning ground surveys (GRTS methodology)</t>
  </si>
  <si>
    <t>2007-2016</t>
  </si>
  <si>
    <t>no rules apply</t>
  </si>
  <si>
    <t>LCFRB database</t>
  </si>
  <si>
    <t>LCFRB/WDFW Conservation and Sustainable Fishery Plan Annual Report (Draft in progress)</t>
  </si>
  <si>
    <t>Eloch/Skam</t>
  </si>
  <si>
    <t>professional judgement and knowledge of Recovery Plan Project Team in consultation with LCFRB</t>
  </si>
  <si>
    <t>Elochoman and Skamokawa basins are not part of WDFW spawning ground survey program for chum; therfore, no recent abundance estimates are available.  Used baseline abundance from Recovery Plan as estimtate of current abundance.</t>
  </si>
  <si>
    <t>Mill, Abernathy and Germany Creeks are not part of WDFW spawning ground survey program for chum; therfore, no recent abundance estimates are available.  Used baseline abundance from Recovery Plan as estimtate of current abundance.</t>
  </si>
  <si>
    <r>
      <t>Current</t>
    </r>
    <r>
      <rPr>
        <b/>
        <vertAlign val="superscript"/>
        <sz val="9"/>
        <color theme="1"/>
        <rFont val="Calibri"/>
        <family val="2"/>
        <scheme val="minor"/>
      </rPr>
      <t>h,l</t>
    </r>
  </si>
  <si>
    <r>
      <t>Historical</t>
    </r>
    <r>
      <rPr>
        <b/>
        <vertAlign val="superscript"/>
        <sz val="9"/>
        <color theme="1"/>
        <rFont val="Calibri"/>
        <family val="2"/>
        <scheme val="minor"/>
      </rPr>
      <t>d,m,n</t>
    </r>
  </si>
  <si>
    <r>
      <t>Minimum Abundance Threshold</t>
    </r>
    <r>
      <rPr>
        <b/>
        <vertAlign val="superscript"/>
        <sz val="9"/>
        <color theme="1"/>
        <rFont val="Calibri"/>
        <family val="2"/>
        <scheme val="minor"/>
      </rPr>
      <t>j,n</t>
    </r>
  </si>
  <si>
    <t>Population Designation</t>
  </si>
  <si>
    <t>Viability Goal</t>
  </si>
  <si>
    <r>
      <t>ESA</t>
    </r>
    <r>
      <rPr>
        <vertAlign val="superscript"/>
        <sz val="9"/>
        <color theme="1"/>
        <rFont val="Calibri"/>
        <family val="2"/>
        <scheme val="minor"/>
      </rPr>
      <t>o</t>
    </r>
  </si>
  <si>
    <t>4,500-12,500</t>
  </si>
  <si>
    <t>N/A</t>
  </si>
  <si>
    <t>900-2800</t>
  </si>
  <si>
    <t>Stabilizing</t>
  </si>
  <si>
    <t>3,132-7,700</t>
  </si>
  <si>
    <t>500-2800</t>
  </si>
  <si>
    <t>4,800-6,000</t>
  </si>
  <si>
    <t>400-1400</t>
  </si>
  <si>
    <t>400-600</t>
  </si>
  <si>
    <t>average</t>
  </si>
  <si>
    <t>spawning ground surveys</t>
  </si>
  <si>
    <t>2012-2016</t>
  </si>
  <si>
    <t>Kristin Homel and Tucker Jones (ODFW), personal communications</t>
  </si>
  <si>
    <t>No link available - ODFW database - Unpublished data</t>
  </si>
  <si>
    <t>Kalama basin is not part of WDFW spawning ground survey program for chum; therfore, no recent abundance estimates are available.  Used baseline abundance from Recovery Plan as estimtate of current abundance.</t>
  </si>
  <si>
    <t>Lewis basin is not part of WDFW spawning ground survey program for chum; therfore, no recent abundance estimates are available.  Used baseline abundance from Recovery Plan as estimtate of current abundance.</t>
  </si>
  <si>
    <t>Salmon basin is not part of WDFW spawning ground survey program for chum; therfore, no recent abundance estimates are available.  Used baseline abundance from Recovery Plan as estimtate of current abundance.</t>
  </si>
  <si>
    <t>Washougal/I205</t>
  </si>
  <si>
    <t>extripated population, assumed abundance = 0</t>
  </si>
  <si>
    <t>https://www.dfw.state.or.us/fish/crp/conservation_recovery_plans.asp</t>
  </si>
  <si>
    <t>Oregon Recovery Plan - Chapter 6 - Table 6-36</t>
  </si>
  <si>
    <t>Lower Cowlitz basin is not part of WDFW spawning ground survey program for chum; therfore, no recent abundance estimates are available.  Used baseline abundance from Recovery Plan as estimtate of current abundance.</t>
  </si>
  <si>
    <t>Lower Gorge</t>
  </si>
  <si>
    <t>Upper Gorge</t>
  </si>
  <si>
    <t>habitat based analysis (EDT)</t>
  </si>
  <si>
    <t>not applicable</t>
  </si>
  <si>
    <t>2010 Washington Recovery Plan - Volume 1 - Chapter 6 - Table 6-6</t>
  </si>
  <si>
    <t>2010 Washington Recovery Plan - Volume 2 - Chapter M - Table M-2</t>
  </si>
  <si>
    <t>2010 Washington Recovery Plan - Volume 2 - Chapter J - Table J-2</t>
  </si>
  <si>
    <t>Data from Fish Passage Center Database</t>
  </si>
  <si>
    <t xml:space="preserve">Year </t>
  </si>
  <si>
    <t>Count</t>
  </si>
  <si>
    <t>Chum</t>
  </si>
  <si>
    <t>Bonneville Dam</t>
  </si>
  <si>
    <t>dam count</t>
  </si>
  <si>
    <t>2008-2017</t>
  </si>
  <si>
    <t>Fish Passage Center Dam Count Database</t>
  </si>
  <si>
    <t>http://www.fpc.org/</t>
  </si>
  <si>
    <t>Population Viability Analysis (PVA) using a Stochastic Stock Recruitment Model (Popcycle)</t>
  </si>
  <si>
    <t>1 - delisting abundance goal (desired status)</t>
  </si>
  <si>
    <t>MAT based on Population Viability Curve Analysis</t>
  </si>
  <si>
    <t>2 - minimum abundance threshold based on persistence probabilities in recovery scenario</t>
  </si>
  <si>
    <t xml:space="preserve">ESA Recovery Plan for </t>
  </si>
  <si>
    <t>https://www.westcoast.fisheries.noaa.gov/protected_species/salmon_steelhead/recovery_planning_and_implementation/recovery_plans_supporting_documents.html</t>
  </si>
  <si>
    <t>set goal equal to baseline abundance estimate from Recovery Plan</t>
  </si>
  <si>
    <t>1 - delisting abundance goal (desired status) - maintain current abundance</t>
  </si>
  <si>
    <t xml:space="preserve">ESA Recovery Plan for Lower Columbia for Coho, Chinook, Chum and Steelhead - Chapter 8 - Table 8-2 </t>
  </si>
  <si>
    <t>midpoint between low and high goals</t>
  </si>
  <si>
    <t>2 - mid-way between low- and high-range goals</t>
  </si>
  <si>
    <t>CBP Recommendations Report</t>
  </si>
  <si>
    <t>https://www.westcoast.fisheries.noaa.gov/columbia_river/index.html</t>
  </si>
  <si>
    <t>ODFW has not established goals for individual populations at this time, abundance goal is a combined goal for all 4 populations that is consistent with the overall contribution to recovery identified in Table 3-1 of the Lower Columbia Recovery Plan</t>
  </si>
  <si>
    <t>calculated - 3 times delisting goal</t>
  </si>
  <si>
    <t xml:space="preserve"> 4 - default value, 3 times low-range value</t>
  </si>
  <si>
    <t>salmon</t>
  </si>
  <si>
    <t>includes estimate for fall chum only, no estimate available for summer chum</t>
  </si>
  <si>
    <t xml:space="preserve">, </t>
  </si>
  <si>
    <t>assumed spawning ground surveys not conducted and no reintroduction efforts underway; therefore, assume no natural production</t>
  </si>
  <si>
    <t>Stabilizing population - recovery scenario requires population maintain current status - goal set to maintain baseline abundance estimate - no current abundance estimates available at time of completion of Recovery Plan - estimates of recent abundance are not available</t>
  </si>
  <si>
    <t>goal includes both summer both summer and fall chum, goals are 900 for summer chum and fall chum each</t>
  </si>
  <si>
    <t>includes only Washington portion of population, information for Oregon portion of population is not available</t>
  </si>
  <si>
    <t>https://www.lcfrb.gen.wa.us/librarysalmonrecovery</t>
  </si>
  <si>
    <t>goal includes both summer both summer and fall chum, goals are 1,800 for summer chum and fall chum each</t>
  </si>
  <si>
    <t>goal includes both summer both summer and fall chum, goals are 2,700 for summer chum and fall chum each</t>
  </si>
  <si>
    <t>Lower Gorge stock is not part of WDFW and ODFW spawning ground survey programs for chum; therfore, no recent abundance estimates are available.  Used baseline abundance from Recovery Plan as estimtate of current abundance.  Chum in Oregon and Washington are genetically indistinct and comprise a single population.</t>
  </si>
  <si>
    <t>Lower Gorge stock is not part of WDFW and ODFW spawning ground survey programs for chum; therfore, no recent abundance estimates are available.  Used baseline abundance from Recovery Plan as estimtate of current abundance.</t>
  </si>
  <si>
    <t>professional judgement and knowledge of Recovery Plan Project Team in consultation with ODFW</t>
  </si>
  <si>
    <t>ODFW Chum Reintroduction Plan (pending approval)</t>
  </si>
  <si>
    <t>not available electroncially, ODFW contact is Kristen Homel</t>
  </si>
  <si>
    <t>Chum in Oregon and Washington are genetically indistinct and comprise a single population, abundance estimate represents entire population</t>
  </si>
  <si>
    <t>Chum in Oregon and Washington are genetically indistinct and comprise a single population, abundance estimate goal includes entire population</t>
  </si>
  <si>
    <t>midway between range of historical estimates (4,560-12,560)</t>
  </si>
  <si>
    <t>midway between range of historical estimates (4,817-6,000)</t>
  </si>
  <si>
    <t>midway between range of historical estimates (400-600)</t>
  </si>
  <si>
    <t>midway between range of historical estimates (3,132-7,702)</t>
  </si>
  <si>
    <t>equal to minimum estimate of 12,484</t>
  </si>
  <si>
    <t>equal to minimum estimate of 13,885</t>
  </si>
  <si>
    <t>literature review, methods vary, primarily habitat based using measures of available habitat</t>
  </si>
  <si>
    <t>MAT based on Population Viability Curve Analysis, includes Big, Clatskanie &amp; Scappoose populations</t>
  </si>
  <si>
    <t>MAT based on Population Viability Curve Analysis, includes Youngs, Clatskanie &amp; Scappoose populations</t>
  </si>
  <si>
    <t>MAT based on Population Viability Curve Analysis, inlcudes Youngs, Big &amp; Scappoose populations</t>
  </si>
  <si>
    <t>Clatsaknie</t>
  </si>
  <si>
    <t>MAT based on Population Viability Curve Analysis, includes Youngs, Big &amp; Clatskanie populations</t>
  </si>
  <si>
    <t>midpoint between low and high goals, includes Big, Clatskanie &amp; Scappoose populations</t>
  </si>
  <si>
    <t>midpoint between low and high goals, includes Youngs, Clatskanie &amp; Scappoose populations</t>
  </si>
  <si>
    <t>midpoint between low and high goals, includes Youngs, Big &amp; Scappoose populations</t>
  </si>
  <si>
    <t>midpoint between low and high goals, includes Youngs, Big &amp; Clatskanie populations</t>
  </si>
  <si>
    <t>calculated - 3 times delisting goal, includes Big, Clatskanie &amp; Scappoose populations</t>
  </si>
  <si>
    <t>calculated - 3 times delisting goal, includes Youngs, Clatskanie &amp; Scappoose populations</t>
  </si>
  <si>
    <t>calculated - 3 times delisting goal, includes Youngs, Big &amp; Scappoose populations</t>
  </si>
  <si>
    <t>calculated - 3 times delisting goal, includes Youngs, Big &amp; Clatskanie populations</t>
  </si>
  <si>
    <t>HOR_Abu</t>
  </si>
  <si>
    <t>Metrics</t>
  </si>
  <si>
    <t xml:space="preserve">L. Gorge </t>
  </si>
  <si>
    <t>Data for Oregon populations from Kristin Homel and based on spawning ground surveys</t>
  </si>
  <si>
    <t>Data from Amelia Johnson with LCFRB and is based on spawning ground suveys completed by WDFW</t>
  </si>
  <si>
    <t>Big Creek</t>
  </si>
  <si>
    <t>Data for 1) Grays/Chinook, Washougal and Lower Gorge from WDFW spawning survey data, 2) Bonneville Dam from Fish Passage Center database, 3) for Oregon populations from spawning ground survey data and 4) remaining Washington populations are preliminary estimates</t>
  </si>
  <si>
    <t>Annual estimate are available only for Grays/Chinook, Washougal, Lower Gorge and Above Bonneville populations.  Remaining populations have single abundance estimates that are replicated for all years in the dataset.</t>
  </si>
  <si>
    <t>Escapement</t>
  </si>
  <si>
    <t>Escapement Estimates</t>
  </si>
  <si>
    <t>Commercial</t>
  </si>
  <si>
    <t>Harvest Rate</t>
  </si>
  <si>
    <t>vs Escapement</t>
  </si>
  <si>
    <t>average (2007-2013)</t>
  </si>
  <si>
    <t>Handled</t>
  </si>
  <si>
    <t>Retention prohibited beginning in 2014.  Used 2007-2013 average to estimate number of chum handled in commercial fisheries during 2014-2016.  Assumed 50% post release mortality rate to estimate fishery mortalities for 2014-2016.</t>
  </si>
  <si>
    <t>Mortalities</t>
  </si>
  <si>
    <t>Fishery Mortalities</t>
  </si>
  <si>
    <t>Data from Table 22 of 2018 Joint Staff Report</t>
  </si>
  <si>
    <t>Data from 2018 Joint Staff Report</t>
  </si>
  <si>
    <t>Escapement estimates include returning adults from supplementation programs in Washington and Oregon.  Adults from supplementation programs return to natural spawning areas and not hatcheries.</t>
  </si>
  <si>
    <t>Fishery</t>
  </si>
  <si>
    <t>Columbia</t>
  </si>
  <si>
    <t>Run Size</t>
  </si>
  <si>
    <t>(vs CR)</t>
  </si>
  <si>
    <t>Chum Run Reconstruction</t>
  </si>
  <si>
    <t>Data from ODFW, WDFW, LCFRB and 2018 Joint Staff Report</t>
  </si>
  <si>
    <t>avg</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</si>
  <si>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</si>
  <si>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</si>
  <si>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</si>
  <si>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</si>
  <si>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</si>
  <si>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</si>
  <si>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</si>
  <si>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</si>
  <si>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</si>
  <si>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</si>
  <si>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</si>
  <si>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</si>
  <si>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</si>
  <si>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</si>
  <si>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</si>
  <si>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</si>
  <si>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</si>
  <si>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</si>
  <si>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</si>
  <si>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Recent avg.</t>
  </si>
  <si>
    <t>(2008-2017)</t>
  </si>
  <si>
    <t>Lower gorge</t>
  </si>
  <si>
    <t>Upper gorge</t>
  </si>
  <si>
    <t>1. SOS 2020 Abundance Analysis</t>
  </si>
  <si>
    <t>2. Chinook River Fall Chum: Hatchery-Origin Spawners</t>
  </si>
  <si>
    <t>3. Chinook River Fall Chum: Natural-Origin Spawners</t>
  </si>
  <si>
    <t>4. Crazy Johnson Creek Fall Chum: Natural-Origin Spawners</t>
  </si>
  <si>
    <t>5. Crazy Johnson Creek Fall Chum: Hatchery-Origin Spawners</t>
  </si>
  <si>
    <t>6. Grays River Mainstem Fall Chum: Natural-Origin Spawners</t>
  </si>
  <si>
    <t>7. Grays River Mainstem Fall Chum: Hatchery-Origin Spawners</t>
  </si>
  <si>
    <t>8. West Fork Grays River Fall Chum: Natural-Origin Spawners</t>
  </si>
  <si>
    <t>9. West Fork Grays River Fall Chum: Hatchery-Origin Spawners</t>
  </si>
  <si>
    <t>CR run</t>
  </si>
  <si>
    <t>fish/mi</t>
  </si>
  <si>
    <t>NOR</t>
  </si>
  <si>
    <t>HOR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</si>
</sst>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sz val="9"/>
      <color indexed="81"/>
      <name val="Tahoma"/>
      <family val="2"/>
    </font>
    <font>
      <b/>
      <sz val="9"/>
      <color indexed="81"/>
      <name val="Tahoma"/>
      <family val="2"/>
    </font>
    <font>
      <b/>
      <sz val="9"/>
      <color theme="1"/>
      <name val="Calibri"/>
      <family val="2"/>
      <scheme val="minor"/>
    </font>
    <font>
      <b/>
      <vertAlign val="superscript"/>
      <sz val="9"/>
      <color theme="1"/>
      <name val="Calibri"/>
      <family val="2"/>
      <scheme val="minor"/>
    </font>
    <font>
      <sz val="9"/>
      <color theme="1"/>
      <name val="Calibri"/>
      <family val="2"/>
      <scheme val="minor"/>
    </font>
    <font>
      <vertAlign val="superscript"/>
      <sz val="9"/>
      <color theme="1"/>
      <name val="Calibri"/>
      <family val="2"/>
      <scheme val="minor"/>
    </font>
    <font>
      <sz val="11"/>
      <name val="Calibri"/>
      <family val="2"/>
      <scheme val="minor"/>
    </font>
    <font>
      <i/>
      <sz val="11"/>
      <color theme="1"/>
      <name val="Calibri"/>
      <family val="2"/>
      <scheme val="minor"/>
    </font>
    <font>
      <i/>
      <vertAlign val="superscript"/>
      <sz val="11"/>
      <color theme="1"/>
      <name val="Calibri"/>
      <family val="2"/>
      <scheme val="minor"/>
    </font>
    <font>
      <b/>
      <u/>
      <sz val="11"/>
      <color theme="1"/>
      <name val="Calibri"/>
      <family val="2"/>
      <scheme val="minor"/>
    </font>
    <font>
      <b/>
      <sz val="8"/>
      <color indexed="81"/>
      <name val="Tahoma"/>
      <family val="2"/>
    </font>
    <font>
      <i/>
      <strike/>
      <sz val="11"/>
      <color theme="1"/>
      <name val="Calibri"/>
      <family val="2"/>
      <scheme val="minor"/>
    </font>
    <font>
      <u/>
      <sz val="11"/>
      <color theme="1"/>
      <name val="Calibri"/>
      <family val="2"/>
      <scheme val="minor"/>
    </font>
    <font>
      <b/>
      <sz val="11"/>
      <color theme="0"/>
      <name val="Calibri"/>
      <family val="2"/>
      <scheme val="minor"/>
    </font>
    <font>
      <sz val="11"/>
      <color rgb="FFFF0000"/>
      <name val="Calibri"/>
      <family val="2"/>
      <scheme val="minor"/>
    </font>
    <font>
      <b/>
      <sz val="14"/>
      <color theme="0"/>
      <name val="Calibri"/>
      <family val="2"/>
      <scheme val="minor"/>
    </font>
    <font>
      <b/>
      <sz val="11"/>
      <color rgb="FFFF0000"/>
      <name val="Calibri"/>
      <family val="2"/>
      <scheme val="minor"/>
    </font>
    <font>
      <b/>
      <sz val="14"/>
      <color rgb="FFFF0000"/>
      <name val="Calibri"/>
      <family val="2"/>
      <scheme val="minor"/>
    </font>
    <font>
      <sz val="11"/>
      <color rgb="FF000000"/>
      <name val="Calibri"/>
      <family val="2"/>
      <scheme val="minor"/>
    </font>
    <font>
      <b/>
      <i/>
      <sz val="11"/>
      <color theme="1"/>
      <name val="Calibri"/>
      <family val="2"/>
      <scheme val="minor"/>
    </font>
    <font>
      <b/>
      <i/>
      <sz val="11"/>
      <name val="Calibri"/>
      <family val="2"/>
      <scheme val="minor"/>
    </font>
    <font>
      <b/>
      <u/>
      <sz val="9"/>
      <color indexed="81"/>
      <name val="Tahoma"/>
      <family val="2"/>
    </font>
    <font>
      <u/>
      <sz val="11"/>
      <color theme="10"/>
      <name val="Calibri"/>
      <family val="2"/>
      <scheme val="minor"/>
    </font>
    <font>
      <sz val="14"/>
      <color theme="1"/>
      <name val="Calibri"/>
      <family val="2"/>
      <scheme val="minor"/>
    </font>
    <font>
      <sz val="14"/>
      <color rgb="FFFF0000"/>
      <name val="Calibri"/>
      <family val="2"/>
      <scheme val="minor"/>
    </font>
    <font>
      <b/>
      <sz val="14"/>
      <color theme="1"/>
      <name val="Calibri"/>
      <family val="2"/>
      <scheme val="minor"/>
    </font>
    <font>
      <b/>
      <sz val="8.25"/>
      <color rgb="FF000000"/>
      <name val="Verdana"/>
      <family val="2"/>
    </font>
    <font>
      <sz val="8.25"/>
      <color rgb="FF000000"/>
      <name val="Verdana"/>
      <family val="2"/>
    </font>
  </fonts>
  <fills count="23">
    <fill>
      <patternFill patternType="none"/>
    </fill>
    <fill>
      <patternFill patternType="gray125"/>
    </fill>
    <fill>
      <patternFill patternType="solid">
        <fgColor rgb="FFD9E2F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8D9D38"/>
        <bgColor indexed="64"/>
      </patternFill>
    </fill>
    <fill>
      <patternFill patternType="solid">
        <fgColor theme="9" tint="0.59999389629810485"/>
        <bgColor indexed="64"/>
      </patternFill>
    </fill>
    <fill>
      <patternFill patternType="solid">
        <fgColor rgb="FFD1DC9C"/>
        <bgColor indexed="64"/>
      </patternFill>
    </fill>
    <fill>
      <patternFill patternType="solid">
        <fgColor rgb="FFEAEFD1"/>
        <bgColor indexed="64"/>
      </patternFill>
    </fill>
    <fill>
      <patternFill patternType="solid">
        <fgColor rgb="FFFFFFFF"/>
        <bgColor indexed="64"/>
      </patternFill>
    </fill>
    <fill>
      <patternFill patternType="solid">
        <fgColor rgb="FFBEC195"/>
        <bgColor indexed="64"/>
      </patternFill>
    </fill>
    <fill>
      <patternFill patternType="solid">
        <fgColor rgb="FFE2E4FF"/>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s>
  <cellStyleXfs count="3">
    <xf numFmtId="0" fontId="0" fillId="0" borderId="0"/>
    <xf numFmtId="9" fontId="1" fillId="0" borderId="0" applyFont="0" applyFill="0" applyBorder="0" applyAlignment="0" applyProtection="0"/>
    <xf numFmtId="0" fontId="27" fillId="0" borderId="0" applyNumberFormat="0" applyFill="0" applyBorder="0" applyAlignment="0" applyProtection="0"/>
  </cellStyleXfs>
  <cellXfs count="368">
    <xf numFmtId="0" fontId="0" fillId="0" borderId="0" xfId="0"/>
    <xf numFmtId="0" fontId="2" fillId="2"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7" fillId="2" borderId="13" xfId="0" applyFont="1" applyFill="1" applyBorder="1" applyAlignment="1">
      <alignment horizontal="center" vertical="center" wrapText="1"/>
    </xf>
    <xf numFmtId="3" fontId="9" fillId="0" borderId="0" xfId="0" applyNumberFormat="1" applyFont="1" applyAlignment="1">
      <alignment horizontal="center" vertical="center" wrapText="1"/>
    </xf>
    <xf numFmtId="3" fontId="9" fillId="4" borderId="0" xfId="0" applyNumberFormat="1" applyFont="1" applyFill="1" applyAlignment="1">
      <alignment horizontal="center" vertical="center" wrapText="1"/>
    </xf>
    <xf numFmtId="0" fontId="0" fillId="0" borderId="0" xfId="0" applyAlignment="1">
      <alignment horizontal="center"/>
    </xf>
    <xf numFmtId="0" fontId="2" fillId="2" borderId="7"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0" fillId="0" borderId="6" xfId="0" applyBorder="1" applyAlignment="1">
      <alignment horizontal="center" vertical="center" wrapText="1"/>
    </xf>
    <xf numFmtId="3" fontId="1" fillId="0" borderId="6"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2" fillId="2" borderId="14" xfId="0" applyFont="1" applyFill="1" applyBorder="1" applyAlignment="1">
      <alignment horizontal="center" vertical="center" wrapText="1"/>
    </xf>
    <xf numFmtId="0" fontId="0" fillId="6" borderId="8" xfId="0" applyFill="1" applyBorder="1"/>
    <xf numFmtId="0" fontId="0" fillId="6" borderId="7" xfId="0" applyFill="1" applyBorder="1"/>
    <xf numFmtId="9" fontId="1" fillId="0" borderId="6" xfId="0" applyNumberFormat="1" applyFont="1" applyBorder="1" applyAlignment="1">
      <alignment horizontal="center" vertical="center" wrapText="1"/>
    </xf>
    <xf numFmtId="0" fontId="1" fillId="0" borderId="14" xfId="0" applyFont="1" applyBorder="1" applyAlignment="1">
      <alignment horizontal="center" vertical="center" wrapText="1"/>
    </xf>
    <xf numFmtId="0" fontId="0" fillId="0" borderId="14" xfId="0" applyBorder="1" applyAlignment="1">
      <alignment horizontal="center" vertical="center" wrapText="1"/>
    </xf>
    <xf numFmtId="0" fontId="1" fillId="0" borderId="5" xfId="0" applyFont="1" applyBorder="1" applyAlignment="1">
      <alignment horizontal="center" vertical="center" wrapText="1"/>
    </xf>
    <xf numFmtId="9" fontId="0" fillId="0" borderId="6" xfId="0" applyNumberFormat="1" applyBorder="1" applyAlignment="1">
      <alignment horizontal="center" vertical="center" wrapText="1"/>
    </xf>
    <xf numFmtId="9" fontId="0" fillId="0" borderId="6" xfId="0" quotePrefix="1" applyNumberFormat="1" applyBorder="1" applyAlignment="1">
      <alignment horizontal="center" vertical="center" wrapText="1"/>
    </xf>
    <xf numFmtId="9" fontId="0" fillId="0" borderId="0" xfId="0" applyNumberFormat="1" applyAlignment="1">
      <alignment horizontal="center" vertical="center" wrapText="1"/>
    </xf>
    <xf numFmtId="9" fontId="0" fillId="3" borderId="6" xfId="0" quotePrefix="1" applyNumberFormat="1" applyFill="1" applyBorder="1" applyAlignment="1">
      <alignment horizontal="center" vertical="center" wrapText="1"/>
    </xf>
    <xf numFmtId="9" fontId="1" fillId="3" borderId="6" xfId="0" applyNumberFormat="1" applyFont="1" applyFill="1" applyBorder="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xf>
    <xf numFmtId="1" fontId="1" fillId="0" borderId="0" xfId="0" applyNumberFormat="1" applyFont="1" applyAlignment="1">
      <alignment horizontal="center" vertical="center" wrapText="1"/>
    </xf>
    <xf numFmtId="0" fontId="2" fillId="0" borderId="0" xfId="0" applyFont="1"/>
    <xf numFmtId="0" fontId="0" fillId="0" borderId="0" xfId="0" quotePrefix="1"/>
    <xf numFmtId="0" fontId="0" fillId="0" borderId="0" xfId="0" applyAlignment="1">
      <alignment vertical="center"/>
    </xf>
    <xf numFmtId="0" fontId="13" fillId="0" borderId="0" xfId="0" applyFont="1" applyAlignment="1">
      <alignment vertical="center"/>
    </xf>
    <xf numFmtId="0" fontId="14" fillId="0" borderId="0" xfId="0" applyFont="1" applyAlignment="1">
      <alignment horizontal="center" vertical="center" wrapText="1"/>
    </xf>
    <xf numFmtId="0" fontId="7" fillId="2" borderId="0" xfId="0" applyFont="1" applyFill="1" applyAlignment="1">
      <alignment horizontal="center" vertical="center" wrapText="1"/>
    </xf>
    <xf numFmtId="0" fontId="4" fillId="0" borderId="0" xfId="0" applyFont="1" applyAlignment="1">
      <alignment vertical="center"/>
    </xf>
    <xf numFmtId="0" fontId="17" fillId="0" borderId="0" xfId="0" applyFont="1"/>
    <xf numFmtId="0" fontId="22" fillId="8" borderId="0" xfId="0" applyFont="1" applyFill="1" applyAlignment="1">
      <alignment vertical="center"/>
    </xf>
    <xf numFmtId="0" fontId="19" fillId="8" borderId="0" xfId="0" applyFont="1" applyFill="1" applyAlignment="1">
      <alignment vertical="center"/>
    </xf>
    <xf numFmtId="0" fontId="21" fillId="8" borderId="0" xfId="0" applyFont="1" applyFill="1" applyAlignment="1">
      <alignment vertical="center"/>
    </xf>
    <xf numFmtId="0" fontId="19" fillId="8" borderId="0" xfId="0" applyFont="1" applyFill="1"/>
    <xf numFmtId="0" fontId="0" fillId="8" borderId="0" xfId="0" applyFill="1"/>
    <xf numFmtId="0" fontId="2" fillId="9" borderId="20" xfId="0" applyFont="1" applyFill="1" applyBorder="1" applyAlignment="1">
      <alignment horizontal="center" vertical="center"/>
    </xf>
    <xf numFmtId="0" fontId="2" fillId="9" borderId="21" xfId="0" applyFont="1" applyFill="1" applyBorder="1" applyAlignment="1">
      <alignment horizontal="center" vertical="center"/>
    </xf>
    <xf numFmtId="0" fontId="0" fillId="0" borderId="17" xfId="0" applyBorder="1"/>
    <xf numFmtId="3" fontId="0" fillId="0" borderId="17" xfId="0" applyNumberFormat="1" applyBorder="1"/>
    <xf numFmtId="3" fontId="0" fillId="0" borderId="18" xfId="0" applyNumberFormat="1" applyBorder="1"/>
    <xf numFmtId="0" fontId="0" fillId="0" borderId="20" xfId="0" applyBorder="1"/>
    <xf numFmtId="3" fontId="0" fillId="0" borderId="20" xfId="0" applyNumberFormat="1" applyBorder="1" applyAlignment="1">
      <alignment horizontal="right"/>
    </xf>
    <xf numFmtId="3" fontId="0" fillId="0" borderId="21" xfId="0" applyNumberFormat="1" applyBorder="1" applyAlignment="1">
      <alignment horizontal="right"/>
    </xf>
    <xf numFmtId="3" fontId="0" fillId="0" borderId="20" xfId="0" applyNumberFormat="1" applyBorder="1"/>
    <xf numFmtId="3" fontId="0" fillId="0" borderId="21" xfId="0" applyNumberFormat="1" applyBorder="1"/>
    <xf numFmtId="3" fontId="0" fillId="0" borderId="25" xfId="0" applyNumberFormat="1" applyBorder="1"/>
    <xf numFmtId="0" fontId="0" fillId="0" borderId="26" xfId="0" applyBorder="1"/>
    <xf numFmtId="3" fontId="0" fillId="0" borderId="26" xfId="0" applyNumberFormat="1" applyBorder="1"/>
    <xf numFmtId="3" fontId="0" fillId="0" borderId="23" xfId="0" applyNumberFormat="1" applyBorder="1"/>
    <xf numFmtId="3" fontId="0" fillId="0" borderId="26" xfId="0" applyNumberFormat="1" applyBorder="1" applyAlignment="1">
      <alignment horizontal="right"/>
    </xf>
    <xf numFmtId="0" fontId="19" fillId="0" borderId="0" xfId="0" applyFont="1"/>
    <xf numFmtId="0" fontId="2" fillId="10" borderId="15" xfId="0" applyFont="1" applyFill="1" applyBorder="1"/>
    <xf numFmtId="3" fontId="0" fillId="0" borderId="0" xfId="0" applyNumberFormat="1"/>
    <xf numFmtId="0" fontId="0" fillId="0" borderId="22" xfId="0" applyBorder="1"/>
    <xf numFmtId="0" fontId="23" fillId="0" borderId="0" xfId="0" applyFont="1" applyAlignment="1">
      <alignment horizontal="center" vertical="center" wrapText="1"/>
    </xf>
    <xf numFmtId="0" fontId="23" fillId="0" borderId="22" xfId="0" applyFont="1" applyBorder="1" applyAlignment="1">
      <alignment horizontal="center" vertical="center" wrapText="1"/>
    </xf>
    <xf numFmtId="0" fontId="23" fillId="0" borderId="0" xfId="0" applyFont="1" applyAlignment="1">
      <alignment vertical="center" wrapText="1"/>
    </xf>
    <xf numFmtId="0" fontId="23" fillId="0" borderId="22" xfId="0" applyFont="1" applyBorder="1" applyAlignment="1">
      <alignment vertical="center" wrapText="1"/>
    </xf>
    <xf numFmtId="164" fontId="0" fillId="0" borderId="0" xfId="0" applyNumberFormat="1"/>
    <xf numFmtId="3" fontId="0" fillId="0" borderId="0" xfId="0" applyNumberFormat="1" applyAlignment="1">
      <alignment horizontal="right"/>
    </xf>
    <xf numFmtId="0" fontId="0" fillId="0" borderId="19" xfId="0" applyBorder="1"/>
    <xf numFmtId="3" fontId="0" fillId="0" borderId="19" xfId="0" applyNumberFormat="1" applyBorder="1"/>
    <xf numFmtId="0" fontId="9" fillId="0" borderId="0" xfId="0" applyFont="1" applyAlignment="1">
      <alignment horizontal="center" vertical="center" wrapText="1"/>
    </xf>
    <xf numFmtId="0" fontId="9" fillId="4" borderId="0" xfId="0" applyFont="1" applyFill="1" applyAlignment="1">
      <alignment horizontal="center" vertical="center" wrapText="1"/>
    </xf>
    <xf numFmtId="3" fontId="9" fillId="7" borderId="0" xfId="0" applyNumberFormat="1" applyFont="1" applyFill="1" applyAlignment="1">
      <alignment horizontal="center" vertical="center" wrapText="1"/>
    </xf>
    <xf numFmtId="0" fontId="9" fillId="0" borderId="0" xfId="0" applyFont="1" applyAlignment="1">
      <alignment wrapText="1"/>
    </xf>
    <xf numFmtId="0" fontId="9" fillId="5" borderId="0" xfId="0" applyFont="1" applyFill="1" applyAlignment="1">
      <alignment horizontal="center" vertical="center" wrapText="1"/>
    </xf>
    <xf numFmtId="3" fontId="9" fillId="5" borderId="0" xfId="0" applyNumberFormat="1" applyFont="1" applyFill="1" applyAlignment="1">
      <alignment horizontal="center" vertical="center" wrapText="1"/>
    </xf>
    <xf numFmtId="0" fontId="9" fillId="0" borderId="0" xfId="0" applyFont="1" applyAlignment="1">
      <alignment horizontal="center"/>
    </xf>
    <xf numFmtId="0" fontId="9" fillId="0" borderId="0" xfId="0" quotePrefix="1" applyFont="1" applyAlignment="1">
      <alignment horizontal="center" vertical="center" wrapText="1"/>
    </xf>
    <xf numFmtId="0" fontId="9" fillId="0" borderId="0" xfId="0" quotePrefix="1" applyFont="1" applyAlignment="1">
      <alignment horizontal="center"/>
    </xf>
    <xf numFmtId="0" fontId="9" fillId="7" borderId="0" xfId="0" applyFont="1" applyFill="1" applyAlignment="1">
      <alignment horizontal="center" vertical="center" wrapText="1"/>
    </xf>
    <xf numFmtId="0" fontId="9" fillId="4" borderId="0" xfId="0" quotePrefix="1" applyFont="1" applyFill="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vertical="center" wrapText="1"/>
    </xf>
    <xf numFmtId="0" fontId="9" fillId="0" borderId="2" xfId="0" applyFont="1" applyBorder="1" applyAlignment="1">
      <alignment horizontal="center"/>
    </xf>
    <xf numFmtId="0" fontId="9" fillId="0" borderId="2" xfId="0" quotePrefix="1" applyFont="1" applyBorder="1" applyAlignment="1">
      <alignment horizontal="center" vertical="center" wrapText="1"/>
    </xf>
    <xf numFmtId="0" fontId="9" fillId="0" borderId="3" xfId="0" applyFont="1" applyBorder="1" applyAlignment="1">
      <alignment horizontal="center" vertical="center" wrapText="1"/>
    </xf>
    <xf numFmtId="0" fontId="9" fillId="0" borderId="30" xfId="0" applyFont="1" applyBorder="1" applyAlignment="1">
      <alignment horizontal="center" vertical="center"/>
    </xf>
    <xf numFmtId="0" fontId="9" fillId="7" borderId="13"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7" borderId="0" xfId="0" quotePrefix="1" applyFont="1" applyFill="1" applyAlignment="1">
      <alignment horizontal="center"/>
    </xf>
    <xf numFmtId="0" fontId="9" fillId="7" borderId="0" xfId="0" quotePrefix="1" applyFont="1" applyFill="1" applyAlignment="1">
      <alignment horizontal="center" vertical="center" wrapText="1"/>
    </xf>
    <xf numFmtId="0" fontId="9" fillId="7" borderId="0" xfId="0" applyFont="1" applyFill="1" applyAlignment="1">
      <alignment horizontal="center"/>
    </xf>
    <xf numFmtId="3" fontId="9" fillId="3" borderId="2" xfId="0" applyNumberFormat="1" applyFont="1" applyFill="1" applyBorder="1" applyAlignment="1">
      <alignment horizontal="center" vertical="center" wrapText="1"/>
    </xf>
    <xf numFmtId="0" fontId="9" fillId="0" borderId="2" xfId="0" quotePrefix="1" applyFont="1" applyBorder="1" applyAlignment="1">
      <alignment horizontal="center"/>
    </xf>
    <xf numFmtId="0" fontId="9" fillId="0" borderId="1" xfId="0" applyFont="1" applyBorder="1" applyAlignment="1">
      <alignment wrapText="1"/>
    </xf>
    <xf numFmtId="0" fontId="9" fillId="5" borderId="11" xfId="0" applyFont="1" applyFill="1" applyBorder="1" applyAlignment="1">
      <alignment horizontal="center" vertical="center" wrapText="1"/>
    </xf>
    <xf numFmtId="0" fontId="9" fillId="5" borderId="8" xfId="0" applyFont="1" applyFill="1" applyBorder="1" applyAlignment="1">
      <alignment horizontal="center" vertical="center" wrapText="1"/>
    </xf>
    <xf numFmtId="3" fontId="9" fillId="5" borderId="8" xfId="0" applyNumberFormat="1" applyFont="1" applyFill="1" applyBorder="1" applyAlignment="1">
      <alignment horizontal="center" vertical="center" wrapText="1"/>
    </xf>
    <xf numFmtId="0" fontId="9" fillId="5" borderId="8" xfId="0" quotePrefix="1" applyFont="1" applyFill="1" applyBorder="1" applyAlignment="1">
      <alignment horizontal="center" vertical="center" wrapText="1"/>
    </xf>
    <xf numFmtId="0" fontId="9" fillId="5" borderId="7" xfId="0" applyFont="1" applyFill="1" applyBorder="1" applyAlignment="1">
      <alignment horizontal="center" vertical="center" wrapText="1"/>
    </xf>
    <xf numFmtId="0" fontId="2" fillId="11" borderId="15" xfId="0" applyFont="1" applyFill="1" applyBorder="1"/>
    <xf numFmtId="0" fontId="2" fillId="11" borderId="16" xfId="0" applyFont="1" applyFill="1" applyBorder="1"/>
    <xf numFmtId="0" fontId="14" fillId="12" borderId="19" xfId="0" applyFont="1" applyFill="1" applyBorder="1" applyAlignment="1">
      <alignment horizontal="centerContinuous"/>
    </xf>
    <xf numFmtId="0" fontId="2" fillId="12" borderId="19" xfId="0" applyFont="1" applyFill="1" applyBorder="1" applyAlignment="1">
      <alignment horizontal="centerContinuous"/>
    </xf>
    <xf numFmtId="0" fontId="14" fillId="12" borderId="18" xfId="0" applyFont="1" applyFill="1" applyBorder="1" applyAlignment="1">
      <alignment horizontal="centerContinuous"/>
    </xf>
    <xf numFmtId="0" fontId="19" fillId="0" borderId="19" xfId="0" applyFont="1" applyBorder="1" applyAlignment="1">
      <alignment horizontal="center"/>
    </xf>
    <xf numFmtId="0" fontId="0" fillId="0" borderId="0" xfId="0" quotePrefix="1" applyAlignment="1">
      <alignment horizontal="center"/>
    </xf>
    <xf numFmtId="3" fontId="0" fillId="0" borderId="21" xfId="0" applyNumberFormat="1" applyBorder="1" applyAlignment="1">
      <alignment horizontal="center"/>
    </xf>
    <xf numFmtId="0" fontId="0" fillId="0" borderId="22" xfId="0" quotePrefix="1" applyBorder="1" applyAlignment="1">
      <alignment horizontal="center"/>
    </xf>
    <xf numFmtId="0" fontId="2" fillId="0" borderId="17" xfId="0" applyFont="1" applyBorder="1"/>
    <xf numFmtId="0" fontId="2" fillId="0" borderId="17" xfId="0" quotePrefix="1" applyFont="1" applyBorder="1" applyAlignment="1">
      <alignment horizontal="left"/>
    </xf>
    <xf numFmtId="0" fontId="19" fillId="0" borderId="0" xfId="0" applyFont="1" applyAlignment="1">
      <alignment horizontal="center"/>
    </xf>
    <xf numFmtId="0" fontId="0" fillId="10" borderId="16" xfId="0" applyFill="1" applyBorder="1"/>
    <xf numFmtId="0" fontId="14" fillId="13" borderId="19" xfId="0" applyFont="1" applyFill="1" applyBorder="1" applyAlignment="1">
      <alignment horizontal="centerContinuous"/>
    </xf>
    <xf numFmtId="0" fontId="2" fillId="13" borderId="19" xfId="0" applyFont="1" applyFill="1" applyBorder="1" applyAlignment="1">
      <alignment horizontal="centerContinuous"/>
    </xf>
    <xf numFmtId="0" fontId="2" fillId="13" borderId="18" xfId="0" applyFont="1" applyFill="1" applyBorder="1" applyAlignment="1">
      <alignment horizontal="center"/>
    </xf>
    <xf numFmtId="0" fontId="2" fillId="13" borderId="20" xfId="0" applyFont="1" applyFill="1" applyBorder="1"/>
    <xf numFmtId="0" fontId="2" fillId="13" borderId="0" xfId="0" applyFont="1" applyFill="1"/>
    <xf numFmtId="0" fontId="2" fillId="13" borderId="0" xfId="0" applyFont="1" applyFill="1" applyAlignment="1">
      <alignment horizontal="center"/>
    </xf>
    <xf numFmtId="0" fontId="2" fillId="0" borderId="0" xfId="0" applyFont="1" applyAlignment="1">
      <alignment horizontal="center"/>
    </xf>
    <xf numFmtId="3" fontId="2" fillId="0" borderId="0" xfId="0" applyNumberFormat="1" applyFont="1"/>
    <xf numFmtId="0" fontId="2" fillId="13" borderId="15" xfId="0" applyFont="1" applyFill="1" applyBorder="1"/>
    <xf numFmtId="0" fontId="2" fillId="13" borderId="29" xfId="0" applyFont="1" applyFill="1" applyBorder="1"/>
    <xf numFmtId="0" fontId="2" fillId="13" borderId="29" xfId="0" applyFont="1" applyFill="1" applyBorder="1" applyAlignment="1">
      <alignment horizontal="center"/>
    </xf>
    <xf numFmtId="3" fontId="2" fillId="13" borderId="29" xfId="0" applyNumberFormat="1" applyFont="1" applyFill="1" applyBorder="1"/>
    <xf numFmtId="0" fontId="2" fillId="12" borderId="20" xfId="0" applyFont="1" applyFill="1" applyBorder="1"/>
    <xf numFmtId="0" fontId="2" fillId="12" borderId="0" xfId="0" applyFont="1" applyFill="1"/>
    <xf numFmtId="0" fontId="2" fillId="12" borderId="0" xfId="0" applyFont="1" applyFill="1" applyAlignment="1">
      <alignment horizontal="center"/>
    </xf>
    <xf numFmtId="0" fontId="2" fillId="12" borderId="21" xfId="0" applyFont="1" applyFill="1" applyBorder="1" applyAlignment="1">
      <alignment horizontal="center"/>
    </xf>
    <xf numFmtId="0" fontId="0" fillId="0" borderId="19" xfId="0" quotePrefix="1" applyBorder="1" applyAlignment="1">
      <alignment horizontal="center"/>
    </xf>
    <xf numFmtId="0" fontId="0" fillId="0" borderId="18" xfId="0" quotePrefix="1" applyBorder="1" applyAlignment="1">
      <alignment horizontal="center"/>
    </xf>
    <xf numFmtId="3" fontId="0" fillId="8" borderId="0" xfId="0" applyNumberFormat="1" applyFill="1"/>
    <xf numFmtId="0" fontId="19" fillId="8" borderId="0" xfId="0" applyFont="1" applyFill="1" applyAlignment="1">
      <alignment horizontal="center"/>
    </xf>
    <xf numFmtId="166" fontId="0" fillId="0" borderId="0" xfId="0" applyNumberFormat="1"/>
    <xf numFmtId="166" fontId="2" fillId="0" borderId="0" xfId="0" applyNumberFormat="1" applyFont="1" applyAlignment="1">
      <alignment horizontal="center" vertical="center" wrapText="1"/>
    </xf>
    <xf numFmtId="166" fontId="0" fillId="0" borderId="0" xfId="0" applyNumberFormat="1" applyAlignment="1">
      <alignment horizontal="center"/>
    </xf>
    <xf numFmtId="0" fontId="0" fillId="8" borderId="0" xfId="0" quotePrefix="1" applyFill="1" applyAlignment="1">
      <alignment horizontal="center"/>
    </xf>
    <xf numFmtId="3" fontId="2" fillId="0" borderId="19" xfId="0" applyNumberFormat="1" applyFont="1" applyBorder="1" applyAlignment="1">
      <alignment horizontal="center"/>
    </xf>
    <xf numFmtId="3" fontId="0" fillId="0" borderId="0" xfId="0" quotePrefix="1" applyNumberFormat="1" applyAlignment="1">
      <alignment horizontal="right"/>
    </xf>
    <xf numFmtId="0" fontId="1" fillId="0" borderId="13" xfId="0" applyFont="1" applyBorder="1" applyAlignment="1">
      <alignment horizontal="center" vertical="center" wrapText="1"/>
    </xf>
    <xf numFmtId="0" fontId="0" fillId="0" borderId="13" xfId="0"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9" fontId="9" fillId="0" borderId="0" xfId="1" applyFont="1" applyAlignment="1">
      <alignment horizontal="center" vertical="center" wrapText="1"/>
    </xf>
    <xf numFmtId="9" fontId="9" fillId="4" borderId="0" xfId="1" applyFont="1" applyFill="1" applyAlignment="1">
      <alignment horizontal="center" vertical="center" wrapText="1"/>
    </xf>
    <xf numFmtId="9" fontId="9" fillId="5" borderId="0" xfId="1" applyFont="1" applyFill="1" applyAlignment="1">
      <alignment horizontal="center" vertical="center" wrapText="1"/>
    </xf>
    <xf numFmtId="3" fontId="1" fillId="0" borderId="0" xfId="0" applyNumberFormat="1" applyFont="1" applyAlignment="1">
      <alignment horizontal="center" vertical="center" wrapText="1"/>
    </xf>
    <xf numFmtId="0" fontId="1" fillId="7" borderId="0" xfId="0" applyFont="1" applyFill="1" applyAlignment="1">
      <alignment horizontal="center" vertical="center" wrapText="1"/>
    </xf>
    <xf numFmtId="0" fontId="11" fillId="7" borderId="0" xfId="0" applyFont="1" applyFill="1" applyAlignment="1">
      <alignment horizontal="center" vertical="center" wrapText="1"/>
    </xf>
    <xf numFmtId="3" fontId="0" fillId="0" borderId="0" xfId="0" applyNumberFormat="1" applyAlignment="1">
      <alignment horizontal="center" vertical="center" wrapText="1"/>
    </xf>
    <xf numFmtId="3" fontId="0" fillId="0" borderId="0" xfId="0" applyNumberFormat="1" applyAlignment="1">
      <alignment horizontal="center"/>
    </xf>
    <xf numFmtId="3" fontId="2" fillId="13" borderId="16" xfId="0" applyNumberFormat="1" applyFont="1" applyFill="1" applyBorder="1" applyAlignment="1">
      <alignment horizontal="center"/>
    </xf>
    <xf numFmtId="0" fontId="0" fillId="0" borderId="21" xfId="0" quotePrefix="1" applyBorder="1" applyAlignment="1">
      <alignment horizontal="center"/>
    </xf>
    <xf numFmtId="0" fontId="0" fillId="0" borderId="23" xfId="0" quotePrefix="1" applyBorder="1" applyAlignment="1">
      <alignment horizontal="center"/>
    </xf>
    <xf numFmtId="3" fontId="2" fillId="0" borderId="18" xfId="0" applyNumberFormat="1" applyFont="1" applyBorder="1" applyAlignment="1">
      <alignment horizontal="center"/>
    </xf>
    <xf numFmtId="0" fontId="24" fillId="12" borderId="26" xfId="0" applyFont="1" applyFill="1" applyBorder="1" applyAlignment="1">
      <alignment vertical="center"/>
    </xf>
    <xf numFmtId="165" fontId="24" fillId="12" borderId="22" xfId="1" applyNumberFormat="1" applyFont="1" applyFill="1" applyBorder="1" applyAlignment="1">
      <alignment horizontal="center"/>
    </xf>
    <xf numFmtId="165" fontId="0" fillId="0" borderId="22" xfId="0" applyNumberFormat="1" applyBorder="1" applyAlignment="1">
      <alignment horizontal="center"/>
    </xf>
    <xf numFmtId="0" fontId="0" fillId="0" borderId="22" xfId="0" applyBorder="1" applyAlignment="1">
      <alignment horizontal="center"/>
    </xf>
    <xf numFmtId="3" fontId="2" fillId="0" borderId="18" xfId="0" quotePrefix="1" applyNumberFormat="1" applyFont="1" applyBorder="1" applyAlignment="1">
      <alignment horizontal="center"/>
    </xf>
    <xf numFmtId="0" fontId="2" fillId="0" borderId="19" xfId="0" quotePrefix="1" applyFont="1" applyBorder="1" applyAlignment="1">
      <alignment horizontal="center"/>
    </xf>
    <xf numFmtId="0" fontId="24" fillId="4" borderId="0" xfId="0" applyFont="1" applyFill="1"/>
    <xf numFmtId="0" fontId="2" fillId="4" borderId="0" xfId="0" applyFont="1" applyFill="1" applyAlignment="1">
      <alignment horizontal="left"/>
    </xf>
    <xf numFmtId="0" fontId="2" fillId="0" borderId="0" xfId="0" applyFont="1" applyAlignment="1">
      <alignment horizontal="left"/>
    </xf>
    <xf numFmtId="0" fontId="12" fillId="4" borderId="0" xfId="0" applyFont="1" applyFill="1" applyAlignment="1">
      <alignment horizontal="left"/>
    </xf>
    <xf numFmtId="0" fontId="0" fillId="0" borderId="0" xfId="0" applyAlignment="1">
      <alignment horizontal="left"/>
    </xf>
    <xf numFmtId="0" fontId="0" fillId="4" borderId="0" xfId="0" applyFill="1" applyAlignment="1">
      <alignment horizontal="left"/>
    </xf>
    <xf numFmtId="0" fontId="0" fillId="0" borderId="0" xfId="0" applyAlignment="1">
      <alignment horizontal="right"/>
    </xf>
    <xf numFmtId="3" fontId="0" fillId="0" borderId="18" xfId="0" applyNumberFormat="1" applyBorder="1" applyAlignment="1">
      <alignment horizontal="center"/>
    </xf>
    <xf numFmtId="0" fontId="2" fillId="13" borderId="19" xfId="0" applyFont="1" applyFill="1" applyBorder="1" applyAlignment="1">
      <alignment horizontal="center"/>
    </xf>
    <xf numFmtId="9" fontId="1" fillId="0" borderId="22" xfId="1" applyBorder="1" applyAlignment="1">
      <alignment horizontal="center"/>
    </xf>
    <xf numFmtId="0" fontId="2" fillId="12" borderId="20" xfId="0" applyFont="1" applyFill="1" applyBorder="1" applyAlignment="1">
      <alignment horizontal="center"/>
    </xf>
    <xf numFmtId="0" fontId="0" fillId="0" borderId="17" xfId="0" quotePrefix="1" applyBorder="1" applyAlignment="1">
      <alignment horizontal="center"/>
    </xf>
    <xf numFmtId="0" fontId="0" fillId="0" borderId="26" xfId="0" quotePrefix="1" applyBorder="1" applyAlignment="1">
      <alignment horizontal="center"/>
    </xf>
    <xf numFmtId="3" fontId="25" fillId="12" borderId="26" xfId="0" quotePrefix="1" applyNumberFormat="1" applyFont="1" applyFill="1" applyBorder="1" applyAlignment="1">
      <alignment horizontal="center"/>
    </xf>
    <xf numFmtId="0" fontId="14" fillId="12" borderId="17" xfId="0" applyFont="1" applyFill="1" applyBorder="1" applyAlignment="1">
      <alignment horizontal="centerContinuous"/>
    </xf>
    <xf numFmtId="9" fontId="1" fillId="0" borderId="0" xfId="1" applyAlignment="1">
      <alignment horizontal="center"/>
    </xf>
    <xf numFmtId="0" fontId="0" fillId="0" borderId="0" xfId="0" applyAlignment="1">
      <alignment vertical="top" wrapText="1"/>
    </xf>
    <xf numFmtId="0" fontId="2" fillId="14" borderId="0" xfId="0" applyFont="1" applyFill="1"/>
    <xf numFmtId="0" fontId="2" fillId="14" borderId="0" xfId="0" applyFont="1" applyFill="1" applyAlignment="1">
      <alignment horizontal="center"/>
    </xf>
    <xf numFmtId="0" fontId="2" fillId="14" borderId="0" xfId="0" applyFont="1" applyFill="1" applyAlignment="1">
      <alignment wrapText="1"/>
    </xf>
    <xf numFmtId="0" fontId="27" fillId="0" borderId="0" xfId="2"/>
    <xf numFmtId="0" fontId="0" fillId="0" borderId="0" xfId="0" applyAlignment="1">
      <alignment wrapText="1"/>
    </xf>
    <xf numFmtId="0" fontId="7" fillId="2" borderId="6"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9" fillId="0" borderId="6" xfId="0" applyFont="1" applyBorder="1" applyAlignment="1">
      <alignment horizontal="center" vertical="center" wrapText="1"/>
    </xf>
    <xf numFmtId="3" fontId="9" fillId="0" borderId="6" xfId="0" applyNumberFormat="1" applyFont="1" applyBorder="1" applyAlignment="1">
      <alignment horizontal="center" vertical="center" wrapText="1"/>
    </xf>
    <xf numFmtId="3" fontId="9" fillId="0" borderId="11" xfId="0" applyNumberFormat="1" applyFont="1" applyBorder="1" applyAlignment="1">
      <alignment horizontal="center" vertical="center" wrapText="1"/>
    </xf>
    <xf numFmtId="3" fontId="9" fillId="15" borderId="11" xfId="0" applyNumberFormat="1" applyFont="1" applyFill="1" applyBorder="1" applyAlignment="1">
      <alignment horizontal="center" vertical="center" wrapText="1"/>
    </xf>
    <xf numFmtId="0" fontId="9" fillId="0" borderId="14" xfId="0" applyFont="1" applyBorder="1" applyAlignment="1">
      <alignment horizontal="center"/>
    </xf>
    <xf numFmtId="3" fontId="9" fillId="0" borderId="7" xfId="0" applyNumberFormat="1" applyFont="1" applyBorder="1" applyAlignment="1">
      <alignment horizontal="center" vertical="center" wrapText="1"/>
    </xf>
    <xf numFmtId="0" fontId="9" fillId="15" borderId="6" xfId="0" applyFont="1" applyFill="1" applyBorder="1" applyAlignment="1">
      <alignment horizontal="center" vertical="center" wrapText="1"/>
    </xf>
    <xf numFmtId="0" fontId="9" fillId="15" borderId="13" xfId="0" applyFont="1" applyFill="1" applyBorder="1" applyAlignment="1">
      <alignment horizontal="center" vertical="center" wrapText="1"/>
    </xf>
    <xf numFmtId="0" fontId="9" fillId="0" borderId="6" xfId="0" quotePrefix="1" applyFont="1" applyBorder="1" applyAlignment="1">
      <alignment horizontal="center" vertical="center" wrapText="1"/>
    </xf>
    <xf numFmtId="3" fontId="9" fillId="0" borderId="13"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0" fontId="9" fillId="0" borderId="14" xfId="0" applyFont="1" applyBorder="1" applyAlignment="1">
      <alignment horizontal="center" vertical="center" wrapText="1"/>
    </xf>
    <xf numFmtId="0" fontId="9" fillId="15" borderId="7" xfId="0" applyFont="1" applyFill="1" applyBorder="1" applyAlignment="1">
      <alignment horizontal="center" vertical="center" wrapText="1"/>
    </xf>
    <xf numFmtId="0" fontId="9" fillId="0" borderId="7" xfId="0" quotePrefix="1"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quotePrefix="1" applyFont="1" applyBorder="1" applyAlignment="1">
      <alignment horizontal="center"/>
    </xf>
    <xf numFmtId="0" fontId="9" fillId="0" borderId="12" xfId="0" applyFont="1" applyBorder="1" applyAlignment="1">
      <alignment horizontal="center" vertical="center"/>
    </xf>
    <xf numFmtId="3" fontId="9" fillId="0" borderId="14" xfId="0" applyNumberFormat="1" applyFont="1" applyBorder="1" applyAlignment="1">
      <alignment horizontal="center" vertical="center" wrapText="1"/>
    </xf>
    <xf numFmtId="0" fontId="9" fillId="0" borderId="9" xfId="0" applyFont="1" applyBorder="1" applyAlignment="1">
      <alignment horizontal="center" vertical="center"/>
    </xf>
    <xf numFmtId="3" fontId="9" fillId="0" borderId="5" xfId="0" applyNumberFormat="1" applyFont="1" applyBorder="1" applyAlignment="1">
      <alignment horizontal="center" vertical="center" wrapText="1"/>
    </xf>
    <xf numFmtId="3" fontId="9" fillId="0" borderId="9" xfId="0" applyNumberFormat="1" applyFont="1" applyBorder="1" applyAlignment="1">
      <alignment horizontal="center" vertical="center" wrapText="1"/>
    </xf>
    <xf numFmtId="0" fontId="9" fillId="4" borderId="6" xfId="0" applyFont="1" applyFill="1" applyBorder="1" applyAlignment="1">
      <alignment horizontal="center" vertical="center" wrapText="1"/>
    </xf>
    <xf numFmtId="3" fontId="9" fillId="4" borderId="6" xfId="0" applyNumberFormat="1" applyFont="1" applyFill="1" applyBorder="1" applyAlignment="1">
      <alignment horizontal="center" vertical="center" wrapText="1"/>
    </xf>
    <xf numFmtId="3" fontId="9" fillId="4" borderId="14" xfId="0" applyNumberFormat="1" applyFont="1" applyFill="1" applyBorder="1" applyAlignment="1">
      <alignment horizontal="center" vertical="center" wrapText="1"/>
    </xf>
    <xf numFmtId="0" fontId="9" fillId="4" borderId="6" xfId="0" quotePrefix="1" applyFont="1" applyFill="1" applyBorder="1" applyAlignment="1">
      <alignment horizontal="center" vertical="center" wrapText="1"/>
    </xf>
    <xf numFmtId="3" fontId="9" fillId="4" borderId="10" xfId="0" applyNumberFormat="1" applyFont="1" applyFill="1" applyBorder="1" applyAlignment="1">
      <alignment horizontal="center" vertical="center" wrapText="1"/>
    </xf>
    <xf numFmtId="3" fontId="9" fillId="4" borderId="13" xfId="0" applyNumberFormat="1" applyFont="1" applyFill="1" applyBorder="1" applyAlignment="1">
      <alignment horizontal="center" vertical="center" wrapText="1"/>
    </xf>
    <xf numFmtId="0" fontId="0" fillId="4" borderId="0" xfId="0" applyFill="1" applyAlignment="1">
      <alignment horizontal="right"/>
    </xf>
    <xf numFmtId="0" fontId="0" fillId="4" borderId="0" xfId="0" applyFill="1"/>
    <xf numFmtId="0" fontId="27" fillId="0" borderId="0" xfId="2" applyAlignment="1">
      <alignment vertical="center"/>
    </xf>
    <xf numFmtId="0" fontId="28" fillId="0" borderId="0" xfId="0" applyFont="1"/>
    <xf numFmtId="3" fontId="2" fillId="0" borderId="19" xfId="0" quotePrefix="1" applyNumberFormat="1" applyFont="1" applyBorder="1" applyAlignment="1">
      <alignment horizontal="center"/>
    </xf>
    <xf numFmtId="3" fontId="2" fillId="0" borderId="0" xfId="0" quotePrefix="1" applyNumberFormat="1" applyFont="1" applyAlignment="1">
      <alignment horizontal="center"/>
    </xf>
    <xf numFmtId="0" fontId="0" fillId="0" borderId="22" xfId="0" applyBorder="1" applyAlignment="1">
      <alignment horizontal="right"/>
    </xf>
    <xf numFmtId="0" fontId="0" fillId="0" borderId="0" xfId="0" applyAlignment="1">
      <alignment horizontal="left" wrapText="1"/>
    </xf>
    <xf numFmtId="3" fontId="0" fillId="0" borderId="22" xfId="0" applyNumberFormat="1" applyBorder="1"/>
    <xf numFmtId="10" fontId="0" fillId="0" borderId="0" xfId="0" applyNumberFormat="1"/>
    <xf numFmtId="1" fontId="0" fillId="0" borderId="0" xfId="0" applyNumberFormat="1"/>
    <xf numFmtId="10" fontId="2" fillId="0" borderId="0" xfId="0" applyNumberFormat="1" applyFont="1"/>
    <xf numFmtId="10" fontId="0" fillId="0" borderId="0" xfId="0" applyNumberFormat="1" applyAlignment="1">
      <alignment horizontal="right"/>
    </xf>
    <xf numFmtId="0" fontId="0" fillId="0" borderId="0" xfId="0" applyAlignment="1">
      <alignment horizontal="center" vertical="center" textRotation="90" wrapText="1"/>
    </xf>
    <xf numFmtId="3" fontId="0" fillId="13" borderId="0" xfId="0" applyNumberFormat="1" applyFill="1"/>
    <xf numFmtId="164" fontId="0" fillId="0" borderId="0" xfId="0" applyNumberFormat="1" applyAlignment="1">
      <alignment horizontal="center"/>
    </xf>
    <xf numFmtId="3" fontId="0" fillId="13" borderId="0" xfId="0" applyNumberFormat="1" applyFill="1" applyAlignment="1">
      <alignment horizontal="center"/>
    </xf>
    <xf numFmtId="164" fontId="0" fillId="13" borderId="0" xfId="1" applyNumberFormat="1" applyFont="1" applyFill="1" applyAlignment="1">
      <alignment horizontal="center"/>
    </xf>
    <xf numFmtId="0" fontId="0" fillId="13" borderId="0" xfId="0" applyFill="1"/>
    <xf numFmtId="164" fontId="0" fillId="0" borderId="0" xfId="1" applyNumberFormat="1" applyFont="1" applyAlignment="1">
      <alignment horizontal="center"/>
    </xf>
    <xf numFmtId="0" fontId="0" fillId="13" borderId="0" xfId="0" applyFill="1" applyAlignment="1">
      <alignment horizontal="center"/>
    </xf>
    <xf numFmtId="164" fontId="0" fillId="13" borderId="0" xfId="0" applyNumberFormat="1" applyFill="1" applyAlignment="1">
      <alignment horizontal="center"/>
    </xf>
    <xf numFmtId="0" fontId="0" fillId="0" borderId="0" xfId="0" applyAlignment="1">
      <alignment horizontal="center" vertical="center" textRotation="90"/>
    </xf>
    <xf numFmtId="164" fontId="0" fillId="13" borderId="0" xfId="0" applyNumberFormat="1" applyFill="1"/>
    <xf numFmtId="164" fontId="0" fillId="0" borderId="0" xfId="0" applyNumberFormat="1" applyAlignment="1">
      <alignment horizontal="right"/>
    </xf>
    <xf numFmtId="3" fontId="0" fillId="0" borderId="24" xfId="0" applyNumberFormat="1" applyBorder="1"/>
    <xf numFmtId="3" fontId="0" fillId="0" borderId="25" xfId="0" applyNumberFormat="1" applyBorder="1" applyAlignment="1">
      <alignment horizontal="right"/>
    </xf>
    <xf numFmtId="3" fontId="0" fillId="0" borderId="23" xfId="0" applyNumberFormat="1" applyBorder="1" applyAlignment="1">
      <alignment horizontal="right"/>
    </xf>
    <xf numFmtId="3" fontId="0" fillId="0" borderId="27" xfId="0" applyNumberFormat="1" applyBorder="1"/>
    <xf numFmtId="3" fontId="0" fillId="0" borderId="18" xfId="0" applyNumberFormat="1" applyBorder="1" applyAlignment="1">
      <alignment horizontal="right"/>
    </xf>
    <xf numFmtId="3" fontId="0" fillId="0" borderId="27" xfId="0" applyNumberFormat="1" applyBorder="1" applyAlignment="1">
      <alignment horizontal="right"/>
    </xf>
    <xf numFmtId="9" fontId="11" fillId="0" borderId="23" xfId="1" quotePrefix="1" applyFont="1" applyBorder="1" applyAlignment="1">
      <alignment horizontal="center"/>
    </xf>
    <xf numFmtId="9" fontId="25" fillId="12" borderId="23" xfId="1" applyFont="1" applyFill="1" applyBorder="1" applyAlignment="1">
      <alignment horizontal="center"/>
    </xf>
    <xf numFmtId="0" fontId="20" fillId="16" borderId="0" xfId="0" applyFont="1" applyFill="1" applyAlignment="1">
      <alignment vertical="center"/>
    </xf>
    <xf numFmtId="0" fontId="19" fillId="16" borderId="0" xfId="0" applyFont="1" applyFill="1" applyAlignment="1">
      <alignment vertical="center"/>
    </xf>
    <xf numFmtId="0" fontId="18" fillId="16" borderId="0" xfId="0" applyFont="1" applyFill="1" applyAlignment="1">
      <alignment vertical="center"/>
    </xf>
    <xf numFmtId="0" fontId="19" fillId="16" borderId="0" xfId="0" applyFont="1" applyFill="1"/>
    <xf numFmtId="0" fontId="21" fillId="16" borderId="0" xfId="0" applyFont="1" applyFill="1" applyAlignment="1">
      <alignment vertical="center"/>
    </xf>
    <xf numFmtId="0" fontId="0" fillId="16" borderId="0" xfId="0" applyFill="1"/>
    <xf numFmtId="0" fontId="2" fillId="8" borderId="0" xfId="0" applyFont="1" applyFill="1" applyAlignment="1">
      <alignment horizontal="center" vertical="center" textRotation="90"/>
    </xf>
    <xf numFmtId="0" fontId="24" fillId="8" borderId="0" xfId="0" applyFont="1" applyFill="1" applyAlignment="1">
      <alignment vertical="center"/>
    </xf>
    <xf numFmtId="165" fontId="24" fillId="8" borderId="0" xfId="1" applyNumberFormat="1" applyFont="1" applyFill="1" applyAlignment="1">
      <alignment horizontal="center"/>
    </xf>
    <xf numFmtId="3" fontId="25" fillId="8" borderId="0" xfId="0" quotePrefix="1" applyNumberFormat="1" applyFont="1" applyFill="1" applyAlignment="1">
      <alignment horizontal="center"/>
    </xf>
    <xf numFmtId="9" fontId="25" fillId="8" borderId="0" xfId="1" applyFont="1" applyFill="1" applyAlignment="1">
      <alignment horizontal="center"/>
    </xf>
    <xf numFmtId="0" fontId="29" fillId="8" borderId="0" xfId="0" applyFont="1" applyFill="1"/>
    <xf numFmtId="0" fontId="30" fillId="8" borderId="15" xfId="0" applyFont="1" applyFill="1" applyBorder="1" applyAlignment="1">
      <alignment horizontal="center"/>
    </xf>
    <xf numFmtId="165" fontId="30" fillId="8" borderId="16" xfId="0" applyNumberFormat="1" applyFont="1" applyFill="1" applyBorder="1" applyAlignment="1">
      <alignment horizontal="center"/>
    </xf>
    <xf numFmtId="0" fontId="28" fillId="8" borderId="0" xfId="0" applyFont="1" applyFill="1"/>
    <xf numFmtId="0" fontId="2" fillId="9" borderId="17" xfId="0" applyFont="1" applyFill="1" applyBorder="1" applyAlignment="1">
      <alignment horizontal="center"/>
    </xf>
    <xf numFmtId="0" fontId="2" fillId="9" borderId="29" xfId="0" quotePrefix="1" applyFont="1" applyFill="1" applyBorder="1" applyAlignment="1">
      <alignment horizontal="centerContinuous"/>
    </xf>
    <xf numFmtId="0" fontId="2" fillId="9" borderId="29" xfId="0" applyFont="1" applyFill="1" applyBorder="1" applyAlignment="1">
      <alignment horizontal="centerContinuous"/>
    </xf>
    <xf numFmtId="0" fontId="2" fillId="9" borderId="16" xfId="0" applyFont="1" applyFill="1" applyBorder="1" applyAlignment="1">
      <alignment horizontal="centerContinuous"/>
    </xf>
    <xf numFmtId="0" fontId="2" fillId="9" borderId="0" xfId="0" applyFont="1" applyFill="1" applyAlignment="1">
      <alignment horizontal="center" vertical="center"/>
    </xf>
    <xf numFmtId="0" fontId="2" fillId="18" borderId="15" xfId="0" applyFont="1" applyFill="1" applyBorder="1"/>
    <xf numFmtId="0" fontId="0" fillId="18" borderId="16" xfId="0" applyFill="1" applyBorder="1"/>
    <xf numFmtId="0" fontId="14" fillId="19" borderId="17" xfId="0" applyFont="1" applyFill="1" applyBorder="1" applyAlignment="1">
      <alignment horizontal="centerContinuous"/>
    </xf>
    <xf numFmtId="0" fontId="0" fillId="19" borderId="18" xfId="0" applyFill="1" applyBorder="1" applyAlignment="1">
      <alignment horizontal="centerContinuous"/>
    </xf>
    <xf numFmtId="0" fontId="14" fillId="19" borderId="19" xfId="0" applyFont="1" applyFill="1" applyBorder="1" applyAlignment="1">
      <alignment horizontal="centerContinuous"/>
    </xf>
    <xf numFmtId="0" fontId="2" fillId="19" borderId="19" xfId="0" applyFont="1" applyFill="1" applyBorder="1" applyAlignment="1">
      <alignment horizontal="centerContinuous"/>
    </xf>
    <xf numFmtId="0" fontId="2" fillId="19" borderId="18" xfId="0" applyFont="1" applyFill="1" applyBorder="1" applyAlignment="1">
      <alignment horizontal="centerContinuous"/>
    </xf>
    <xf numFmtId="0" fontId="2" fillId="19" borderId="20" xfId="0" applyFont="1" applyFill="1" applyBorder="1" applyAlignment="1">
      <alignment horizontal="center" vertical="center"/>
    </xf>
    <xf numFmtId="0" fontId="2" fillId="19" borderId="21" xfId="0" applyFont="1" applyFill="1" applyBorder="1" applyAlignment="1">
      <alignment horizontal="center" vertical="center"/>
    </xf>
    <xf numFmtId="0" fontId="2" fillId="19" borderId="22" xfId="0" applyFont="1" applyFill="1" applyBorder="1" applyAlignment="1">
      <alignment horizontal="center" vertical="center"/>
    </xf>
    <xf numFmtId="0" fontId="2" fillId="19" borderId="23" xfId="0" applyFont="1" applyFill="1" applyBorder="1" applyAlignment="1">
      <alignment horizontal="center" vertical="center"/>
    </xf>
    <xf numFmtId="0" fontId="2" fillId="19" borderId="15" xfId="0" applyFont="1" applyFill="1" applyBorder="1" applyAlignment="1">
      <alignment horizontal="center" vertical="center"/>
    </xf>
    <xf numFmtId="0" fontId="2" fillId="19" borderId="18" xfId="0" applyFont="1" applyFill="1" applyBorder="1" applyAlignment="1">
      <alignment horizontal="center" vertical="center"/>
    </xf>
    <xf numFmtId="0" fontId="2" fillId="19" borderId="15" xfId="0" applyFont="1" applyFill="1" applyBorder="1" applyAlignment="1">
      <alignment horizontal="centerContinuous"/>
    </xf>
    <xf numFmtId="0" fontId="0" fillId="19" borderId="29" xfId="0" applyFill="1" applyBorder="1" applyAlignment="1">
      <alignment horizontal="centerContinuous"/>
    </xf>
    <xf numFmtId="3" fontId="2" fillId="19" borderId="15" xfId="0" applyNumberFormat="1" applyFont="1" applyFill="1" applyBorder="1"/>
    <xf numFmtId="3" fontId="2" fillId="19" borderId="16" xfId="0" applyNumberFormat="1" applyFont="1" applyFill="1" applyBorder="1"/>
    <xf numFmtId="3" fontId="2" fillId="19" borderId="29" xfId="0" applyNumberFormat="1" applyFont="1" applyFill="1" applyBorder="1"/>
    <xf numFmtId="3" fontId="2" fillId="19" borderId="28" xfId="0" applyNumberFormat="1" applyFont="1" applyFill="1" applyBorder="1"/>
    <xf numFmtId="0" fontId="2" fillId="13" borderId="21" xfId="0" applyFont="1" applyFill="1" applyBorder="1" applyAlignment="1">
      <alignment horizontal="center"/>
    </xf>
    <xf numFmtId="3" fontId="30" fillId="0" borderId="29" xfId="0" applyNumberFormat="1" applyFont="1" applyBorder="1" applyAlignment="1">
      <alignment horizontal="center"/>
    </xf>
    <xf numFmtId="3" fontId="30" fillId="0" borderId="16" xfId="0" applyNumberFormat="1" applyFont="1" applyBorder="1" applyAlignment="1">
      <alignment horizontal="center"/>
    </xf>
    <xf numFmtId="3" fontId="0" fillId="0" borderId="25" xfId="0" applyNumberFormat="1" applyBorder="1" applyAlignment="1">
      <alignment horizontal="right" vertical="center"/>
    </xf>
    <xf numFmtId="3" fontId="0" fillId="0" borderId="27" xfId="0" applyNumberFormat="1" applyBorder="1" applyAlignment="1">
      <alignment horizontal="right" vertical="center"/>
    </xf>
    <xf numFmtId="0" fontId="2" fillId="17" borderId="17" xfId="0" applyFont="1" applyFill="1" applyBorder="1" applyAlignment="1">
      <alignment horizontal="center" vertical="center"/>
    </xf>
    <xf numFmtId="0" fontId="0" fillId="17" borderId="18" xfId="0" applyFill="1" applyBorder="1" applyAlignment="1">
      <alignment horizontal="center" vertical="center"/>
    </xf>
    <xf numFmtId="0" fontId="0" fillId="17" borderId="20" xfId="0" applyFill="1" applyBorder="1" applyAlignment="1">
      <alignment horizontal="center" vertical="center"/>
    </xf>
    <xf numFmtId="0" fontId="0" fillId="17" borderId="21" xfId="0" applyFill="1" applyBorder="1" applyAlignment="1">
      <alignment horizontal="center" vertical="center"/>
    </xf>
    <xf numFmtId="0" fontId="2" fillId="0" borderId="15" xfId="0" applyFont="1" applyBorder="1" applyAlignment="1">
      <alignment horizontal="center" vertical="center" textRotation="90"/>
    </xf>
    <xf numFmtId="0" fontId="2" fillId="0" borderId="17" xfId="0" applyFont="1" applyBorder="1" applyAlignment="1">
      <alignment horizontal="center" vertical="center" textRotation="90"/>
    </xf>
    <xf numFmtId="0" fontId="2" fillId="0" borderId="24" xfId="0" applyFont="1" applyBorder="1" applyAlignment="1">
      <alignment horizontal="center" vertical="center" textRotation="90"/>
    </xf>
    <xf numFmtId="0" fontId="2" fillId="0" borderId="25" xfId="0" applyFont="1" applyBorder="1" applyAlignment="1">
      <alignment horizontal="center" vertical="center" textRotation="90"/>
    </xf>
    <xf numFmtId="0" fontId="0" fillId="0" borderId="25" xfId="0" applyBorder="1" applyAlignment="1">
      <alignment horizontal="center" vertical="center" textRotation="90"/>
    </xf>
    <xf numFmtId="0" fontId="0" fillId="0" borderId="27" xfId="0" applyBorder="1" applyAlignment="1">
      <alignment horizontal="center" vertical="center" textRotation="90"/>
    </xf>
    <xf numFmtId="0" fontId="2" fillId="0" borderId="28" xfId="0" applyFont="1" applyBorder="1" applyAlignment="1">
      <alignment horizontal="center" vertical="center"/>
    </xf>
    <xf numFmtId="0" fontId="2" fillId="0" borderId="20" xfId="0" applyFont="1" applyBorder="1" applyAlignment="1">
      <alignment horizontal="center" vertical="center" textRotation="90"/>
    </xf>
    <xf numFmtId="0" fontId="2" fillId="0" borderId="27" xfId="0" applyFont="1" applyBorder="1" applyAlignment="1">
      <alignment horizontal="center" vertical="center" textRotation="90"/>
    </xf>
    <xf numFmtId="0" fontId="7" fillId="15" borderId="8"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2" xfId="0" applyFont="1" applyBorder="1" applyAlignment="1">
      <alignment horizontal="center" vertical="center"/>
    </xf>
    <xf numFmtId="0" fontId="9" fillId="0" borderId="10" xfId="0" applyFont="1" applyBorder="1" applyAlignment="1">
      <alignment horizontal="center" vertical="center"/>
    </xf>
    <xf numFmtId="0" fontId="9" fillId="0" borderId="9" xfId="0" applyFont="1" applyBorder="1" applyAlignment="1">
      <alignment horizontal="center" vertical="center"/>
    </xf>
    <xf numFmtId="0" fontId="9" fillId="4" borderId="1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9" fillId="0" borderId="0" xfId="0" applyFont="1" applyAlignment="1">
      <alignment horizontal="center" vertical="center" wrapText="1"/>
    </xf>
    <xf numFmtId="0" fontId="7" fillId="2" borderId="0" xfId="0" applyFont="1" applyFill="1" applyAlignment="1">
      <alignment horizontal="center" vertical="center" wrapText="1"/>
    </xf>
    <xf numFmtId="0" fontId="7" fillId="2" borderId="13"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30" xfId="0" applyFont="1" applyBorder="1" applyAlignment="1">
      <alignment horizontal="center" vertical="center" wrapText="1"/>
    </xf>
    <xf numFmtId="0" fontId="0" fillId="0" borderId="12" xfId="0" applyBorder="1" applyAlignment="1">
      <alignment vertical="center" wrapText="1"/>
    </xf>
    <xf numFmtId="0" fontId="1" fillId="0" borderId="10" xfId="0" applyFont="1" applyBorder="1" applyAlignment="1">
      <alignment vertical="center" wrapText="1"/>
    </xf>
    <xf numFmtId="0" fontId="1" fillId="0" borderId="9" xfId="0" applyFont="1" applyBorder="1" applyAlignment="1">
      <alignmen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0" fillId="0" borderId="0" xfId="0" applyAlignment="1">
      <alignment horizontal="left" wrapText="1"/>
    </xf>
    <xf numFmtId="0" fontId="0" fillId="0" borderId="15"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1" xfId="0" applyBorder="1" applyAlignment="1">
      <alignment horizontal="center"/>
    </xf>
    <xf numFmtId="0" fontId="0" fillId="0" borderId="8" xfId="0" applyBorder="1" applyAlignment="1">
      <alignment horizontal="center"/>
    </xf>
    <xf numFmtId="0" fontId="0" fillId="0" borderId="7" xfId="0" applyBorder="1" applyAlignment="1">
      <alignment horizontal="center"/>
    </xf>
    <xf numFmtId="0" fontId="0" fillId="0" borderId="5" xfId="0" applyBorder="1" applyAlignment="1">
      <alignment horizontal="left"/>
    </xf>
    <xf numFmtId="0" fontId="0" fillId="0" borderId="0" xfId="0" applyAlignment="1">
      <alignment horizontal="left" vertical="top" wrapText="1"/>
    </xf>
    <xf numFmtId="0" fontId="0" fillId="0" borderId="22" xfId="0" applyBorder="1" applyAlignment="1">
      <alignment horizontal="left" wrapText="1"/>
    </xf>
    <xf numFmtId="0" fontId="0" fillId="0" borderId="0" xfId="0" applyAlignment="1">
      <alignment horizontal="left"/>
    </xf>
    <xf numFmtId="0" fontId="31" fillId="21" borderId="31" xfId="0" applyFont="1" applyFill="1" applyBorder="1" applyAlignment="1">
      <alignment horizontal="left" vertical="top" wrapText="1"/>
    </xf>
    <xf numFmtId="3" fontId="32" fillId="22" borderId="32" xfId="0" applyNumberFormat="1" applyFont="1" applyFill="1" applyBorder="1" applyAlignment="1">
      <alignment horizontal="center" vertical="center" wrapText="1"/>
    </xf>
    <xf numFmtId="0" fontId="32" fillId="22" borderId="32" xfId="0" applyFont="1" applyFill="1" applyBorder="1" applyAlignment="1">
      <alignment horizontal="center" vertical="center" wrapText="1"/>
    </xf>
    <xf numFmtId="3" fontId="32" fillId="20" borderId="32" xfId="0" applyNumberFormat="1" applyFont="1" applyFill="1" applyBorder="1" applyAlignment="1">
      <alignment horizontal="center" vertical="center" wrapText="1"/>
    </xf>
    <xf numFmtId="0" fontId="32" fillId="20" borderId="32" xfId="0" applyFont="1" applyFill="1" applyBorder="1" applyAlignment="1">
      <alignment horizontal="center" vertical="center" wrapText="1"/>
    </xf>
    <xf numFmtId="0" fontId="31" fillId="21" borderId="33" xfId="0" applyFont="1" applyFill="1" applyBorder="1" applyAlignment="1">
      <alignment horizontal="left" vertical="top" wrapText="1"/>
    </xf>
    <xf numFmtId="0" fontId="32" fillId="22" borderId="34" xfId="0" applyFont="1" applyFill="1" applyBorder="1" applyAlignment="1">
      <alignment vertical="center" wrapText="1"/>
    </xf>
    <xf numFmtId="0" fontId="32" fillId="20" borderId="34" xfId="0" applyFont="1" applyFill="1" applyBorder="1" applyAlignment="1">
      <alignment vertical="center" wrapText="1"/>
    </xf>
    <xf numFmtId="0" fontId="32" fillId="20" borderId="33" xfId="0" applyFont="1" applyFill="1" applyBorder="1" applyAlignment="1">
      <alignment vertical="center" wrapText="1"/>
    </xf>
    <xf numFmtId="3" fontId="32" fillId="20" borderId="31" xfId="0" applyNumberFormat="1" applyFont="1" applyFill="1" applyBorder="1" applyAlignment="1">
      <alignment horizontal="center" vertical="center" wrapText="1"/>
    </xf>
    <xf numFmtId="0" fontId="32" fillId="20" borderId="31" xfId="0" applyFont="1" applyFill="1" applyBorder="1" applyAlignment="1">
      <alignment horizontal="center" vertical="center" wrapText="1"/>
    </xf>
    <xf numFmtId="0" fontId="23" fillId="0" borderId="0" xfId="0" applyFont="1" applyBorder="1" applyAlignment="1">
      <alignment vertical="center" wrapText="1"/>
    </xf>
    <xf numFmtId="0" fontId="31" fillId="21" borderId="35" xfId="0" applyFont="1" applyFill="1" applyBorder="1" applyAlignment="1">
      <alignment horizontal="lef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EAEFD1"/>
      <color rgb="FFD1DC9C"/>
      <color rgb="FFB3C55B"/>
      <color rgb="FF8D9D38"/>
      <color rgb="FF586323"/>
      <color rgb="FF5A0C2A"/>
      <color rgb="FFC01A55"/>
      <color rgb="FFEC749F"/>
      <color rgb="FFF3A7C2"/>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Current Fishery Distribution</a:t>
            </a:r>
            <a:r>
              <a:rPr lang="en-US" b="1" baseline="0">
                <a:solidFill>
                  <a:schemeClr val="tx1"/>
                </a:solidFill>
              </a:rPr>
              <a:t> </a:t>
            </a:r>
          </a:p>
          <a:p>
            <a:pPr>
              <a:defRPr b="1">
                <a:solidFill>
                  <a:schemeClr val="tx1"/>
                </a:solidFill>
              </a:defRPr>
            </a:pPr>
            <a:r>
              <a:rPr lang="en-US" b="1" baseline="0">
                <a:solidFill>
                  <a:schemeClr val="tx1"/>
                </a:solidFill>
              </a:rPr>
              <a:t>(Exploitation Rates)</a:t>
            </a:r>
            <a:endParaRPr lang="en-US" b="1">
              <a:solidFill>
                <a:schemeClr val="tx1"/>
              </a:solidFill>
            </a:endParaRPr>
          </a:p>
        </c:rich>
      </c:tx>
      <c:layout>
        <c:manualLayout>
          <c:xMode val="edge"/>
          <c:yMode val="edge"/>
          <c:x val="0.24757027915125748"/>
          <c:y val="1.139600564314637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021386336999589"/>
          <c:y val="0.17450417205312022"/>
          <c:w val="0.54926023838227933"/>
          <c:h val="0.71819579269009282"/>
        </c:manualLayout>
      </c:layout>
      <c:pieChart>
        <c:varyColors val="1"/>
        <c:ser>
          <c:idx val="0"/>
          <c:order val="0"/>
          <c:tx>
            <c:v>L Col R Comm</c:v>
          </c:tx>
          <c:spPr>
            <a:solidFill>
              <a:srgbClr val="8D9D38"/>
            </a:solidFill>
          </c:spPr>
          <c:dPt>
            <c:idx val="0"/>
            <c:bubble3D val="0"/>
            <c:spPr>
              <a:solidFill>
                <a:srgbClr val="8D9D38"/>
              </a:solidFill>
              <a:ln w="19050">
                <a:solidFill>
                  <a:schemeClr val="lt1"/>
                </a:solidFill>
              </a:ln>
              <a:effectLst/>
            </c:spPr>
            <c:extLst>
              <c:ext xmlns:c16="http://schemas.microsoft.com/office/drawing/2014/chart" uri="{C3380CC4-5D6E-409C-BE32-E72D297353CC}">
                <c16:uniqueId val="{00000001-5049-4407-8614-10DFE50FB387}"/>
              </c:ext>
            </c:extLst>
          </c:dPt>
          <c:dLbls>
            <c:dLbl>
              <c:idx val="0"/>
              <c:layout>
                <c:manualLayout>
                  <c:x val="5.3426535547624811E-2"/>
                  <c:y val="0.15431740409881964"/>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743797770528894"/>
                      <c:h val="0.20066857553631426"/>
                    </c:manualLayout>
                  </c15:layout>
                </c:ext>
                <c:ext xmlns:c16="http://schemas.microsoft.com/office/drawing/2014/chart" uri="{C3380CC4-5D6E-409C-BE32-E72D297353CC}">
                  <c16:uniqueId val="{00000001-5049-4407-8614-10DFE50FB38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'T2 Fishery'!$Q$23</c:f>
              <c:strCache>
                <c:ptCount val="1"/>
                <c:pt idx="0">
                  <c:v>LCR Commercial</c:v>
                </c:pt>
              </c:strCache>
            </c:strRef>
          </c:cat>
          <c:val>
            <c:numRef>
              <c:f>Summary!$U$34</c:f>
              <c:numCache>
                <c:formatCode>0.0%</c:formatCode>
                <c:ptCount val="1"/>
                <c:pt idx="0">
                  <c:v>6.0000000000000001E-3</c:v>
                </c:pt>
              </c:numCache>
            </c:numRef>
          </c:val>
          <c:extLst>
            <c:ext xmlns:c16="http://schemas.microsoft.com/office/drawing/2014/chart" uri="{C3380CC4-5D6E-409C-BE32-E72D297353CC}">
              <c16:uniqueId val="{0000000E-5049-4407-8614-10DFE50FB387}"/>
            </c:ext>
          </c:extLst>
        </c:ser>
        <c:dLbls>
          <c:showLegendKey val="0"/>
          <c:showVal val="1"/>
          <c:showCatName val="0"/>
          <c:showSerName val="0"/>
          <c:showPercent val="0"/>
          <c:showBubbleSize val="0"/>
          <c:showLeaderLines val="0"/>
        </c:dLbls>
        <c:firstSliceAng val="218"/>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7517271715957"/>
          <c:y val="3.8744111884260982E-2"/>
          <c:w val="0.86025263077407477"/>
          <c:h val="0.85706417670872759"/>
        </c:manualLayout>
      </c:layout>
      <c:barChart>
        <c:barDir val="col"/>
        <c:grouping val="clustered"/>
        <c:varyColors val="0"/>
        <c:ser>
          <c:idx val="0"/>
          <c:order val="0"/>
          <c:spPr>
            <a:solidFill>
              <a:srgbClr val="586323"/>
            </a:solidFill>
            <a:ln>
              <a:solidFill>
                <a:schemeClr val="tx1"/>
              </a:solidFill>
            </a:ln>
            <a:effectLst/>
          </c:spPr>
          <c:invertIfNegative val="0"/>
          <c:cat>
            <c:numRef>
              <c:f>Run!$B$4:$B$82</c:f>
              <c:numCache>
                <c:formatCode>General</c:formatCode>
                <c:ptCount val="79"/>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pt idx="15">
                  <c:v>1953</c:v>
                </c:pt>
                <c:pt idx="16">
                  <c:v>1954</c:v>
                </c:pt>
                <c:pt idx="17">
                  <c:v>1955</c:v>
                </c:pt>
                <c:pt idx="18">
                  <c:v>1956</c:v>
                </c:pt>
                <c:pt idx="19">
                  <c:v>1957</c:v>
                </c:pt>
                <c:pt idx="20">
                  <c:v>1958</c:v>
                </c:pt>
                <c:pt idx="21">
                  <c:v>1959</c:v>
                </c:pt>
                <c:pt idx="22">
                  <c:v>1960</c:v>
                </c:pt>
                <c:pt idx="23">
                  <c:v>1961</c:v>
                </c:pt>
                <c:pt idx="24">
                  <c:v>1962</c:v>
                </c:pt>
                <c:pt idx="25">
                  <c:v>1963</c:v>
                </c:pt>
                <c:pt idx="26">
                  <c:v>1964</c:v>
                </c:pt>
                <c:pt idx="27">
                  <c:v>1965</c:v>
                </c:pt>
                <c:pt idx="28">
                  <c:v>1966</c:v>
                </c:pt>
                <c:pt idx="29">
                  <c:v>1967</c:v>
                </c:pt>
                <c:pt idx="30">
                  <c:v>1968</c:v>
                </c:pt>
                <c:pt idx="31">
                  <c:v>1969</c:v>
                </c:pt>
                <c:pt idx="32">
                  <c:v>1970</c:v>
                </c:pt>
                <c:pt idx="33">
                  <c:v>1971</c:v>
                </c:pt>
                <c:pt idx="34">
                  <c:v>1972</c:v>
                </c:pt>
                <c:pt idx="35">
                  <c:v>1973</c:v>
                </c:pt>
                <c:pt idx="36">
                  <c:v>1974</c:v>
                </c:pt>
                <c:pt idx="37">
                  <c:v>1975</c:v>
                </c:pt>
                <c:pt idx="38">
                  <c:v>1976</c:v>
                </c:pt>
                <c:pt idx="39">
                  <c:v>1977</c:v>
                </c:pt>
                <c:pt idx="40">
                  <c:v>1978</c:v>
                </c:pt>
                <c:pt idx="41">
                  <c:v>1979</c:v>
                </c:pt>
                <c:pt idx="42">
                  <c:v>1980</c:v>
                </c:pt>
                <c:pt idx="43">
                  <c:v>1981</c:v>
                </c:pt>
                <c:pt idx="44">
                  <c:v>1982</c:v>
                </c:pt>
                <c:pt idx="45">
                  <c:v>1983</c:v>
                </c:pt>
                <c:pt idx="46">
                  <c:v>1984</c:v>
                </c:pt>
                <c:pt idx="47">
                  <c:v>1985</c:v>
                </c:pt>
                <c:pt idx="48">
                  <c:v>1986</c:v>
                </c:pt>
                <c:pt idx="49">
                  <c:v>1987</c:v>
                </c:pt>
                <c:pt idx="50">
                  <c:v>1988</c:v>
                </c:pt>
                <c:pt idx="51">
                  <c:v>1989</c:v>
                </c:pt>
                <c:pt idx="52">
                  <c:v>1990</c:v>
                </c:pt>
                <c:pt idx="53">
                  <c:v>1991</c:v>
                </c:pt>
                <c:pt idx="54">
                  <c:v>1992</c:v>
                </c:pt>
                <c:pt idx="55">
                  <c:v>1993</c:v>
                </c:pt>
                <c:pt idx="56">
                  <c:v>1994</c:v>
                </c:pt>
                <c:pt idx="57">
                  <c:v>1995</c:v>
                </c:pt>
                <c:pt idx="58">
                  <c:v>1996</c:v>
                </c:pt>
                <c:pt idx="59">
                  <c:v>1997</c:v>
                </c:pt>
                <c:pt idx="60">
                  <c:v>1998</c:v>
                </c:pt>
                <c:pt idx="61">
                  <c:v>1999</c:v>
                </c:pt>
                <c:pt idx="62">
                  <c:v>2000</c:v>
                </c:pt>
                <c:pt idx="63">
                  <c:v>2001</c:v>
                </c:pt>
                <c:pt idx="64">
                  <c:v>2002</c:v>
                </c:pt>
                <c:pt idx="65">
                  <c:v>2003</c:v>
                </c:pt>
                <c:pt idx="66">
                  <c:v>2004</c:v>
                </c:pt>
                <c:pt idx="67">
                  <c:v>2005</c:v>
                </c:pt>
                <c:pt idx="68">
                  <c:v>2006</c:v>
                </c:pt>
                <c:pt idx="69">
                  <c:v>2007</c:v>
                </c:pt>
                <c:pt idx="70">
                  <c:v>2008</c:v>
                </c:pt>
                <c:pt idx="71">
                  <c:v>2009</c:v>
                </c:pt>
                <c:pt idx="72">
                  <c:v>2010</c:v>
                </c:pt>
                <c:pt idx="73">
                  <c:v>2011</c:v>
                </c:pt>
                <c:pt idx="74">
                  <c:v>2012</c:v>
                </c:pt>
                <c:pt idx="75">
                  <c:v>2013</c:v>
                </c:pt>
                <c:pt idx="76">
                  <c:v>2014</c:v>
                </c:pt>
                <c:pt idx="77">
                  <c:v>2015</c:v>
                </c:pt>
                <c:pt idx="78">
                  <c:v>2016</c:v>
                </c:pt>
              </c:numCache>
            </c:numRef>
          </c:cat>
          <c:val>
            <c:numRef>
              <c:f>Run!$C$4:$C$82</c:f>
              <c:numCache>
                <c:formatCode>General</c:formatCode>
                <c:ptCount val="79"/>
                <c:pt idx="0">
                  <c:v>157</c:v>
                </c:pt>
                <c:pt idx="1">
                  <c:v>96.3</c:v>
                </c:pt>
                <c:pt idx="2">
                  <c:v>102.8</c:v>
                </c:pt>
                <c:pt idx="3">
                  <c:v>340.1</c:v>
                </c:pt>
                <c:pt idx="4">
                  <c:v>425.5</c:v>
                </c:pt>
                <c:pt idx="5">
                  <c:v>78.7</c:v>
                </c:pt>
                <c:pt idx="6">
                  <c:v>22.6</c:v>
                </c:pt>
                <c:pt idx="7">
                  <c:v>48.3</c:v>
                </c:pt>
                <c:pt idx="8">
                  <c:v>72.7</c:v>
                </c:pt>
                <c:pt idx="9">
                  <c:v>40.700000000000003</c:v>
                </c:pt>
                <c:pt idx="10">
                  <c:v>85.6</c:v>
                </c:pt>
                <c:pt idx="11">
                  <c:v>44.7</c:v>
                </c:pt>
                <c:pt idx="12">
                  <c:v>58.9</c:v>
                </c:pt>
                <c:pt idx="13">
                  <c:v>46.1</c:v>
                </c:pt>
                <c:pt idx="14">
                  <c:v>28.9</c:v>
                </c:pt>
                <c:pt idx="15">
                  <c:v>22.9</c:v>
                </c:pt>
                <c:pt idx="16">
                  <c:v>28.5</c:v>
                </c:pt>
                <c:pt idx="17">
                  <c:v>10.7</c:v>
                </c:pt>
                <c:pt idx="18">
                  <c:v>4.7</c:v>
                </c:pt>
                <c:pt idx="19">
                  <c:v>4.2</c:v>
                </c:pt>
                <c:pt idx="20">
                  <c:v>8.3000000000000007</c:v>
                </c:pt>
                <c:pt idx="21">
                  <c:v>5.5</c:v>
                </c:pt>
                <c:pt idx="22">
                  <c:v>3</c:v>
                </c:pt>
                <c:pt idx="23">
                  <c:v>3.1</c:v>
                </c:pt>
                <c:pt idx="24">
                  <c:v>5.7</c:v>
                </c:pt>
                <c:pt idx="25">
                  <c:v>3</c:v>
                </c:pt>
                <c:pt idx="26">
                  <c:v>3.2</c:v>
                </c:pt>
                <c:pt idx="27">
                  <c:v>1.5</c:v>
                </c:pt>
                <c:pt idx="28">
                  <c:v>3.1</c:v>
                </c:pt>
                <c:pt idx="29">
                  <c:v>2.1</c:v>
                </c:pt>
                <c:pt idx="30">
                  <c:v>0.6</c:v>
                </c:pt>
                <c:pt idx="31">
                  <c:v>1.1000000000000001</c:v>
                </c:pt>
                <c:pt idx="32">
                  <c:v>1.2</c:v>
                </c:pt>
                <c:pt idx="33">
                  <c:v>1.1000000000000001</c:v>
                </c:pt>
                <c:pt idx="34">
                  <c:v>2.4</c:v>
                </c:pt>
                <c:pt idx="35">
                  <c:v>1.8</c:v>
                </c:pt>
                <c:pt idx="36">
                  <c:v>1.2</c:v>
                </c:pt>
                <c:pt idx="37">
                  <c:v>0.8</c:v>
                </c:pt>
                <c:pt idx="38">
                  <c:v>1.5</c:v>
                </c:pt>
                <c:pt idx="39">
                  <c:v>0.8</c:v>
                </c:pt>
                <c:pt idx="40">
                  <c:v>1.9</c:v>
                </c:pt>
                <c:pt idx="41">
                  <c:v>0.3</c:v>
                </c:pt>
                <c:pt idx="42">
                  <c:v>0.5</c:v>
                </c:pt>
                <c:pt idx="43">
                  <c:v>1.5</c:v>
                </c:pt>
                <c:pt idx="44">
                  <c:v>2.9</c:v>
                </c:pt>
                <c:pt idx="45">
                  <c:v>0.6</c:v>
                </c:pt>
                <c:pt idx="46">
                  <c:v>2.2999999999999998</c:v>
                </c:pt>
                <c:pt idx="47">
                  <c:v>1.3</c:v>
                </c:pt>
                <c:pt idx="48">
                  <c:v>3</c:v>
                </c:pt>
                <c:pt idx="49">
                  <c:v>2.5</c:v>
                </c:pt>
                <c:pt idx="50">
                  <c:v>4.8</c:v>
                </c:pt>
                <c:pt idx="51">
                  <c:v>2</c:v>
                </c:pt>
                <c:pt idx="52">
                  <c:v>2.9</c:v>
                </c:pt>
                <c:pt idx="53">
                  <c:v>1.3</c:v>
                </c:pt>
                <c:pt idx="54">
                  <c:v>4.9000000000000004</c:v>
                </c:pt>
                <c:pt idx="55">
                  <c:v>4.5</c:v>
                </c:pt>
                <c:pt idx="56">
                  <c:v>1.2</c:v>
                </c:pt>
                <c:pt idx="57">
                  <c:v>1.5</c:v>
                </c:pt>
                <c:pt idx="58">
                  <c:v>3.3</c:v>
                </c:pt>
                <c:pt idx="59">
                  <c:v>1.7</c:v>
                </c:pt>
                <c:pt idx="60">
                  <c:v>1.9</c:v>
                </c:pt>
                <c:pt idx="61">
                  <c:v>2.4</c:v>
                </c:pt>
                <c:pt idx="62">
                  <c:v>2.5</c:v>
                </c:pt>
                <c:pt idx="63">
                  <c:v>5.5</c:v>
                </c:pt>
                <c:pt idx="64">
                  <c:v>11.9</c:v>
                </c:pt>
                <c:pt idx="65" formatCode="0.000">
                  <c:v>9.3450000000000006</c:v>
                </c:pt>
                <c:pt idx="66" formatCode="0.000">
                  <c:v>11.481</c:v>
                </c:pt>
                <c:pt idx="67" formatCode="0.000">
                  <c:v>6.3570000000000002</c:v>
                </c:pt>
                <c:pt idx="68" formatCode="0.000">
                  <c:v>9.52</c:v>
                </c:pt>
                <c:pt idx="69" formatCode="0.000">
                  <c:v>5.3609999999999998</c:v>
                </c:pt>
                <c:pt idx="70" formatCode="0.000">
                  <c:v>4.0140000000000002</c:v>
                </c:pt>
                <c:pt idx="71" formatCode="0.000">
                  <c:v>4.8659999999999997</c:v>
                </c:pt>
                <c:pt idx="72" formatCode="0.000">
                  <c:v>10.609</c:v>
                </c:pt>
                <c:pt idx="73" formatCode="0.000">
                  <c:v>18.445</c:v>
                </c:pt>
                <c:pt idx="74" formatCode="0.000">
                  <c:v>11.891</c:v>
                </c:pt>
                <c:pt idx="75" formatCode="0.000">
                  <c:v>8.2870000000000008</c:v>
                </c:pt>
                <c:pt idx="76" formatCode="0.000">
                  <c:v>8.6059999999999999</c:v>
                </c:pt>
                <c:pt idx="77" formatCode="0.000">
                  <c:v>22.003</c:v>
                </c:pt>
                <c:pt idx="78" formatCode="0.000">
                  <c:v>42.277999999999999</c:v>
                </c:pt>
              </c:numCache>
            </c:numRef>
          </c:val>
          <c:extLst>
            <c:ext xmlns:c16="http://schemas.microsoft.com/office/drawing/2014/chart" uri="{C3380CC4-5D6E-409C-BE32-E72D297353CC}">
              <c16:uniqueId val="{00000000-2D06-4DB9-A0BF-A8E55031CAAE}"/>
            </c:ext>
          </c:extLst>
        </c:ser>
        <c:dLbls>
          <c:showLegendKey val="0"/>
          <c:showVal val="0"/>
          <c:showCatName val="0"/>
          <c:showSerName val="0"/>
          <c:showPercent val="0"/>
          <c:showBubbleSize val="0"/>
        </c:dLbls>
        <c:gapWidth val="0"/>
        <c:overlap val="-100"/>
        <c:axId val="85002112"/>
        <c:axId val="85003648"/>
      </c:barChart>
      <c:catAx>
        <c:axId val="850021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5003648"/>
        <c:crosses val="autoZero"/>
        <c:auto val="1"/>
        <c:lblAlgn val="ctr"/>
        <c:lblOffset val="100"/>
        <c:tickLblSkip val="5"/>
        <c:tickMarkSkip val="5"/>
        <c:noMultiLvlLbl val="0"/>
      </c:catAx>
      <c:valAx>
        <c:axId val="85003648"/>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600" b="1"/>
                  <a:t>Columbia River Run (thousands)</a:t>
                </a:r>
              </a:p>
            </c:rich>
          </c:tx>
          <c:layout>
            <c:manualLayout>
              <c:xMode val="edge"/>
              <c:yMode val="edge"/>
              <c:x val="9.8843102651790856E-3"/>
              <c:y val="0.19232447535303457"/>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5002112"/>
        <c:crosses val="autoZero"/>
        <c:crossBetween val="between"/>
        <c:majorUnit val="100"/>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Current Hatchery Production (fry)</a:t>
            </a:r>
          </a:p>
        </c:rich>
      </c:tx>
      <c:layout>
        <c:manualLayout>
          <c:xMode val="edge"/>
          <c:yMode val="edge"/>
          <c:x val="0.23757648152797203"/>
          <c:y val="2.861202413541597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831503423639406"/>
          <c:y val="0.15707999202980572"/>
          <c:w val="0.56307352649290221"/>
          <c:h val="0.78465866573206655"/>
        </c:manualLayout>
      </c:layout>
      <c:pieChart>
        <c:varyColors val="1"/>
        <c:ser>
          <c:idx val="0"/>
          <c:order val="0"/>
          <c:spPr>
            <a:ln w="3175">
              <a:solidFill>
                <a:schemeClr val="bg1"/>
              </a:solidFill>
            </a:ln>
          </c:spPr>
          <c:dPt>
            <c:idx val="0"/>
            <c:bubble3D val="0"/>
            <c:spPr>
              <a:solidFill>
                <a:srgbClr val="D1DC9C"/>
              </a:solidFill>
              <a:ln w="3175">
                <a:solidFill>
                  <a:schemeClr val="bg1"/>
                </a:solidFill>
              </a:ln>
              <a:effectLst/>
            </c:spPr>
            <c:extLst>
              <c:ext xmlns:c16="http://schemas.microsoft.com/office/drawing/2014/chart" uri="{C3380CC4-5D6E-409C-BE32-E72D297353CC}">
                <c16:uniqueId val="{00000001-ED26-42F4-A719-1849454A9F87}"/>
              </c:ext>
            </c:extLst>
          </c:dPt>
          <c:dPt>
            <c:idx val="1"/>
            <c:bubble3D val="0"/>
            <c:spPr>
              <a:solidFill>
                <a:srgbClr val="586323"/>
              </a:solidFill>
              <a:ln w="3175">
                <a:solidFill>
                  <a:schemeClr val="bg1"/>
                </a:solidFill>
              </a:ln>
              <a:effectLst/>
            </c:spPr>
            <c:extLst>
              <c:ext xmlns:c16="http://schemas.microsoft.com/office/drawing/2014/chart" uri="{C3380CC4-5D6E-409C-BE32-E72D297353CC}">
                <c16:uniqueId val="{00000003-ED26-42F4-A719-1849454A9F87}"/>
              </c:ext>
            </c:extLst>
          </c:dPt>
          <c:dPt>
            <c:idx val="2"/>
            <c:bubble3D val="0"/>
            <c:spPr>
              <a:solidFill>
                <a:srgbClr val="8D9D38"/>
              </a:solidFill>
              <a:ln w="3175">
                <a:solidFill>
                  <a:schemeClr val="bg1"/>
                </a:solidFill>
              </a:ln>
              <a:effectLst/>
            </c:spPr>
            <c:extLst>
              <c:ext xmlns:c16="http://schemas.microsoft.com/office/drawing/2014/chart" uri="{C3380CC4-5D6E-409C-BE32-E72D297353CC}">
                <c16:uniqueId val="{00000005-ED26-42F4-A719-1849454A9F87}"/>
              </c:ext>
            </c:extLst>
          </c:dPt>
          <c:dPt>
            <c:idx val="3"/>
            <c:bubble3D val="0"/>
            <c:spPr>
              <a:solidFill>
                <a:srgbClr val="B3C55B"/>
              </a:solidFill>
              <a:ln w="3175">
                <a:solidFill>
                  <a:schemeClr val="bg1"/>
                </a:solidFill>
              </a:ln>
              <a:effectLst/>
            </c:spPr>
            <c:extLst>
              <c:ext xmlns:c16="http://schemas.microsoft.com/office/drawing/2014/chart" uri="{C3380CC4-5D6E-409C-BE32-E72D297353CC}">
                <c16:uniqueId val="{00000007-ED26-42F4-A719-1849454A9F87}"/>
              </c:ext>
            </c:extLst>
          </c:dPt>
          <c:dLbls>
            <c:dLbl>
              <c:idx val="0"/>
              <c:layout>
                <c:manualLayout>
                  <c:x val="-0.37863193794290406"/>
                  <c:y val="-4.8871059918601384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4897655276547479"/>
                      <c:h val="9.4526074291341924E-2"/>
                    </c:manualLayout>
                  </c15:layout>
                </c:ext>
                <c:ext xmlns:c16="http://schemas.microsoft.com/office/drawing/2014/chart" uri="{C3380CC4-5D6E-409C-BE32-E72D297353CC}">
                  <c16:uniqueId val="{00000001-ED26-42F4-A719-1849454A9F87}"/>
                </c:ext>
              </c:extLst>
            </c:dLbl>
            <c:dLbl>
              <c:idx val="1"/>
              <c:layout>
                <c:manualLayout>
                  <c:x val="-3.6514555437572697E-3"/>
                  <c:y val="-3.651221753742825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26-42F4-A719-1849454A9F87}"/>
                </c:ext>
              </c:extLst>
            </c:dLbl>
            <c:dLbl>
              <c:idx val="2"/>
              <c:layout>
                <c:manualLayout>
                  <c:x val="6.2114873419729176E-2"/>
                  <c:y val="0.114120039278463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26-42F4-A719-1849454A9F87}"/>
                </c:ext>
              </c:extLst>
            </c:dLbl>
            <c:dLbl>
              <c:idx val="3"/>
              <c:layout>
                <c:manualLayout>
                  <c:x val="-1.5439163255151819E-2"/>
                  <c:y val="-1.92470785853438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0237541121718916"/>
                      <c:h val="0.24924396070991506"/>
                    </c:manualLayout>
                  </c15:layout>
                </c:ext>
                <c:ext xmlns:c16="http://schemas.microsoft.com/office/drawing/2014/chart" uri="{C3380CC4-5D6E-409C-BE32-E72D297353CC}">
                  <c16:uniqueId val="{00000007-ED26-42F4-A719-1849454A9F87}"/>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Summary!$S$25:$S$28</c:f>
              <c:strCache>
                <c:ptCount val="4"/>
                <c:pt idx="0">
                  <c:v>Grays River</c:v>
                </c:pt>
                <c:pt idx="1">
                  <c:v>Big Creek</c:v>
                </c:pt>
                <c:pt idx="2">
                  <c:v>Lewis River</c:v>
                </c:pt>
                <c:pt idx="3">
                  <c:v>Duncan Creek</c:v>
                </c:pt>
              </c:strCache>
            </c:strRef>
          </c:cat>
          <c:val>
            <c:numRef>
              <c:f>Summary!$W$25:$W$28</c:f>
              <c:numCache>
                <c:formatCode>#,##0</c:formatCode>
                <c:ptCount val="4"/>
                <c:pt idx="0">
                  <c:v>250000</c:v>
                </c:pt>
                <c:pt idx="1">
                  <c:v>290000</c:v>
                </c:pt>
                <c:pt idx="2">
                  <c:v>115000</c:v>
                </c:pt>
                <c:pt idx="3">
                  <c:v>115000</c:v>
                </c:pt>
              </c:numCache>
            </c:numRef>
          </c:val>
          <c:extLst>
            <c:ext xmlns:c16="http://schemas.microsoft.com/office/drawing/2014/chart" uri="{C3380CC4-5D6E-409C-BE32-E72D297353CC}">
              <c16:uniqueId val="{00000008-ED26-42F4-A719-1849454A9F87}"/>
            </c:ext>
          </c:extLst>
        </c:ser>
        <c:dLbls>
          <c:dLblPos val="outEnd"/>
          <c:showLegendKey val="0"/>
          <c:showVal val="1"/>
          <c:showCatName val="0"/>
          <c:showSerName val="0"/>
          <c:showPercent val="0"/>
          <c:showBubbleSize val="0"/>
          <c:showLeaderLines val="0"/>
        </c:dLbls>
        <c:firstSliceAng val="11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Natural</a:t>
            </a:r>
          </a:p>
          <a:p>
            <a:pPr>
              <a:defRPr b="1">
                <a:solidFill>
                  <a:schemeClr val="tx1"/>
                </a:solidFill>
              </a:defRPr>
            </a:pPr>
            <a:r>
              <a:rPr lang="en-US" b="1">
                <a:solidFill>
                  <a:schemeClr val="tx1"/>
                </a:solidFill>
              </a:rPr>
              <a:t>Production</a:t>
            </a:r>
          </a:p>
        </c:rich>
      </c:tx>
      <c:layout>
        <c:manualLayout>
          <c:xMode val="edge"/>
          <c:yMode val="edge"/>
          <c:x val="0.60072433862217667"/>
          <c:y val="0.11964860875011182"/>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35617492546177"/>
          <c:y val="6.5466325531780126E-2"/>
          <c:w val="0.6761323749943815"/>
          <c:h val="0.77199257377689046"/>
        </c:manualLayout>
      </c:layout>
      <c:barChart>
        <c:barDir val="bar"/>
        <c:grouping val="clustered"/>
        <c:varyColors val="0"/>
        <c:ser>
          <c:idx val="0"/>
          <c:order val="0"/>
          <c:spPr>
            <a:solidFill>
              <a:srgbClr val="8D9D38"/>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Summary!$C$19:$C$23</c:f>
              <c:strCache>
                <c:ptCount val="5"/>
                <c:pt idx="0">
                  <c:v>Current</c:v>
                </c:pt>
                <c:pt idx="1">
                  <c:v>Low goal</c:v>
                </c:pt>
                <c:pt idx="2">
                  <c:v>Med goal</c:v>
                </c:pt>
                <c:pt idx="3">
                  <c:v>High goal</c:v>
                </c:pt>
                <c:pt idx="4">
                  <c:v>Historical</c:v>
                </c:pt>
              </c:strCache>
            </c:strRef>
          </c:cat>
          <c:val>
            <c:numRef>
              <c:f>Summary!$D$19:$D$23</c:f>
              <c:numCache>
                <c:formatCode>#,##0</c:formatCode>
                <c:ptCount val="5"/>
                <c:pt idx="0">
                  <c:v>11761.903477669635</c:v>
                </c:pt>
                <c:pt idx="1">
                  <c:v>16500</c:v>
                </c:pt>
                <c:pt idx="2">
                  <c:v>33000</c:v>
                </c:pt>
                <c:pt idx="3">
                  <c:v>49500</c:v>
                </c:pt>
                <c:pt idx="4">
                  <c:v>461300</c:v>
                </c:pt>
              </c:numCache>
            </c:numRef>
          </c:val>
          <c:extLst>
            <c:ext xmlns:c16="http://schemas.microsoft.com/office/drawing/2014/chart" uri="{C3380CC4-5D6E-409C-BE32-E72D297353CC}">
              <c16:uniqueId val="{00000000-CFCF-42B4-AD54-B4E31E373FC5}"/>
            </c:ext>
          </c:extLst>
        </c:ser>
        <c:dLbls>
          <c:dLblPos val="outEnd"/>
          <c:showLegendKey val="0"/>
          <c:showVal val="1"/>
          <c:showCatName val="0"/>
          <c:showSerName val="0"/>
          <c:showPercent val="0"/>
          <c:showBubbleSize val="0"/>
        </c:dLbls>
        <c:gapWidth val="20"/>
        <c:axId val="86526208"/>
        <c:axId val="86533248"/>
      </c:barChart>
      <c:catAx>
        <c:axId val="8652620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6533248"/>
        <c:crosses val="autoZero"/>
        <c:auto val="1"/>
        <c:lblAlgn val="ctr"/>
        <c:lblOffset val="100"/>
        <c:noMultiLvlLbl val="0"/>
      </c:catAx>
      <c:valAx>
        <c:axId val="865332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86526208"/>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Columbia River Run</a:t>
            </a:r>
          </a:p>
        </c:rich>
      </c:tx>
      <c:layout>
        <c:manualLayout>
          <c:xMode val="edge"/>
          <c:yMode val="edge"/>
          <c:x val="0.3301542172093353"/>
          <c:y val="2.777771305984570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028062708377668"/>
          <c:y val="0.1355486022609339"/>
          <c:w val="0.77364176775200388"/>
          <c:h val="0.72828485741985005"/>
        </c:manualLayout>
      </c:layout>
      <c:barChart>
        <c:barDir val="col"/>
        <c:grouping val="clustered"/>
        <c:varyColors val="0"/>
        <c:ser>
          <c:idx val="0"/>
          <c:order val="0"/>
          <c:spPr>
            <a:solidFill>
              <a:schemeClr val="accent1"/>
            </a:solidFill>
            <a:ln>
              <a:solidFill>
                <a:schemeClr val="tx1"/>
              </a:solidFill>
            </a:ln>
            <a:effectLst/>
          </c:spPr>
          <c:invertIfNegative val="0"/>
          <c:cat>
            <c:numRef>
              <c:f>Run!$B$4:$B$81</c:f>
              <c:numCache>
                <c:formatCode>General</c:formatCode>
                <c:ptCount val="78"/>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pt idx="15">
                  <c:v>1953</c:v>
                </c:pt>
                <c:pt idx="16">
                  <c:v>1954</c:v>
                </c:pt>
                <c:pt idx="17">
                  <c:v>1955</c:v>
                </c:pt>
                <c:pt idx="18">
                  <c:v>1956</c:v>
                </c:pt>
                <c:pt idx="19">
                  <c:v>1957</c:v>
                </c:pt>
                <c:pt idx="20">
                  <c:v>1958</c:v>
                </c:pt>
                <c:pt idx="21">
                  <c:v>1959</c:v>
                </c:pt>
                <c:pt idx="22">
                  <c:v>1960</c:v>
                </c:pt>
                <c:pt idx="23">
                  <c:v>1961</c:v>
                </c:pt>
                <c:pt idx="24">
                  <c:v>1962</c:v>
                </c:pt>
                <c:pt idx="25">
                  <c:v>1963</c:v>
                </c:pt>
                <c:pt idx="26">
                  <c:v>1964</c:v>
                </c:pt>
                <c:pt idx="27">
                  <c:v>1965</c:v>
                </c:pt>
                <c:pt idx="28">
                  <c:v>1966</c:v>
                </c:pt>
                <c:pt idx="29">
                  <c:v>1967</c:v>
                </c:pt>
                <c:pt idx="30">
                  <c:v>1968</c:v>
                </c:pt>
                <c:pt idx="31">
                  <c:v>1969</c:v>
                </c:pt>
                <c:pt idx="32">
                  <c:v>1970</c:v>
                </c:pt>
                <c:pt idx="33">
                  <c:v>1971</c:v>
                </c:pt>
                <c:pt idx="34">
                  <c:v>1972</c:v>
                </c:pt>
                <c:pt idx="35">
                  <c:v>1973</c:v>
                </c:pt>
                <c:pt idx="36">
                  <c:v>1974</c:v>
                </c:pt>
                <c:pt idx="37">
                  <c:v>1975</c:v>
                </c:pt>
                <c:pt idx="38">
                  <c:v>1976</c:v>
                </c:pt>
                <c:pt idx="39">
                  <c:v>1977</c:v>
                </c:pt>
                <c:pt idx="40">
                  <c:v>1978</c:v>
                </c:pt>
                <c:pt idx="41">
                  <c:v>1979</c:v>
                </c:pt>
                <c:pt idx="42">
                  <c:v>1980</c:v>
                </c:pt>
                <c:pt idx="43">
                  <c:v>1981</c:v>
                </c:pt>
                <c:pt idx="44">
                  <c:v>1982</c:v>
                </c:pt>
                <c:pt idx="45">
                  <c:v>1983</c:v>
                </c:pt>
                <c:pt idx="46">
                  <c:v>1984</c:v>
                </c:pt>
                <c:pt idx="47">
                  <c:v>1985</c:v>
                </c:pt>
                <c:pt idx="48">
                  <c:v>1986</c:v>
                </c:pt>
                <c:pt idx="49">
                  <c:v>1987</c:v>
                </c:pt>
                <c:pt idx="50">
                  <c:v>1988</c:v>
                </c:pt>
                <c:pt idx="51">
                  <c:v>1989</c:v>
                </c:pt>
                <c:pt idx="52">
                  <c:v>1990</c:v>
                </c:pt>
                <c:pt idx="53">
                  <c:v>1991</c:v>
                </c:pt>
                <c:pt idx="54">
                  <c:v>1992</c:v>
                </c:pt>
                <c:pt idx="55">
                  <c:v>1993</c:v>
                </c:pt>
                <c:pt idx="56">
                  <c:v>1994</c:v>
                </c:pt>
                <c:pt idx="57">
                  <c:v>1995</c:v>
                </c:pt>
                <c:pt idx="58">
                  <c:v>1996</c:v>
                </c:pt>
                <c:pt idx="59">
                  <c:v>1997</c:v>
                </c:pt>
                <c:pt idx="60">
                  <c:v>1998</c:v>
                </c:pt>
                <c:pt idx="61">
                  <c:v>1999</c:v>
                </c:pt>
                <c:pt idx="62">
                  <c:v>2000</c:v>
                </c:pt>
                <c:pt idx="63">
                  <c:v>2001</c:v>
                </c:pt>
                <c:pt idx="64">
                  <c:v>2002</c:v>
                </c:pt>
                <c:pt idx="65">
                  <c:v>2003</c:v>
                </c:pt>
                <c:pt idx="66">
                  <c:v>2004</c:v>
                </c:pt>
                <c:pt idx="67">
                  <c:v>2005</c:v>
                </c:pt>
                <c:pt idx="68">
                  <c:v>2006</c:v>
                </c:pt>
                <c:pt idx="69">
                  <c:v>2007</c:v>
                </c:pt>
                <c:pt idx="70">
                  <c:v>2008</c:v>
                </c:pt>
                <c:pt idx="71">
                  <c:v>2009</c:v>
                </c:pt>
                <c:pt idx="72">
                  <c:v>2010</c:v>
                </c:pt>
                <c:pt idx="73">
                  <c:v>2011</c:v>
                </c:pt>
                <c:pt idx="74">
                  <c:v>2012</c:v>
                </c:pt>
                <c:pt idx="75">
                  <c:v>2013</c:v>
                </c:pt>
                <c:pt idx="76">
                  <c:v>2014</c:v>
                </c:pt>
                <c:pt idx="77">
                  <c:v>2015</c:v>
                </c:pt>
              </c:numCache>
            </c:numRef>
          </c:cat>
          <c:val>
            <c:numRef>
              <c:f>Run!$C$4:$C$81</c:f>
              <c:numCache>
                <c:formatCode>General</c:formatCode>
                <c:ptCount val="78"/>
                <c:pt idx="0">
                  <c:v>157</c:v>
                </c:pt>
                <c:pt idx="1">
                  <c:v>96.3</c:v>
                </c:pt>
                <c:pt idx="2">
                  <c:v>102.8</c:v>
                </c:pt>
                <c:pt idx="3">
                  <c:v>340.1</c:v>
                </c:pt>
                <c:pt idx="4">
                  <c:v>425.5</c:v>
                </c:pt>
                <c:pt idx="5">
                  <c:v>78.7</c:v>
                </c:pt>
                <c:pt idx="6">
                  <c:v>22.6</c:v>
                </c:pt>
                <c:pt idx="7">
                  <c:v>48.3</c:v>
                </c:pt>
                <c:pt idx="8">
                  <c:v>72.7</c:v>
                </c:pt>
                <c:pt idx="9">
                  <c:v>40.700000000000003</c:v>
                </c:pt>
                <c:pt idx="10">
                  <c:v>85.6</c:v>
                </c:pt>
                <c:pt idx="11">
                  <c:v>44.7</c:v>
                </c:pt>
                <c:pt idx="12">
                  <c:v>58.9</c:v>
                </c:pt>
                <c:pt idx="13">
                  <c:v>46.1</c:v>
                </c:pt>
                <c:pt idx="14">
                  <c:v>28.9</c:v>
                </c:pt>
                <c:pt idx="15">
                  <c:v>22.9</c:v>
                </c:pt>
                <c:pt idx="16">
                  <c:v>28.5</c:v>
                </c:pt>
                <c:pt idx="17">
                  <c:v>10.7</c:v>
                </c:pt>
                <c:pt idx="18">
                  <c:v>4.7</c:v>
                </c:pt>
                <c:pt idx="19">
                  <c:v>4.2</c:v>
                </c:pt>
                <c:pt idx="20">
                  <c:v>8.3000000000000007</c:v>
                </c:pt>
                <c:pt idx="21">
                  <c:v>5.5</c:v>
                </c:pt>
                <c:pt idx="22">
                  <c:v>3</c:v>
                </c:pt>
                <c:pt idx="23">
                  <c:v>3.1</c:v>
                </c:pt>
                <c:pt idx="24">
                  <c:v>5.7</c:v>
                </c:pt>
                <c:pt idx="25">
                  <c:v>3</c:v>
                </c:pt>
                <c:pt idx="26">
                  <c:v>3.2</c:v>
                </c:pt>
                <c:pt idx="27">
                  <c:v>1.5</c:v>
                </c:pt>
                <c:pt idx="28">
                  <c:v>3.1</c:v>
                </c:pt>
                <c:pt idx="29">
                  <c:v>2.1</c:v>
                </c:pt>
                <c:pt idx="30">
                  <c:v>0.6</c:v>
                </c:pt>
                <c:pt idx="31">
                  <c:v>1.1000000000000001</c:v>
                </c:pt>
                <c:pt idx="32">
                  <c:v>1.2</c:v>
                </c:pt>
                <c:pt idx="33">
                  <c:v>1.1000000000000001</c:v>
                </c:pt>
                <c:pt idx="34">
                  <c:v>2.4</c:v>
                </c:pt>
                <c:pt idx="35">
                  <c:v>1.8</c:v>
                </c:pt>
                <c:pt idx="36">
                  <c:v>1.2</c:v>
                </c:pt>
                <c:pt idx="37">
                  <c:v>0.8</c:v>
                </c:pt>
                <c:pt idx="38">
                  <c:v>1.5</c:v>
                </c:pt>
                <c:pt idx="39">
                  <c:v>0.8</c:v>
                </c:pt>
                <c:pt idx="40">
                  <c:v>1.9</c:v>
                </c:pt>
                <c:pt idx="41">
                  <c:v>0.3</c:v>
                </c:pt>
                <c:pt idx="42">
                  <c:v>0.5</c:v>
                </c:pt>
                <c:pt idx="43">
                  <c:v>1.5</c:v>
                </c:pt>
                <c:pt idx="44">
                  <c:v>2.9</c:v>
                </c:pt>
                <c:pt idx="45">
                  <c:v>0.6</c:v>
                </c:pt>
                <c:pt idx="46">
                  <c:v>2.2999999999999998</c:v>
                </c:pt>
                <c:pt idx="47">
                  <c:v>1.3</c:v>
                </c:pt>
                <c:pt idx="48">
                  <c:v>3</c:v>
                </c:pt>
                <c:pt idx="49">
                  <c:v>2.5</c:v>
                </c:pt>
                <c:pt idx="50">
                  <c:v>4.8</c:v>
                </c:pt>
                <c:pt idx="51">
                  <c:v>2</c:v>
                </c:pt>
                <c:pt idx="52">
                  <c:v>2.9</c:v>
                </c:pt>
                <c:pt idx="53">
                  <c:v>1.3</c:v>
                </c:pt>
                <c:pt idx="54">
                  <c:v>4.9000000000000004</c:v>
                </c:pt>
                <c:pt idx="55">
                  <c:v>4.5</c:v>
                </c:pt>
                <c:pt idx="56">
                  <c:v>1.2</c:v>
                </c:pt>
                <c:pt idx="57">
                  <c:v>1.5</c:v>
                </c:pt>
                <c:pt idx="58">
                  <c:v>3.3</c:v>
                </c:pt>
                <c:pt idx="59">
                  <c:v>1.7</c:v>
                </c:pt>
                <c:pt idx="60">
                  <c:v>1.9</c:v>
                </c:pt>
                <c:pt idx="61">
                  <c:v>2.4</c:v>
                </c:pt>
                <c:pt idx="62">
                  <c:v>2.5</c:v>
                </c:pt>
                <c:pt idx="63">
                  <c:v>5.5</c:v>
                </c:pt>
                <c:pt idx="64">
                  <c:v>11.9</c:v>
                </c:pt>
                <c:pt idx="65" formatCode="0.000">
                  <c:v>9.3450000000000006</c:v>
                </c:pt>
                <c:pt idx="66" formatCode="0.000">
                  <c:v>11.481</c:v>
                </c:pt>
                <c:pt idx="67" formatCode="0.000">
                  <c:v>6.3570000000000002</c:v>
                </c:pt>
                <c:pt idx="68" formatCode="0.000">
                  <c:v>9.52</c:v>
                </c:pt>
                <c:pt idx="69" formatCode="0.000">
                  <c:v>5.3609999999999998</c:v>
                </c:pt>
                <c:pt idx="70" formatCode="0.000">
                  <c:v>4.0140000000000002</c:v>
                </c:pt>
                <c:pt idx="71" formatCode="0.000">
                  <c:v>4.8659999999999997</c:v>
                </c:pt>
                <c:pt idx="72" formatCode="0.000">
                  <c:v>10.609</c:v>
                </c:pt>
                <c:pt idx="73" formatCode="0.000">
                  <c:v>18.445</c:v>
                </c:pt>
                <c:pt idx="74" formatCode="0.000">
                  <c:v>11.891</c:v>
                </c:pt>
                <c:pt idx="75" formatCode="0.000">
                  <c:v>8.2870000000000008</c:v>
                </c:pt>
                <c:pt idx="76" formatCode="0.000">
                  <c:v>8.6059999999999999</c:v>
                </c:pt>
                <c:pt idx="77" formatCode="0.000">
                  <c:v>22.003</c:v>
                </c:pt>
              </c:numCache>
            </c:numRef>
          </c:val>
          <c:extLst>
            <c:ext xmlns:c16="http://schemas.microsoft.com/office/drawing/2014/chart" uri="{C3380CC4-5D6E-409C-BE32-E72D297353CC}">
              <c16:uniqueId val="{00000000-B5EC-4A69-BE15-E2F1B8D2DFF5}"/>
            </c:ext>
          </c:extLst>
        </c:ser>
        <c:dLbls>
          <c:showLegendKey val="0"/>
          <c:showVal val="0"/>
          <c:showCatName val="0"/>
          <c:showSerName val="0"/>
          <c:showPercent val="0"/>
          <c:showBubbleSize val="0"/>
        </c:dLbls>
        <c:gapWidth val="0"/>
        <c:overlap val="-100"/>
        <c:axId val="84778368"/>
        <c:axId val="84780160"/>
      </c:barChart>
      <c:catAx>
        <c:axId val="847783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780160"/>
        <c:crosses val="autoZero"/>
        <c:auto val="1"/>
        <c:lblAlgn val="ctr"/>
        <c:lblOffset val="100"/>
        <c:tickLblSkip val="5"/>
        <c:tickMarkSkip val="5"/>
        <c:noMultiLvlLbl val="0"/>
      </c:catAx>
      <c:valAx>
        <c:axId val="84780160"/>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a:t>Number</a:t>
                </a:r>
              </a:p>
            </c:rich>
          </c:tx>
          <c:layout>
            <c:manualLayout>
              <c:xMode val="edge"/>
              <c:yMode val="edge"/>
              <c:x val="2.165091525296893E-2"/>
              <c:y val="0.3846635248251643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778368"/>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 Id="rId4" Type="http://schemas.openxmlformats.org/officeDocument/2006/relationships/image" Target="../media/image34.emf"/></Relationships>
</file>

<file path=xl/drawings/_rels/drawing5.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pn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98633</xdr:colOff>
      <xdr:row>1</xdr:row>
      <xdr:rowOff>58422</xdr:rowOff>
    </xdr:from>
    <xdr:to>
      <xdr:col>7</xdr:col>
      <xdr:colOff>59530</xdr:colOff>
      <xdr:row>18</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8633" y="320360"/>
          <a:ext cx="3747085" cy="2894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Historically spawned in lower reaches of streams and the mainstem downstream from Celilo Falls.</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Juveniles migrate seaward as fry soon after emergence from the gravel in late winter and early spring.</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Chum have declined to very low levels consisting of a few small remnant populations.</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effectLst/>
            </a:rPr>
            <a:t>Hatchery production is limited to small-scale supplementation efforts.</a:t>
          </a:r>
          <a:endParaRPr lang="en-US" sz="1600" i="0">
            <a:effectLst/>
          </a:endParaRPr>
        </a:p>
      </xdr:txBody>
    </xdr:sp>
    <xdr:clientData/>
  </xdr:twoCellAnchor>
  <xdr:twoCellAnchor>
    <xdr:from>
      <xdr:col>1</xdr:col>
      <xdr:colOff>35718</xdr:colOff>
      <xdr:row>45</xdr:row>
      <xdr:rowOff>16191</xdr:rowOff>
    </xdr:from>
    <xdr:to>
      <xdr:col>8</xdr:col>
      <xdr:colOff>40821</xdr:colOff>
      <xdr:row>62</xdr:row>
      <xdr:rowOff>178592</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136796</xdr:colOff>
      <xdr:row>27</xdr:row>
      <xdr:rowOff>168759</xdr:rowOff>
    </xdr:from>
    <xdr:to>
      <xdr:col>16</xdr:col>
      <xdr:colOff>95250</xdr:colOff>
      <xdr:row>44</xdr:row>
      <xdr:rowOff>134779</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82394</xdr:colOff>
      <xdr:row>2</xdr:row>
      <xdr:rowOff>6261</xdr:rowOff>
    </xdr:from>
    <xdr:to>
      <xdr:col>15</xdr:col>
      <xdr:colOff>587056</xdr:colOff>
      <xdr:row>27</xdr:row>
      <xdr:rowOff>57150</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
        <a:stretch>
          <a:fillRect/>
        </a:stretch>
      </xdr:blipFill>
      <xdr:spPr>
        <a:xfrm>
          <a:off x="3868582" y="351542"/>
          <a:ext cx="5263352" cy="4565739"/>
        </a:xfrm>
        <a:prstGeom prst="rect">
          <a:avLst/>
        </a:prstGeom>
        <a:ln>
          <a:solidFill>
            <a:schemeClr val="tx1"/>
          </a:solidFill>
        </a:ln>
      </xdr:spPr>
    </xdr:pic>
    <xdr:clientData/>
  </xdr:twoCellAnchor>
  <xdr:twoCellAnchor>
    <xdr:from>
      <xdr:col>8</xdr:col>
      <xdr:colOff>35719</xdr:colOff>
      <xdr:row>45</xdr:row>
      <xdr:rowOff>35720</xdr:rowOff>
    </xdr:from>
    <xdr:to>
      <xdr:col>15</xdr:col>
      <xdr:colOff>248678</xdr:colOff>
      <xdr:row>62</xdr:row>
      <xdr:rowOff>126275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17</xdr:row>
      <xdr:rowOff>168116</xdr:rowOff>
    </xdr:from>
    <xdr:to>
      <xdr:col>6</xdr:col>
      <xdr:colOff>571500</xdr:colOff>
      <xdr:row>27</xdr:row>
      <xdr:rowOff>124779</xdr:rowOff>
    </xdr:to>
    <xdr:graphicFrame macro="">
      <xdr:nvGraphicFramePr>
        <xdr:cNvPr id="7" name="Chart 6">
          <a:extLst>
            <a:ext uri="{FF2B5EF4-FFF2-40B4-BE49-F238E27FC236}">
              <a16:creationId xmlns:a16="http://schemas.microsoft.com/office/drawing/2014/main" id="{3B4F20B3-9D84-44D3-A828-F8ECB85AC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51</xdr:col>
      <xdr:colOff>161925</xdr:colOff>
      <xdr:row>36</xdr:row>
      <xdr:rowOff>142875</xdr:rowOff>
    </xdr:from>
    <xdr:to>
      <xdr:col>62</xdr:col>
      <xdr:colOff>51566</xdr:colOff>
      <xdr:row>58</xdr:row>
      <xdr:rowOff>127916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6099750" y="8715375"/>
          <a:ext cx="6595241" cy="5414291"/>
        </a:xfrm>
        <a:prstGeom prst="rect">
          <a:avLst/>
        </a:prstGeom>
      </xdr:spPr>
    </xdr:pic>
    <xdr:clientData/>
  </xdr:twoCellAnchor>
  <xdr:twoCellAnchor editAs="oneCell">
    <xdr:from>
      <xdr:col>63</xdr:col>
      <xdr:colOff>0</xdr:colOff>
      <xdr:row>3</xdr:row>
      <xdr:rowOff>0</xdr:rowOff>
    </xdr:from>
    <xdr:to>
      <xdr:col>72</xdr:col>
      <xdr:colOff>585027</xdr:colOff>
      <xdr:row>8</xdr:row>
      <xdr:rowOff>14057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43291125" y="889000"/>
          <a:ext cx="6085715" cy="1838095"/>
        </a:xfrm>
        <a:prstGeom prst="rect">
          <a:avLst/>
        </a:prstGeom>
      </xdr:spPr>
    </xdr:pic>
    <xdr:clientData/>
  </xdr:twoCellAnchor>
  <xdr:twoCellAnchor editAs="oneCell">
    <xdr:from>
      <xdr:col>63</xdr:col>
      <xdr:colOff>0</xdr:colOff>
      <xdr:row>12</xdr:row>
      <xdr:rowOff>0</xdr:rowOff>
    </xdr:from>
    <xdr:to>
      <xdr:col>73</xdr:col>
      <xdr:colOff>170667</xdr:colOff>
      <xdr:row>16</xdr:row>
      <xdr:rowOff>304553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43253025" y="2876550"/>
          <a:ext cx="6266667" cy="1980953"/>
        </a:xfrm>
        <a:prstGeom prst="rect">
          <a:avLst/>
        </a:prstGeom>
      </xdr:spPr>
    </xdr:pic>
    <xdr:clientData/>
  </xdr:twoCellAnchor>
  <xdr:twoCellAnchor editAs="oneCell">
    <xdr:from>
      <xdr:col>63</xdr:col>
      <xdr:colOff>257175</xdr:colOff>
      <xdr:row>22</xdr:row>
      <xdr:rowOff>28575</xdr:rowOff>
    </xdr:from>
    <xdr:to>
      <xdr:col>72</xdr:col>
      <xdr:colOff>227918</xdr:colOff>
      <xdr:row>25</xdr:row>
      <xdr:rowOff>66498</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43510200" y="4857750"/>
          <a:ext cx="5457143" cy="1419048"/>
        </a:xfrm>
        <a:prstGeom prst="rect">
          <a:avLst/>
        </a:prstGeom>
      </xdr:spPr>
    </xdr:pic>
    <xdr:clientData/>
  </xdr:twoCellAnchor>
  <xdr:twoCellAnchor editAs="oneCell">
    <xdr:from>
      <xdr:col>63</xdr:col>
      <xdr:colOff>0</xdr:colOff>
      <xdr:row>32</xdr:row>
      <xdr:rowOff>0</xdr:rowOff>
    </xdr:from>
    <xdr:to>
      <xdr:col>73</xdr:col>
      <xdr:colOff>37334</xdr:colOff>
      <xdr:row>36</xdr:row>
      <xdr:rowOff>228414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43253025" y="6743700"/>
          <a:ext cx="6133334" cy="1485714"/>
        </a:xfrm>
        <a:prstGeom prst="rect">
          <a:avLst/>
        </a:prstGeom>
      </xdr:spPr>
    </xdr:pic>
    <xdr:clientData/>
  </xdr:twoCellAnchor>
  <xdr:twoCellAnchor editAs="oneCell">
    <xdr:from>
      <xdr:col>63</xdr:col>
      <xdr:colOff>133350</xdr:colOff>
      <xdr:row>36</xdr:row>
      <xdr:rowOff>219075</xdr:rowOff>
    </xdr:from>
    <xdr:to>
      <xdr:col>71</xdr:col>
      <xdr:colOff>418455</xdr:colOff>
      <xdr:row>41</xdr:row>
      <xdr:rowOff>161736</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43386375" y="8791575"/>
          <a:ext cx="5161905" cy="1514286"/>
        </a:xfrm>
        <a:prstGeom prst="rect">
          <a:avLst/>
        </a:prstGeom>
      </xdr:spPr>
    </xdr:pic>
    <xdr:clientData/>
  </xdr:twoCellAnchor>
  <xdr:twoCellAnchor editAs="oneCell">
    <xdr:from>
      <xdr:col>62</xdr:col>
      <xdr:colOff>590550</xdr:colOff>
      <xdr:row>42</xdr:row>
      <xdr:rowOff>133350</xdr:rowOff>
    </xdr:from>
    <xdr:to>
      <xdr:col>72</xdr:col>
      <xdr:colOff>361217</xdr:colOff>
      <xdr:row>62</xdr:row>
      <xdr:rowOff>9003</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43233975" y="10591800"/>
          <a:ext cx="5866667" cy="4180953"/>
        </a:xfrm>
        <a:prstGeom prst="rect">
          <a:avLst/>
        </a:prstGeom>
      </xdr:spPr>
    </xdr:pic>
    <xdr:clientData/>
  </xdr:twoCellAnchor>
  <xdr:twoCellAnchor editAs="oneCell">
    <xdr:from>
      <xdr:col>74</xdr:col>
      <xdr:colOff>0</xdr:colOff>
      <xdr:row>3</xdr:row>
      <xdr:rowOff>0</xdr:rowOff>
    </xdr:from>
    <xdr:to>
      <xdr:col>84</xdr:col>
      <xdr:colOff>170667</xdr:colOff>
      <xdr:row>16</xdr:row>
      <xdr:rowOff>447062</xdr:rowOff>
    </xdr:to>
    <xdr:pic>
      <xdr:nvPicPr>
        <xdr:cNvPr id="4" name="Picture 3">
          <a:extLst>
            <a:ext uri="{FF2B5EF4-FFF2-40B4-BE49-F238E27FC236}">
              <a16:creationId xmlns:a16="http://schemas.microsoft.com/office/drawing/2014/main" id="{91F1C70E-AEA9-415E-B187-F91B602B00FA}"/>
            </a:ext>
          </a:extLst>
        </xdr:cNvPr>
        <xdr:cNvPicPr>
          <a:picLocks noChangeAspect="1"/>
        </xdr:cNvPicPr>
      </xdr:nvPicPr>
      <xdr:blipFill>
        <a:blip xmlns:r="http://schemas.openxmlformats.org/officeDocument/2006/relationships" r:embed="rId8"/>
        <a:stretch>
          <a:fillRect/>
        </a:stretch>
      </xdr:blipFill>
      <xdr:spPr>
        <a:xfrm>
          <a:off x="49958625" y="895350"/>
          <a:ext cx="6266667" cy="4904762"/>
        </a:xfrm>
        <a:prstGeom prst="rect">
          <a:avLst/>
        </a:prstGeom>
      </xdr:spPr>
    </xdr:pic>
    <xdr:clientData/>
  </xdr:twoCellAnchor>
  <xdr:twoCellAnchor editAs="oneCell">
    <xdr:from>
      <xdr:col>51</xdr:col>
      <xdr:colOff>66675</xdr:colOff>
      <xdr:row>3</xdr:row>
      <xdr:rowOff>57150</xdr:rowOff>
    </xdr:from>
    <xdr:to>
      <xdr:col>61</xdr:col>
      <xdr:colOff>542925</xdr:colOff>
      <xdr:row>20</xdr:row>
      <xdr:rowOff>272165</xdr:rowOff>
    </xdr:to>
    <xdr:pic>
      <xdr:nvPicPr>
        <xdr:cNvPr id="11" name="Picture 10">
          <a:extLst>
            <a:ext uri="{FF2B5EF4-FFF2-40B4-BE49-F238E27FC236}">
              <a16:creationId xmlns:a16="http://schemas.microsoft.com/office/drawing/2014/main" id="{5BACE834-7474-42C4-BA17-2896AA2199D5}"/>
            </a:ext>
          </a:extLst>
        </xdr:cNvPr>
        <xdr:cNvPicPr>
          <a:picLocks noChangeAspect="1"/>
        </xdr:cNvPicPr>
      </xdr:nvPicPr>
      <xdr:blipFill>
        <a:blip xmlns:r="http://schemas.openxmlformats.org/officeDocument/2006/relationships" r:embed="rId9"/>
        <a:stretch>
          <a:fillRect/>
        </a:stretch>
      </xdr:blipFill>
      <xdr:spPr>
        <a:xfrm>
          <a:off x="36004500" y="952500"/>
          <a:ext cx="6572250" cy="7577840"/>
        </a:xfrm>
        <a:prstGeom prst="rect">
          <a:avLst/>
        </a:prstGeom>
      </xdr:spPr>
    </xdr:pic>
    <xdr:clientData/>
  </xdr:twoCellAnchor>
  <xdr:twoCellAnchor editAs="oneCell">
    <xdr:from>
      <xdr:col>47</xdr:col>
      <xdr:colOff>314325</xdr:colOff>
      <xdr:row>73</xdr:row>
      <xdr:rowOff>66675</xdr:rowOff>
    </xdr:from>
    <xdr:to>
      <xdr:col>62</xdr:col>
      <xdr:colOff>0</xdr:colOff>
      <xdr:row>84</xdr:row>
      <xdr:rowOff>56889</xdr:rowOff>
    </xdr:to>
    <xdr:pic>
      <xdr:nvPicPr>
        <xdr:cNvPr id="3" name="Picture 2">
          <a:extLst>
            <a:ext uri="{FF2B5EF4-FFF2-40B4-BE49-F238E27FC236}">
              <a16:creationId xmlns:a16="http://schemas.microsoft.com/office/drawing/2014/main" id="{AF4B8F1C-265F-4855-B63F-3E606D7B9152}"/>
            </a:ext>
          </a:extLst>
        </xdr:cNvPr>
        <xdr:cNvPicPr>
          <a:picLocks noChangeAspect="1"/>
        </xdr:cNvPicPr>
      </xdr:nvPicPr>
      <xdr:blipFill>
        <a:blip xmlns:r="http://schemas.openxmlformats.org/officeDocument/2006/relationships" r:embed="rId10"/>
        <a:stretch>
          <a:fillRect/>
        </a:stretch>
      </xdr:blipFill>
      <xdr:spPr>
        <a:xfrm>
          <a:off x="33737550" y="16925925"/>
          <a:ext cx="8905875" cy="2085714"/>
        </a:xfrm>
        <a:prstGeom prst="rect">
          <a:avLst/>
        </a:prstGeom>
      </xdr:spPr>
    </xdr:pic>
    <xdr:clientData/>
  </xdr:twoCellAnchor>
  <xdr:twoCellAnchor editAs="oneCell">
    <xdr:from>
      <xdr:col>47</xdr:col>
      <xdr:colOff>371475</xdr:colOff>
      <xdr:row>59</xdr:row>
      <xdr:rowOff>133350</xdr:rowOff>
    </xdr:from>
    <xdr:to>
      <xdr:col>61</xdr:col>
      <xdr:colOff>589446</xdr:colOff>
      <xdr:row>71</xdr:row>
      <xdr:rowOff>133064</xdr:rowOff>
    </xdr:to>
    <xdr:pic>
      <xdr:nvPicPr>
        <xdr:cNvPr id="12" name="Picture 11">
          <a:extLst>
            <a:ext uri="{FF2B5EF4-FFF2-40B4-BE49-F238E27FC236}">
              <a16:creationId xmlns:a16="http://schemas.microsoft.com/office/drawing/2014/main" id="{4F9C984B-1E2B-4B46-8E6F-7370C9985D22}"/>
            </a:ext>
          </a:extLst>
        </xdr:cNvPr>
        <xdr:cNvPicPr>
          <a:picLocks noChangeAspect="1"/>
        </xdr:cNvPicPr>
      </xdr:nvPicPr>
      <xdr:blipFill>
        <a:blip xmlns:r="http://schemas.openxmlformats.org/officeDocument/2006/relationships" r:embed="rId11"/>
        <a:stretch>
          <a:fillRect/>
        </a:stretch>
      </xdr:blipFill>
      <xdr:spPr>
        <a:xfrm>
          <a:off x="33794700" y="14325600"/>
          <a:ext cx="8828571" cy="2285714"/>
        </a:xfrm>
        <a:prstGeom prst="rect">
          <a:avLst/>
        </a:prstGeom>
      </xdr:spPr>
    </xdr:pic>
    <xdr:clientData/>
  </xdr:twoCellAnchor>
  <xdr:twoCellAnchor editAs="oneCell">
    <xdr:from>
      <xdr:col>63</xdr:col>
      <xdr:colOff>0</xdr:colOff>
      <xdr:row>63</xdr:row>
      <xdr:rowOff>0</xdr:rowOff>
    </xdr:from>
    <xdr:to>
      <xdr:col>73</xdr:col>
      <xdr:colOff>142095</xdr:colOff>
      <xdr:row>94</xdr:row>
      <xdr:rowOff>132595</xdr:rowOff>
    </xdr:to>
    <xdr:pic>
      <xdr:nvPicPr>
        <xdr:cNvPr id="13" name="Picture 12">
          <a:extLst>
            <a:ext uri="{FF2B5EF4-FFF2-40B4-BE49-F238E27FC236}">
              <a16:creationId xmlns:a16="http://schemas.microsoft.com/office/drawing/2014/main" id="{8F7B66D4-0205-4996-9330-15499B510B34}"/>
            </a:ext>
          </a:extLst>
        </xdr:cNvPr>
        <xdr:cNvPicPr>
          <a:picLocks noChangeAspect="1"/>
        </xdr:cNvPicPr>
      </xdr:nvPicPr>
      <xdr:blipFill>
        <a:blip xmlns:r="http://schemas.openxmlformats.org/officeDocument/2006/relationships" r:embed="rId12"/>
        <a:stretch>
          <a:fillRect/>
        </a:stretch>
      </xdr:blipFill>
      <xdr:spPr>
        <a:xfrm>
          <a:off x="43253025" y="14954250"/>
          <a:ext cx="6238095" cy="6038095"/>
        </a:xfrm>
        <a:prstGeom prst="rect">
          <a:avLst/>
        </a:prstGeom>
      </xdr:spPr>
    </xdr:pic>
    <xdr:clientData/>
  </xdr:twoCellAnchor>
  <xdr:twoCellAnchor editAs="oneCell">
    <xdr:from>
      <xdr:col>90</xdr:col>
      <xdr:colOff>114300</xdr:colOff>
      <xdr:row>2</xdr:row>
      <xdr:rowOff>95250</xdr:rowOff>
    </xdr:from>
    <xdr:to>
      <xdr:col>97</xdr:col>
      <xdr:colOff>0</xdr:colOff>
      <xdr:row>15</xdr:row>
      <xdr:rowOff>628650</xdr:rowOff>
    </xdr:to>
    <xdr:pic>
      <xdr:nvPicPr>
        <xdr:cNvPr id="14" name="Picture 13">
          <a:extLst>
            <a:ext uri="{FF2B5EF4-FFF2-40B4-BE49-F238E27FC236}">
              <a16:creationId xmlns:a16="http://schemas.microsoft.com/office/drawing/2014/main" id="{B0FADC77-F40B-48BF-9AD8-C06D37FA0AF5}"/>
            </a:ext>
          </a:extLst>
        </xdr:cNvPr>
        <xdr:cNvPicPr/>
      </xdr:nvPicPr>
      <xdr:blipFill>
        <a:blip xmlns:r="http://schemas.openxmlformats.org/officeDocument/2006/relationships" r:embed="rId13"/>
        <a:stretch>
          <a:fillRect/>
        </a:stretch>
      </xdr:blipFill>
      <xdr:spPr>
        <a:xfrm>
          <a:off x="59826525" y="495300"/>
          <a:ext cx="4152900" cy="4514850"/>
        </a:xfrm>
        <a:prstGeom prst="rect">
          <a:avLst/>
        </a:prstGeom>
      </xdr:spPr>
    </xdr:pic>
    <xdr:clientData/>
  </xdr:twoCellAnchor>
  <xdr:twoCellAnchor editAs="oneCell">
    <xdr:from>
      <xdr:col>90</xdr:col>
      <xdr:colOff>47625</xdr:colOff>
      <xdr:row>68</xdr:row>
      <xdr:rowOff>66675</xdr:rowOff>
    </xdr:from>
    <xdr:to>
      <xdr:col>103</xdr:col>
      <xdr:colOff>85725</xdr:colOff>
      <xdr:row>85</xdr:row>
      <xdr:rowOff>38100</xdr:rowOff>
    </xdr:to>
    <xdr:pic>
      <xdr:nvPicPr>
        <xdr:cNvPr id="15" name="Picture 14">
          <a:extLst>
            <a:ext uri="{FF2B5EF4-FFF2-40B4-BE49-F238E27FC236}">
              <a16:creationId xmlns:a16="http://schemas.microsoft.com/office/drawing/2014/main" id="{C8260101-7F0F-47AA-BF6F-071D53CC1A54}"/>
            </a:ext>
          </a:extLst>
        </xdr:cNvPr>
        <xdr:cNvPicPr/>
      </xdr:nvPicPr>
      <xdr:blipFill>
        <a:blip xmlns:r="http://schemas.openxmlformats.org/officeDocument/2006/relationships" r:embed="rId14"/>
        <a:stretch>
          <a:fillRect/>
        </a:stretch>
      </xdr:blipFill>
      <xdr:spPr>
        <a:xfrm>
          <a:off x="59759850" y="15973425"/>
          <a:ext cx="7962900" cy="3209925"/>
        </a:xfrm>
        <a:prstGeom prst="rect">
          <a:avLst/>
        </a:prstGeom>
      </xdr:spPr>
    </xdr:pic>
    <xdr:clientData/>
  </xdr:twoCellAnchor>
  <xdr:twoCellAnchor editAs="oneCell">
    <xdr:from>
      <xdr:col>90</xdr:col>
      <xdr:colOff>66674</xdr:colOff>
      <xdr:row>86</xdr:row>
      <xdr:rowOff>85724</xdr:rowOff>
    </xdr:from>
    <xdr:to>
      <xdr:col>106</xdr:col>
      <xdr:colOff>457200</xdr:colOff>
      <xdr:row>102</xdr:row>
      <xdr:rowOff>57150</xdr:rowOff>
    </xdr:to>
    <xdr:pic>
      <xdr:nvPicPr>
        <xdr:cNvPr id="17" name="Picture 16">
          <a:extLst>
            <a:ext uri="{FF2B5EF4-FFF2-40B4-BE49-F238E27FC236}">
              <a16:creationId xmlns:a16="http://schemas.microsoft.com/office/drawing/2014/main" id="{DD169F19-3754-4A67-A6BB-3D9D84E78F6E}"/>
            </a:ext>
          </a:extLst>
        </xdr:cNvPr>
        <xdr:cNvPicPr/>
      </xdr:nvPicPr>
      <xdr:blipFill>
        <a:blip xmlns:r="http://schemas.openxmlformats.org/officeDocument/2006/relationships" r:embed="rId15"/>
        <a:stretch>
          <a:fillRect/>
        </a:stretch>
      </xdr:blipFill>
      <xdr:spPr>
        <a:xfrm>
          <a:off x="59778899" y="19421474"/>
          <a:ext cx="10144126" cy="3019426"/>
        </a:xfrm>
        <a:prstGeom prst="rect">
          <a:avLst/>
        </a:prstGeom>
      </xdr:spPr>
    </xdr:pic>
    <xdr:clientData/>
  </xdr:twoCellAnchor>
  <xdr:twoCellAnchor editAs="oneCell">
    <xdr:from>
      <xdr:col>90</xdr:col>
      <xdr:colOff>95250</xdr:colOff>
      <xdr:row>103</xdr:row>
      <xdr:rowOff>85725</xdr:rowOff>
    </xdr:from>
    <xdr:to>
      <xdr:col>104</xdr:col>
      <xdr:colOff>142875</xdr:colOff>
      <xdr:row>117</xdr:row>
      <xdr:rowOff>38100</xdr:rowOff>
    </xdr:to>
    <xdr:pic>
      <xdr:nvPicPr>
        <xdr:cNvPr id="18" name="Picture 17">
          <a:extLst>
            <a:ext uri="{FF2B5EF4-FFF2-40B4-BE49-F238E27FC236}">
              <a16:creationId xmlns:a16="http://schemas.microsoft.com/office/drawing/2014/main" id="{640E148D-752F-4806-807B-1FFB7C1A11F3}"/>
            </a:ext>
          </a:extLst>
        </xdr:cNvPr>
        <xdr:cNvPicPr/>
      </xdr:nvPicPr>
      <xdr:blipFill>
        <a:blip xmlns:r="http://schemas.openxmlformats.org/officeDocument/2006/relationships" r:embed="rId16"/>
        <a:stretch>
          <a:fillRect/>
        </a:stretch>
      </xdr:blipFill>
      <xdr:spPr>
        <a:xfrm>
          <a:off x="59807475" y="22659975"/>
          <a:ext cx="8582025" cy="2619375"/>
        </a:xfrm>
        <a:prstGeom prst="rect">
          <a:avLst/>
        </a:prstGeom>
      </xdr:spPr>
    </xdr:pic>
    <xdr:clientData/>
  </xdr:twoCellAnchor>
  <xdr:twoCellAnchor editAs="oneCell">
    <xdr:from>
      <xdr:col>90</xdr:col>
      <xdr:colOff>57149</xdr:colOff>
      <xdr:row>50</xdr:row>
      <xdr:rowOff>76200</xdr:rowOff>
    </xdr:from>
    <xdr:to>
      <xdr:col>103</xdr:col>
      <xdr:colOff>28574</xdr:colOff>
      <xdr:row>67</xdr:row>
      <xdr:rowOff>19050</xdr:rowOff>
    </xdr:to>
    <xdr:pic>
      <xdr:nvPicPr>
        <xdr:cNvPr id="20" name="Picture 19">
          <a:extLst>
            <a:ext uri="{FF2B5EF4-FFF2-40B4-BE49-F238E27FC236}">
              <a16:creationId xmlns:a16="http://schemas.microsoft.com/office/drawing/2014/main" id="{D2F24ACF-8797-42B4-94F5-62C0364FAB4F}"/>
            </a:ext>
          </a:extLst>
        </xdr:cNvPr>
        <xdr:cNvPicPr/>
      </xdr:nvPicPr>
      <xdr:blipFill>
        <a:blip xmlns:r="http://schemas.openxmlformats.org/officeDocument/2006/relationships" r:embed="rId17"/>
        <a:stretch>
          <a:fillRect/>
        </a:stretch>
      </xdr:blipFill>
      <xdr:spPr>
        <a:xfrm>
          <a:off x="59769374" y="12553950"/>
          <a:ext cx="7896225" cy="3181350"/>
        </a:xfrm>
        <a:prstGeom prst="rect">
          <a:avLst/>
        </a:prstGeom>
      </xdr:spPr>
    </xdr:pic>
    <xdr:clientData/>
  </xdr:twoCellAnchor>
  <xdr:twoCellAnchor editAs="oneCell">
    <xdr:from>
      <xdr:col>90</xdr:col>
      <xdr:colOff>57150</xdr:colOff>
      <xdr:row>24</xdr:row>
      <xdr:rowOff>19050</xdr:rowOff>
    </xdr:from>
    <xdr:to>
      <xdr:col>99</xdr:col>
      <xdr:colOff>381000</xdr:colOff>
      <xdr:row>49</xdr:row>
      <xdr:rowOff>19050</xdr:rowOff>
    </xdr:to>
    <xdr:pic>
      <xdr:nvPicPr>
        <xdr:cNvPr id="22" name="Picture 21">
          <a:extLst>
            <a:ext uri="{FF2B5EF4-FFF2-40B4-BE49-F238E27FC236}">
              <a16:creationId xmlns:a16="http://schemas.microsoft.com/office/drawing/2014/main" id="{AF3B6C6C-CF13-42C5-89BB-8C2408D95F11}"/>
            </a:ext>
          </a:extLst>
        </xdr:cNvPr>
        <xdr:cNvPicPr/>
      </xdr:nvPicPr>
      <xdr:blipFill>
        <a:blip xmlns:r="http://schemas.openxmlformats.org/officeDocument/2006/relationships" r:embed="rId18"/>
        <a:stretch>
          <a:fillRect/>
        </a:stretch>
      </xdr:blipFill>
      <xdr:spPr>
        <a:xfrm>
          <a:off x="59769375" y="5238750"/>
          <a:ext cx="5810250" cy="7067550"/>
        </a:xfrm>
        <a:prstGeom prst="rect">
          <a:avLst/>
        </a:prstGeom>
      </xdr:spPr>
    </xdr:pic>
    <xdr:clientData/>
  </xdr:twoCellAnchor>
  <xdr:twoCellAnchor editAs="oneCell">
    <xdr:from>
      <xdr:col>101</xdr:col>
      <xdr:colOff>0</xdr:colOff>
      <xdr:row>2</xdr:row>
      <xdr:rowOff>0</xdr:rowOff>
    </xdr:from>
    <xdr:to>
      <xdr:col>110</xdr:col>
      <xdr:colOff>323124</xdr:colOff>
      <xdr:row>10</xdr:row>
      <xdr:rowOff>152039</xdr:rowOff>
    </xdr:to>
    <xdr:pic>
      <xdr:nvPicPr>
        <xdr:cNvPr id="16" name="Picture 15">
          <a:extLst>
            <a:ext uri="{FF2B5EF4-FFF2-40B4-BE49-F238E27FC236}">
              <a16:creationId xmlns:a16="http://schemas.microsoft.com/office/drawing/2014/main" id="{7BD6C8F5-59EE-43EC-9A50-0EDB306A92F6}"/>
            </a:ext>
          </a:extLst>
        </xdr:cNvPr>
        <xdr:cNvPicPr>
          <a:picLocks noChangeAspect="1"/>
        </xdr:cNvPicPr>
      </xdr:nvPicPr>
      <xdr:blipFill>
        <a:blip xmlns:r="http://schemas.openxmlformats.org/officeDocument/2006/relationships" r:embed="rId19"/>
        <a:stretch>
          <a:fillRect/>
        </a:stretch>
      </xdr:blipFill>
      <xdr:spPr>
        <a:xfrm>
          <a:off x="67056000" y="409575"/>
          <a:ext cx="5809524" cy="2885714"/>
        </a:xfrm>
        <a:prstGeom prst="rect">
          <a:avLst/>
        </a:prstGeom>
      </xdr:spPr>
    </xdr:pic>
    <xdr:clientData/>
  </xdr:twoCellAnchor>
  <xdr:twoCellAnchor editAs="oneCell">
    <xdr:from>
      <xdr:col>103</xdr:col>
      <xdr:colOff>0</xdr:colOff>
      <xdr:row>15</xdr:row>
      <xdr:rowOff>0</xdr:rowOff>
    </xdr:from>
    <xdr:to>
      <xdr:col>107</xdr:col>
      <xdr:colOff>533029</xdr:colOff>
      <xdr:row>15</xdr:row>
      <xdr:rowOff>761905</xdr:rowOff>
    </xdr:to>
    <xdr:pic>
      <xdr:nvPicPr>
        <xdr:cNvPr id="21" name="Picture 20">
          <a:extLst>
            <a:ext uri="{FF2B5EF4-FFF2-40B4-BE49-F238E27FC236}">
              <a16:creationId xmlns:a16="http://schemas.microsoft.com/office/drawing/2014/main" id="{FF50FF55-00DB-4E5B-8F93-A9774978A9E4}"/>
            </a:ext>
          </a:extLst>
        </xdr:cNvPr>
        <xdr:cNvPicPr>
          <a:picLocks noChangeAspect="1"/>
        </xdr:cNvPicPr>
      </xdr:nvPicPr>
      <xdr:blipFill>
        <a:blip xmlns:r="http://schemas.openxmlformats.org/officeDocument/2006/relationships" r:embed="rId20"/>
        <a:stretch>
          <a:fillRect/>
        </a:stretch>
      </xdr:blipFill>
      <xdr:spPr>
        <a:xfrm>
          <a:off x="68275200" y="3486150"/>
          <a:ext cx="2971429" cy="761905"/>
        </a:xfrm>
        <a:prstGeom prst="rect">
          <a:avLst/>
        </a:prstGeom>
      </xdr:spPr>
    </xdr:pic>
    <xdr:clientData/>
  </xdr:twoCellAnchor>
  <xdr:twoCellAnchor editAs="oneCell">
    <xdr:from>
      <xdr:col>101</xdr:col>
      <xdr:colOff>0</xdr:colOff>
      <xdr:row>21</xdr:row>
      <xdr:rowOff>0</xdr:rowOff>
    </xdr:from>
    <xdr:to>
      <xdr:col>112</xdr:col>
      <xdr:colOff>37257</xdr:colOff>
      <xdr:row>32</xdr:row>
      <xdr:rowOff>228036</xdr:rowOff>
    </xdr:to>
    <xdr:pic>
      <xdr:nvPicPr>
        <xdr:cNvPr id="23" name="Picture 22">
          <a:extLst>
            <a:ext uri="{FF2B5EF4-FFF2-40B4-BE49-F238E27FC236}">
              <a16:creationId xmlns:a16="http://schemas.microsoft.com/office/drawing/2014/main" id="{4EE077AF-2239-4C2F-BCEC-90EF08010BE1}"/>
            </a:ext>
          </a:extLst>
        </xdr:cNvPr>
        <xdr:cNvPicPr>
          <a:picLocks noChangeAspect="1"/>
        </xdr:cNvPicPr>
      </xdr:nvPicPr>
      <xdr:blipFill>
        <a:blip xmlns:r="http://schemas.openxmlformats.org/officeDocument/2006/relationships" r:embed="rId21"/>
        <a:stretch>
          <a:fillRect/>
        </a:stretch>
      </xdr:blipFill>
      <xdr:spPr>
        <a:xfrm>
          <a:off x="67056000" y="4638675"/>
          <a:ext cx="6742857" cy="4514286"/>
        </a:xfrm>
        <a:prstGeom prst="rect">
          <a:avLst/>
        </a:prstGeom>
      </xdr:spPr>
    </xdr:pic>
    <xdr:clientData/>
  </xdr:twoCellAnchor>
  <xdr:twoCellAnchor editAs="oneCell">
    <xdr:from>
      <xdr:col>113</xdr:col>
      <xdr:colOff>9525</xdr:colOff>
      <xdr:row>3</xdr:row>
      <xdr:rowOff>28575</xdr:rowOff>
    </xdr:from>
    <xdr:to>
      <xdr:col>126</xdr:col>
      <xdr:colOff>389487</xdr:colOff>
      <xdr:row>16</xdr:row>
      <xdr:rowOff>161351</xdr:rowOff>
    </xdr:to>
    <xdr:pic>
      <xdr:nvPicPr>
        <xdr:cNvPr id="30" name="Picture 29">
          <a:extLst>
            <a:ext uri="{FF2B5EF4-FFF2-40B4-BE49-F238E27FC236}">
              <a16:creationId xmlns:a16="http://schemas.microsoft.com/office/drawing/2014/main" id="{DBFDDB9B-5092-4F77-B787-B39536B6CC2E}"/>
            </a:ext>
          </a:extLst>
        </xdr:cNvPr>
        <xdr:cNvPicPr>
          <a:picLocks noChangeAspect="1"/>
        </xdr:cNvPicPr>
      </xdr:nvPicPr>
      <xdr:blipFill>
        <a:blip xmlns:r="http://schemas.openxmlformats.org/officeDocument/2006/relationships" r:embed="rId22"/>
        <a:stretch>
          <a:fillRect/>
        </a:stretch>
      </xdr:blipFill>
      <xdr:spPr>
        <a:xfrm>
          <a:off x="74380725" y="933450"/>
          <a:ext cx="8304762" cy="4590476"/>
        </a:xfrm>
        <a:prstGeom prst="rect">
          <a:avLst/>
        </a:prstGeom>
      </xdr:spPr>
    </xdr:pic>
    <xdr:clientData/>
  </xdr:twoCellAnchor>
  <xdr:twoCellAnchor editAs="oneCell">
    <xdr:from>
      <xdr:col>112</xdr:col>
      <xdr:colOff>600075</xdr:colOff>
      <xdr:row>16</xdr:row>
      <xdr:rowOff>295275</xdr:rowOff>
    </xdr:from>
    <xdr:to>
      <xdr:col>126</xdr:col>
      <xdr:colOff>408532</xdr:colOff>
      <xdr:row>22</xdr:row>
      <xdr:rowOff>542281</xdr:rowOff>
    </xdr:to>
    <xdr:pic>
      <xdr:nvPicPr>
        <xdr:cNvPr id="32" name="Picture 31">
          <a:extLst>
            <a:ext uri="{FF2B5EF4-FFF2-40B4-BE49-F238E27FC236}">
              <a16:creationId xmlns:a16="http://schemas.microsoft.com/office/drawing/2014/main" id="{1E5E670B-CBD1-4320-94FC-27E1B8769E11}"/>
            </a:ext>
          </a:extLst>
        </xdr:cNvPr>
        <xdr:cNvPicPr>
          <a:picLocks noChangeAspect="1"/>
        </xdr:cNvPicPr>
      </xdr:nvPicPr>
      <xdr:blipFill>
        <a:blip xmlns:r="http://schemas.openxmlformats.org/officeDocument/2006/relationships" r:embed="rId23"/>
        <a:stretch>
          <a:fillRect/>
        </a:stretch>
      </xdr:blipFill>
      <xdr:spPr>
        <a:xfrm>
          <a:off x="74361675" y="5657850"/>
          <a:ext cx="8342857" cy="5152381"/>
        </a:xfrm>
        <a:prstGeom prst="rect">
          <a:avLst/>
        </a:prstGeom>
      </xdr:spPr>
    </xdr:pic>
    <xdr:clientData/>
  </xdr:twoCellAnchor>
  <xdr:twoCellAnchor editAs="oneCell">
    <xdr:from>
      <xdr:col>112</xdr:col>
      <xdr:colOff>600075</xdr:colOff>
      <xdr:row>22</xdr:row>
      <xdr:rowOff>666750</xdr:rowOff>
    </xdr:from>
    <xdr:to>
      <xdr:col>125</xdr:col>
      <xdr:colOff>256227</xdr:colOff>
      <xdr:row>36</xdr:row>
      <xdr:rowOff>266182</xdr:rowOff>
    </xdr:to>
    <xdr:pic>
      <xdr:nvPicPr>
        <xdr:cNvPr id="33" name="Picture 32">
          <a:extLst>
            <a:ext uri="{FF2B5EF4-FFF2-40B4-BE49-F238E27FC236}">
              <a16:creationId xmlns:a16="http://schemas.microsoft.com/office/drawing/2014/main" id="{B25E6EFC-49FC-42B7-A192-2BF92B98DEB6}"/>
            </a:ext>
          </a:extLst>
        </xdr:cNvPr>
        <xdr:cNvPicPr>
          <a:picLocks noChangeAspect="1"/>
        </xdr:cNvPicPr>
      </xdr:nvPicPr>
      <xdr:blipFill>
        <a:blip xmlns:r="http://schemas.openxmlformats.org/officeDocument/2006/relationships" r:embed="rId24"/>
        <a:stretch>
          <a:fillRect/>
        </a:stretch>
      </xdr:blipFill>
      <xdr:spPr>
        <a:xfrm>
          <a:off x="74361675" y="10934700"/>
          <a:ext cx="7580952" cy="4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22</xdr:col>
      <xdr:colOff>132572</xdr:colOff>
      <xdr:row>29</xdr:row>
      <xdr:rowOff>37440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086850" y="190500"/>
          <a:ext cx="6228572" cy="5285715"/>
        </a:xfrm>
        <a:prstGeom prst="rect">
          <a:avLst/>
        </a:prstGeom>
      </xdr:spPr>
    </xdr:pic>
    <xdr:clientData/>
  </xdr:twoCellAnchor>
  <xdr:twoCellAnchor editAs="oneCell">
    <xdr:from>
      <xdr:col>12</xdr:col>
      <xdr:colOff>0</xdr:colOff>
      <xdr:row>30</xdr:row>
      <xdr:rowOff>0</xdr:rowOff>
    </xdr:from>
    <xdr:to>
      <xdr:col>22</xdr:col>
      <xdr:colOff>142096</xdr:colOff>
      <xdr:row>47</xdr:row>
      <xdr:rowOff>37695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9086850" y="5619750"/>
          <a:ext cx="6238096" cy="3238095"/>
        </a:xfrm>
        <a:prstGeom prst="rect">
          <a:avLst/>
        </a:prstGeom>
      </xdr:spPr>
    </xdr:pic>
    <xdr:clientData/>
  </xdr:twoCellAnchor>
  <xdr:twoCellAnchor editAs="oneCell">
    <xdr:from>
      <xdr:col>12</xdr:col>
      <xdr:colOff>0</xdr:colOff>
      <xdr:row>48</xdr:row>
      <xdr:rowOff>0</xdr:rowOff>
    </xdr:from>
    <xdr:to>
      <xdr:col>22</xdr:col>
      <xdr:colOff>113524</xdr:colOff>
      <xdr:row>82</xdr:row>
      <xdr:rowOff>170620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086850" y="9010650"/>
          <a:ext cx="6209524" cy="6647620"/>
        </a:xfrm>
        <a:prstGeom prst="rect">
          <a:avLst/>
        </a:prstGeom>
      </xdr:spPr>
    </xdr:pic>
    <xdr:clientData/>
  </xdr:twoCellAnchor>
  <xdr:twoCellAnchor editAs="oneCell">
    <xdr:from>
      <xdr:col>12</xdr:col>
      <xdr:colOff>0</xdr:colOff>
      <xdr:row>84</xdr:row>
      <xdr:rowOff>0</xdr:rowOff>
    </xdr:from>
    <xdr:to>
      <xdr:col>22</xdr:col>
      <xdr:colOff>304000</xdr:colOff>
      <xdr:row>93</xdr:row>
      <xdr:rowOff>95024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9086850" y="15868650"/>
          <a:ext cx="6400000" cy="1809524"/>
        </a:xfrm>
        <a:prstGeom prst="rect">
          <a:avLst/>
        </a:prstGeom>
      </xdr:spPr>
    </xdr:pic>
    <xdr:clientData/>
  </xdr:twoCellAnchor>
  <xdr:twoCellAnchor editAs="oneCell">
    <xdr:from>
      <xdr:col>12</xdr:col>
      <xdr:colOff>0</xdr:colOff>
      <xdr:row>95</xdr:row>
      <xdr:rowOff>0</xdr:rowOff>
    </xdr:from>
    <xdr:to>
      <xdr:col>22</xdr:col>
      <xdr:colOff>132572</xdr:colOff>
      <xdr:row>112</xdr:row>
      <xdr:rowOff>123405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9086850" y="17964150"/>
          <a:ext cx="6228572" cy="33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495300</xdr:colOff>
      <xdr:row>30</xdr:row>
      <xdr:rowOff>25715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48640"/>
          <a:ext cx="7810500" cy="496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29</xdr:row>
      <xdr:rowOff>160020</xdr:rowOff>
    </xdr:from>
    <xdr:to>
      <xdr:col>13</xdr:col>
      <xdr:colOff>477385</xdr:colOff>
      <xdr:row>46</xdr:row>
      <xdr:rowOff>15240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5463540"/>
          <a:ext cx="7758295"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xdr:row>
      <xdr:rowOff>0</xdr:rowOff>
    </xdr:from>
    <xdr:to>
      <xdr:col>23</xdr:col>
      <xdr:colOff>401955</xdr:colOff>
      <xdr:row>11</xdr:row>
      <xdr:rowOff>15240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53600" y="952500"/>
          <a:ext cx="46767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xdr:colOff>
      <xdr:row>10</xdr:row>
      <xdr:rowOff>161925</xdr:rowOff>
    </xdr:from>
    <xdr:to>
      <xdr:col>23</xdr:col>
      <xdr:colOff>400050</xdr:colOff>
      <xdr:row>17</xdr:row>
      <xdr:rowOff>95250</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72650" y="2066925"/>
          <a:ext cx="46386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76200</xdr:colOff>
      <xdr:row>5</xdr:row>
      <xdr:rowOff>66675</xdr:rowOff>
    </xdr:from>
    <xdr:to>
      <xdr:col>14</xdr:col>
      <xdr:colOff>249343</xdr:colOff>
      <xdr:row>22</xdr:row>
      <xdr:rowOff>120437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101</xdr:col>
      <xdr:colOff>123825</xdr:colOff>
      <xdr:row>5</xdr:row>
      <xdr:rowOff>114300</xdr:rowOff>
    </xdr:from>
    <xdr:to>
      <xdr:col>111</xdr:col>
      <xdr:colOff>170682</xdr:colOff>
      <xdr:row>26</xdr:row>
      <xdr:rowOff>441355</xdr:rowOff>
    </xdr:to>
    <xdr:pic>
      <xdr:nvPicPr>
        <xdr:cNvPr id="4" name="Picture 3">
          <a:extLst>
            <a:ext uri="{FF2B5EF4-FFF2-40B4-BE49-F238E27FC236}">
              <a16:creationId xmlns:a16="http://schemas.microsoft.com/office/drawing/2014/main" id="{7D6F4B05-E651-40D4-B594-2443BB4C9C8A}"/>
            </a:ext>
          </a:extLst>
        </xdr:cNvPr>
        <xdr:cNvPicPr>
          <a:picLocks noChangeAspect="1"/>
        </xdr:cNvPicPr>
      </xdr:nvPicPr>
      <xdr:blipFill>
        <a:blip xmlns:r="http://schemas.openxmlformats.org/officeDocument/2006/relationships" r:embed="rId2"/>
        <a:stretch>
          <a:fillRect/>
        </a:stretch>
      </xdr:blipFill>
      <xdr:spPr>
        <a:xfrm>
          <a:off x="65741550" y="1390650"/>
          <a:ext cx="6142857" cy="4838095"/>
        </a:xfrm>
        <a:prstGeom prst="rect">
          <a:avLst/>
        </a:prstGeom>
      </xdr:spPr>
    </xdr:pic>
    <xdr:clientData/>
  </xdr:twoCellAnchor>
  <xdr:twoCellAnchor editAs="oneCell">
    <xdr:from>
      <xdr:col>7</xdr:col>
      <xdr:colOff>76200</xdr:colOff>
      <xdr:row>23</xdr:row>
      <xdr:rowOff>118109</xdr:rowOff>
    </xdr:from>
    <xdr:to>
      <xdr:col>17</xdr:col>
      <xdr:colOff>853440</xdr:colOff>
      <xdr:row>63</xdr:row>
      <xdr:rowOff>86040</xdr:rowOff>
    </xdr:to>
    <xdr:pic>
      <xdr:nvPicPr>
        <xdr:cNvPr id="5" name="Picture 4">
          <a:extLst>
            <a:ext uri="{FF2B5EF4-FFF2-40B4-BE49-F238E27FC236}">
              <a16:creationId xmlns:a16="http://schemas.microsoft.com/office/drawing/2014/main" id="{0DF5CC60-42AF-4FCC-BB7D-27DF50F6F1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86175" y="4966334"/>
          <a:ext cx="6720840" cy="8330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15</xdr:col>
      <xdr:colOff>2448</xdr:colOff>
      <xdr:row>29</xdr:row>
      <xdr:rowOff>137376</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1219200" y="723900"/>
          <a:ext cx="7927248" cy="4657941"/>
          <a:chOff x="1104108" y="1382182"/>
          <a:chExt cx="7927248" cy="4709376"/>
        </a:xfrm>
      </xdr:grpSpPr>
      <xdr:sp macro="" textlink="">
        <xdr:nvSpPr>
          <xdr:cNvPr id="30" name="Rectangle 29">
            <a:extLst>
              <a:ext uri="{FF2B5EF4-FFF2-40B4-BE49-F238E27FC236}">
                <a16:creationId xmlns:a16="http://schemas.microsoft.com/office/drawing/2014/main" id="{00000000-0008-0000-0700-00001E000000}"/>
              </a:ext>
            </a:extLst>
          </xdr:cNvPr>
          <xdr:cNvSpPr/>
        </xdr:nvSpPr>
        <xdr:spPr>
          <a:xfrm>
            <a:off x="3160643" y="1391479"/>
            <a:ext cx="5870713" cy="3657600"/>
          </a:xfrm>
          <a:prstGeom prst="rect">
            <a:avLst/>
          </a:prstGeom>
          <a:gradFill flip="none" rotWithShape="1">
            <a:gsLst>
              <a:gs pos="13000">
                <a:schemeClr val="accent1">
                  <a:shade val="30000"/>
                  <a:satMod val="115000"/>
                </a:schemeClr>
              </a:gs>
              <a:gs pos="50000">
                <a:schemeClr val="accent1">
                  <a:lumMod val="50000"/>
                </a:schemeClr>
              </a:gs>
              <a:gs pos="85000">
                <a:schemeClr val="accent1">
                  <a:lumMod val="50000"/>
                </a:schemeClr>
              </a:gs>
            </a:gsLst>
            <a:path path="circle">
              <a:fillToRect l="50000" t="50000" r="50000" b="50000"/>
            </a:path>
            <a:tileRect/>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 name="TextBox 4">
            <a:extLst>
              <a:ext uri="{FF2B5EF4-FFF2-40B4-BE49-F238E27FC236}">
                <a16:creationId xmlns:a16="http://schemas.microsoft.com/office/drawing/2014/main" id="{00000000-0008-0000-0700-00001F000000}"/>
              </a:ext>
            </a:extLst>
          </xdr:cNvPr>
          <xdr:cNvSpPr txBox="1"/>
        </xdr:nvSpPr>
        <xdr:spPr>
          <a:xfrm rot="18434309">
            <a:off x="3055152" y="5253907"/>
            <a:ext cx="839461" cy="338554"/>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chemeClr val="accent4">
                    <a:lumMod val="60000"/>
                    <a:lumOff val="40000"/>
                  </a:schemeClr>
                </a:solidFill>
              </a:rPr>
              <a:t>Harvest</a:t>
            </a:r>
          </a:p>
        </xdr:txBody>
      </xdr:sp>
      <xdr:sp macro="" textlink="">
        <xdr:nvSpPr>
          <xdr:cNvPr id="32" name="TextBox 5">
            <a:extLst>
              <a:ext uri="{FF2B5EF4-FFF2-40B4-BE49-F238E27FC236}">
                <a16:creationId xmlns:a16="http://schemas.microsoft.com/office/drawing/2014/main" id="{00000000-0008-0000-0700-000020000000}"/>
              </a:ext>
            </a:extLst>
          </xdr:cNvPr>
          <xdr:cNvSpPr txBox="1"/>
        </xdr:nvSpPr>
        <xdr:spPr>
          <a:xfrm rot="18434309">
            <a:off x="3538527" y="5230392"/>
            <a:ext cx="1137556" cy="584775"/>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chemeClr val="accent4">
                    <a:lumMod val="60000"/>
                    <a:lumOff val="40000"/>
                  </a:schemeClr>
                </a:solidFill>
              </a:rPr>
              <a:t>Freshwater</a:t>
            </a:r>
          </a:p>
          <a:p>
            <a:pPr algn="ctr"/>
            <a:r>
              <a:rPr lang="en-US" sz="1600" b="1">
                <a:solidFill>
                  <a:schemeClr val="accent4">
                    <a:lumMod val="60000"/>
                    <a:lumOff val="40000"/>
                  </a:schemeClr>
                </a:solidFill>
              </a:rPr>
              <a:t>Habitat</a:t>
            </a:r>
          </a:p>
        </xdr:txBody>
      </xdr:sp>
      <xdr:sp macro="" textlink="">
        <xdr:nvSpPr>
          <xdr:cNvPr id="33" name="TextBox 6">
            <a:extLst>
              <a:ext uri="{FF2B5EF4-FFF2-40B4-BE49-F238E27FC236}">
                <a16:creationId xmlns:a16="http://schemas.microsoft.com/office/drawing/2014/main" id="{00000000-0008-0000-0700-000021000000}"/>
              </a:ext>
            </a:extLst>
          </xdr:cNvPr>
          <xdr:cNvSpPr txBox="1"/>
        </xdr:nvSpPr>
        <xdr:spPr>
          <a:xfrm rot="18434309">
            <a:off x="4531139" y="5181213"/>
            <a:ext cx="818045" cy="584775"/>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Estuary</a:t>
            </a:r>
          </a:p>
          <a:p>
            <a:pPr algn="ctr"/>
            <a:r>
              <a:rPr lang="en-US" sz="1600" b="1">
                <a:solidFill>
                  <a:schemeClr val="accent4">
                    <a:lumMod val="60000"/>
                    <a:lumOff val="40000"/>
                  </a:schemeClr>
                </a:solidFill>
              </a:rPr>
              <a:t>Habitat</a:t>
            </a:r>
          </a:p>
        </xdr:txBody>
      </xdr:sp>
      <xdr:sp macro="" textlink="">
        <xdr:nvSpPr>
          <xdr:cNvPr id="34" name="TextBox 7">
            <a:extLst>
              <a:ext uri="{FF2B5EF4-FFF2-40B4-BE49-F238E27FC236}">
                <a16:creationId xmlns:a16="http://schemas.microsoft.com/office/drawing/2014/main" id="{00000000-0008-0000-0700-000022000000}"/>
              </a:ext>
            </a:extLst>
          </xdr:cNvPr>
          <xdr:cNvSpPr txBox="1"/>
        </xdr:nvSpPr>
        <xdr:spPr>
          <a:xfrm rot="18434309">
            <a:off x="5184107" y="5230392"/>
            <a:ext cx="1042273" cy="584775"/>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Mainstem</a:t>
            </a:r>
          </a:p>
          <a:p>
            <a:pPr algn="ctr"/>
            <a:r>
              <a:rPr lang="en-US" sz="1600" b="1">
                <a:solidFill>
                  <a:schemeClr val="accent4">
                    <a:lumMod val="60000"/>
                    <a:lumOff val="40000"/>
                  </a:schemeClr>
                </a:solidFill>
              </a:rPr>
              <a:t>Hydro</a:t>
            </a:r>
          </a:p>
        </xdr:txBody>
      </xdr:sp>
      <xdr:sp macro="" textlink="">
        <xdr:nvSpPr>
          <xdr:cNvPr id="35" name="TextBox 8">
            <a:extLst>
              <a:ext uri="{FF2B5EF4-FFF2-40B4-BE49-F238E27FC236}">
                <a16:creationId xmlns:a16="http://schemas.microsoft.com/office/drawing/2014/main" id="{00000000-0008-0000-0700-000023000000}"/>
              </a:ext>
            </a:extLst>
          </xdr:cNvPr>
          <xdr:cNvSpPr txBox="1"/>
        </xdr:nvSpPr>
        <xdr:spPr>
          <a:xfrm rot="18434309">
            <a:off x="6030448" y="5278363"/>
            <a:ext cx="953595" cy="338554"/>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Hatchery</a:t>
            </a:r>
          </a:p>
        </xdr:txBody>
      </xdr:sp>
      <xdr:sp macro="" textlink="">
        <xdr:nvSpPr>
          <xdr:cNvPr id="36" name="TextBox 9">
            <a:extLst>
              <a:ext uri="{FF2B5EF4-FFF2-40B4-BE49-F238E27FC236}">
                <a16:creationId xmlns:a16="http://schemas.microsoft.com/office/drawing/2014/main" id="{00000000-0008-0000-0700-000024000000}"/>
              </a:ext>
            </a:extLst>
          </xdr:cNvPr>
          <xdr:cNvSpPr txBox="1"/>
        </xdr:nvSpPr>
        <xdr:spPr>
          <a:xfrm rot="18434309">
            <a:off x="6690458" y="5304323"/>
            <a:ext cx="1018805" cy="338554"/>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Predation</a:t>
            </a:r>
          </a:p>
        </xdr:txBody>
      </xdr:sp>
      <xdr:sp macro="" textlink="">
        <xdr:nvSpPr>
          <xdr:cNvPr id="37" name="TextBox 10">
            <a:extLst>
              <a:ext uri="{FF2B5EF4-FFF2-40B4-BE49-F238E27FC236}">
                <a16:creationId xmlns:a16="http://schemas.microsoft.com/office/drawing/2014/main" id="{00000000-0008-0000-0700-000025000000}"/>
              </a:ext>
            </a:extLst>
          </xdr:cNvPr>
          <xdr:cNvSpPr txBox="1"/>
        </xdr:nvSpPr>
        <xdr:spPr>
          <a:xfrm rot="18434309">
            <a:off x="7521042" y="5253907"/>
            <a:ext cx="686984" cy="338554"/>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Toxics</a:t>
            </a:r>
          </a:p>
        </xdr:txBody>
      </xdr:sp>
      <xdr:sp macro="" textlink="">
        <xdr:nvSpPr>
          <xdr:cNvPr id="38" name="TextBox 11">
            <a:extLst>
              <a:ext uri="{FF2B5EF4-FFF2-40B4-BE49-F238E27FC236}">
                <a16:creationId xmlns:a16="http://schemas.microsoft.com/office/drawing/2014/main" id="{00000000-0008-0000-0700-000026000000}"/>
              </a:ext>
            </a:extLst>
          </xdr:cNvPr>
          <xdr:cNvSpPr txBox="1"/>
        </xdr:nvSpPr>
        <xdr:spPr>
          <a:xfrm rot="18434309">
            <a:off x="8096947" y="5255132"/>
            <a:ext cx="829458" cy="338554"/>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accent4">
                    <a:lumMod val="60000"/>
                    <a:lumOff val="40000"/>
                  </a:schemeClr>
                </a:solidFill>
              </a:rPr>
              <a:t>Climate</a:t>
            </a:r>
          </a:p>
        </xdr:txBody>
      </xdr:sp>
      <xdr:sp macro="" textlink="">
        <xdr:nvSpPr>
          <xdr:cNvPr id="39" name="TextBox 12">
            <a:extLst>
              <a:ext uri="{FF2B5EF4-FFF2-40B4-BE49-F238E27FC236}">
                <a16:creationId xmlns:a16="http://schemas.microsoft.com/office/drawing/2014/main" id="{00000000-0008-0000-0700-000027000000}"/>
              </a:ext>
            </a:extLst>
          </xdr:cNvPr>
          <xdr:cNvSpPr txBox="1"/>
        </xdr:nvSpPr>
        <xdr:spPr>
          <a:xfrm rot="16200000">
            <a:off x="266699" y="2958668"/>
            <a:ext cx="2198038" cy="523220"/>
          </a:xfrm>
          <a:prstGeom prst="rect">
            <a:avLst/>
          </a:prstGeom>
          <a:noFill/>
          <a:effectLst>
            <a:outerShdw blurRad="50800" dist="38100" dir="2700000" algn="tl" rotWithShape="0">
              <a:prstClr val="black">
                <a:alpha val="98000"/>
              </a:prstClr>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chemeClr val="accent4">
                    <a:lumMod val="60000"/>
                    <a:lumOff val="40000"/>
                  </a:schemeClr>
                </a:solidFill>
              </a:rPr>
              <a:t>Risk Category</a:t>
            </a:r>
          </a:p>
        </xdr:txBody>
      </xdr:sp>
      <xdr:sp macro="" textlink="">
        <xdr:nvSpPr>
          <xdr:cNvPr id="40" name="TextBox 13">
            <a:extLst>
              <a:ext uri="{FF2B5EF4-FFF2-40B4-BE49-F238E27FC236}">
                <a16:creationId xmlns:a16="http://schemas.microsoft.com/office/drawing/2014/main" id="{00000000-0008-0000-0700-000028000000}"/>
              </a:ext>
            </a:extLst>
          </xdr:cNvPr>
          <xdr:cNvSpPr txBox="1"/>
        </xdr:nvSpPr>
        <xdr:spPr>
          <a:xfrm>
            <a:off x="1974751" y="4549755"/>
            <a:ext cx="1061444" cy="369332"/>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lumMod val="60000"/>
                    <a:lumOff val="40000"/>
                  </a:schemeClr>
                </a:solidFill>
              </a:rPr>
              <a:t>Very Low</a:t>
            </a:r>
          </a:p>
        </xdr:txBody>
      </xdr:sp>
      <xdr:sp macro="" textlink="">
        <xdr:nvSpPr>
          <xdr:cNvPr id="41" name="TextBox 14">
            <a:extLst>
              <a:ext uri="{FF2B5EF4-FFF2-40B4-BE49-F238E27FC236}">
                <a16:creationId xmlns:a16="http://schemas.microsoft.com/office/drawing/2014/main" id="{00000000-0008-0000-0700-000029000000}"/>
              </a:ext>
            </a:extLst>
          </xdr:cNvPr>
          <xdr:cNvSpPr txBox="1"/>
        </xdr:nvSpPr>
        <xdr:spPr>
          <a:xfrm>
            <a:off x="2236100" y="3752773"/>
            <a:ext cx="576953" cy="369332"/>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lumMod val="60000"/>
                    <a:lumOff val="40000"/>
                  </a:schemeClr>
                </a:solidFill>
              </a:rPr>
              <a:t>Low</a:t>
            </a:r>
          </a:p>
        </xdr:txBody>
      </xdr:sp>
      <xdr:sp macro="" textlink="">
        <xdr:nvSpPr>
          <xdr:cNvPr id="42" name="TextBox 15">
            <a:extLst>
              <a:ext uri="{FF2B5EF4-FFF2-40B4-BE49-F238E27FC236}">
                <a16:creationId xmlns:a16="http://schemas.microsoft.com/office/drawing/2014/main" id="{00000000-0008-0000-0700-00002A000000}"/>
              </a:ext>
            </a:extLst>
          </xdr:cNvPr>
          <xdr:cNvSpPr txBox="1"/>
        </xdr:nvSpPr>
        <xdr:spPr>
          <a:xfrm>
            <a:off x="1976879" y="2984950"/>
            <a:ext cx="1130053" cy="369332"/>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lumMod val="60000"/>
                    <a:lumOff val="40000"/>
                  </a:schemeClr>
                </a:solidFill>
              </a:rPr>
              <a:t>Moderate</a:t>
            </a:r>
          </a:p>
        </xdr:txBody>
      </xdr:sp>
      <xdr:sp macro="" textlink="">
        <xdr:nvSpPr>
          <xdr:cNvPr id="43" name="TextBox 16">
            <a:extLst>
              <a:ext uri="{FF2B5EF4-FFF2-40B4-BE49-F238E27FC236}">
                <a16:creationId xmlns:a16="http://schemas.microsoft.com/office/drawing/2014/main" id="{00000000-0008-0000-0700-00002B000000}"/>
              </a:ext>
            </a:extLst>
          </xdr:cNvPr>
          <xdr:cNvSpPr txBox="1"/>
        </xdr:nvSpPr>
        <xdr:spPr>
          <a:xfrm>
            <a:off x="2212450" y="2217127"/>
            <a:ext cx="619080" cy="369332"/>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lumMod val="60000"/>
                    <a:lumOff val="40000"/>
                  </a:schemeClr>
                </a:solidFill>
              </a:rPr>
              <a:t>High</a:t>
            </a:r>
          </a:p>
        </xdr:txBody>
      </xdr:sp>
      <xdr:sp macro="" textlink="">
        <xdr:nvSpPr>
          <xdr:cNvPr id="44" name="TextBox 17">
            <a:extLst>
              <a:ext uri="{FF2B5EF4-FFF2-40B4-BE49-F238E27FC236}">
                <a16:creationId xmlns:a16="http://schemas.microsoft.com/office/drawing/2014/main" id="{00000000-0008-0000-0700-00002C000000}"/>
              </a:ext>
            </a:extLst>
          </xdr:cNvPr>
          <xdr:cNvSpPr txBox="1"/>
        </xdr:nvSpPr>
        <xdr:spPr>
          <a:xfrm>
            <a:off x="1952661" y="1509644"/>
            <a:ext cx="1103572" cy="369332"/>
          </a:xfrm>
          <a:prstGeom prst="rect">
            <a:avLst/>
          </a:prstGeom>
          <a:noFill/>
          <a:effectLst>
            <a:outerShdw blurRad="50800" dist="38100" dir="2700000" algn="tl" rotWithShape="0">
              <a:prstClr val="black"/>
            </a:outerShdw>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lumMod val="60000"/>
                    <a:lumOff val="40000"/>
                  </a:schemeClr>
                </a:solidFill>
              </a:rPr>
              <a:t>Very High</a:t>
            </a:r>
          </a:p>
        </xdr:txBody>
      </xdr:sp>
      <xdr:sp macro="" textlink="">
        <xdr:nvSpPr>
          <xdr:cNvPr id="45" name="Diamond 44">
            <a:extLst>
              <a:ext uri="{FF2B5EF4-FFF2-40B4-BE49-F238E27FC236}">
                <a16:creationId xmlns:a16="http://schemas.microsoft.com/office/drawing/2014/main" id="{00000000-0008-0000-0700-00002D000000}"/>
              </a:ext>
            </a:extLst>
          </xdr:cNvPr>
          <xdr:cNvSpPr/>
        </xdr:nvSpPr>
        <xdr:spPr>
          <a:xfrm>
            <a:off x="3531842" y="4575563"/>
            <a:ext cx="297365" cy="455601"/>
          </a:xfrm>
          <a:prstGeom prst="diamond">
            <a:avLst/>
          </a:prstGeom>
          <a:gradFill>
            <a:gsLst>
              <a:gs pos="18000">
                <a:srgbClr val="92D050"/>
              </a:gs>
              <a:gs pos="50000">
                <a:srgbClr val="FFFF00"/>
              </a:gs>
              <a:gs pos="86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 name="Diamond 45">
            <a:extLst>
              <a:ext uri="{FF2B5EF4-FFF2-40B4-BE49-F238E27FC236}">
                <a16:creationId xmlns:a16="http://schemas.microsoft.com/office/drawing/2014/main" id="{00000000-0008-0000-0700-00002E000000}"/>
              </a:ext>
            </a:extLst>
          </xdr:cNvPr>
          <xdr:cNvSpPr/>
        </xdr:nvSpPr>
        <xdr:spPr>
          <a:xfrm>
            <a:off x="4218679" y="1382182"/>
            <a:ext cx="297365" cy="986883"/>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 name="Diamond 46">
            <a:extLst>
              <a:ext uri="{FF2B5EF4-FFF2-40B4-BE49-F238E27FC236}">
                <a16:creationId xmlns:a16="http://schemas.microsoft.com/office/drawing/2014/main" id="{00000000-0008-0000-0700-00002F000000}"/>
              </a:ext>
            </a:extLst>
          </xdr:cNvPr>
          <xdr:cNvSpPr/>
        </xdr:nvSpPr>
        <xdr:spPr>
          <a:xfrm>
            <a:off x="4907616" y="2217126"/>
            <a:ext cx="297365" cy="1781325"/>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8" name="Diamond 47">
            <a:extLst>
              <a:ext uri="{FF2B5EF4-FFF2-40B4-BE49-F238E27FC236}">
                <a16:creationId xmlns:a16="http://schemas.microsoft.com/office/drawing/2014/main" id="{00000000-0008-0000-0700-000030000000}"/>
              </a:ext>
            </a:extLst>
          </xdr:cNvPr>
          <xdr:cNvSpPr/>
        </xdr:nvSpPr>
        <xdr:spPr>
          <a:xfrm>
            <a:off x="5745235" y="3937439"/>
            <a:ext cx="297365" cy="872454"/>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 name="Diamond 48">
            <a:extLst>
              <a:ext uri="{FF2B5EF4-FFF2-40B4-BE49-F238E27FC236}">
                <a16:creationId xmlns:a16="http://schemas.microsoft.com/office/drawing/2014/main" id="{00000000-0008-0000-0700-000031000000}"/>
              </a:ext>
            </a:extLst>
          </xdr:cNvPr>
          <xdr:cNvSpPr/>
        </xdr:nvSpPr>
        <xdr:spPr>
          <a:xfrm>
            <a:off x="6551464" y="4734421"/>
            <a:ext cx="297365" cy="296743"/>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 name="Diamond 49">
            <a:extLst>
              <a:ext uri="{FF2B5EF4-FFF2-40B4-BE49-F238E27FC236}">
                <a16:creationId xmlns:a16="http://schemas.microsoft.com/office/drawing/2014/main" id="{00000000-0008-0000-0700-000032000000}"/>
              </a:ext>
            </a:extLst>
          </xdr:cNvPr>
          <xdr:cNvSpPr/>
        </xdr:nvSpPr>
        <xdr:spPr>
          <a:xfrm>
            <a:off x="7257182" y="4231394"/>
            <a:ext cx="297365" cy="763122"/>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 name="Diamond 50">
            <a:extLst>
              <a:ext uri="{FF2B5EF4-FFF2-40B4-BE49-F238E27FC236}">
                <a16:creationId xmlns:a16="http://schemas.microsoft.com/office/drawing/2014/main" id="{00000000-0008-0000-0700-000033000000}"/>
              </a:ext>
            </a:extLst>
          </xdr:cNvPr>
          <xdr:cNvSpPr/>
        </xdr:nvSpPr>
        <xdr:spPr>
          <a:xfrm>
            <a:off x="8498881" y="2251556"/>
            <a:ext cx="297365" cy="1836119"/>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 name="Diamond 51">
            <a:extLst>
              <a:ext uri="{FF2B5EF4-FFF2-40B4-BE49-F238E27FC236}">
                <a16:creationId xmlns:a16="http://schemas.microsoft.com/office/drawing/2014/main" id="{00000000-0008-0000-0700-000034000000}"/>
              </a:ext>
            </a:extLst>
          </xdr:cNvPr>
          <xdr:cNvSpPr/>
        </xdr:nvSpPr>
        <xdr:spPr>
          <a:xfrm>
            <a:off x="7809945" y="3282455"/>
            <a:ext cx="297365" cy="1664653"/>
          </a:xfrm>
          <a:prstGeom prst="diamond">
            <a:avLst/>
          </a:prstGeom>
          <a:gradFill>
            <a:gsLst>
              <a:gs pos="16000">
                <a:srgbClr val="92D050"/>
              </a:gs>
              <a:gs pos="50000">
                <a:srgbClr val="FFFF00"/>
              </a:gs>
              <a:gs pos="91000">
                <a:srgbClr val="FF0000"/>
              </a:gs>
            </a:gsLst>
            <a:lin ang="5400000" scaled="1"/>
          </a:gra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westcoast.fisheries.noaa.gov/columbia_river/index.html" TargetMode="External"/><Relationship Id="rId18" Type="http://schemas.openxmlformats.org/officeDocument/2006/relationships/hyperlink" Target="https://www.westcoast.fisheries.noaa.gov/columbia_river/index.html" TargetMode="External"/><Relationship Id="rId26" Type="http://schemas.openxmlformats.org/officeDocument/2006/relationships/hyperlink" Target="https://www.westcoast.fisheries.noaa.gov/columbia_river/index.html" TargetMode="External"/><Relationship Id="rId39" Type="http://schemas.openxmlformats.org/officeDocument/2006/relationships/hyperlink" Target="https://www.westcoast.fisheries.noaa.gov/protected_species/salmon_steelhead/recovery_planning_and_implementation/recovery_plans_supporting_documents.html" TargetMode="External"/><Relationship Id="rId3" Type="http://schemas.openxmlformats.org/officeDocument/2006/relationships/hyperlink" Target="http://www.fpc.org/" TargetMode="External"/><Relationship Id="rId21" Type="http://schemas.openxmlformats.org/officeDocument/2006/relationships/hyperlink" Target="https://www.westcoast.fisheries.noaa.gov/columbia_river/index.html" TargetMode="External"/><Relationship Id="rId34" Type="http://schemas.openxmlformats.org/officeDocument/2006/relationships/hyperlink" Target="https://www.lcfrb.gen.wa.us/librarysalmonrecovery" TargetMode="External"/><Relationship Id="rId42" Type="http://schemas.openxmlformats.org/officeDocument/2006/relationships/hyperlink" Target="https://www.westcoast.fisheries.noaa.gov/protected_species/salmon_steelhead/recovery_planning_and_implementation/recovery_plans_supporting_documents.html" TargetMode="External"/><Relationship Id="rId47" Type="http://schemas.openxmlformats.org/officeDocument/2006/relationships/hyperlink" Target="https://www.westcoast.fisheries.noaa.gov/columbia_river/index.html" TargetMode="External"/><Relationship Id="rId50" Type="http://schemas.openxmlformats.org/officeDocument/2006/relationships/hyperlink" Target="https://www.westcoast.fisheries.noaa.gov/columbia_river/index.html" TargetMode="External"/><Relationship Id="rId7" Type="http://schemas.openxmlformats.org/officeDocument/2006/relationships/hyperlink" Target="https://www.westcoast.fisheries.noaa.gov/columbia_river/index.html" TargetMode="External"/><Relationship Id="rId12" Type="http://schemas.openxmlformats.org/officeDocument/2006/relationships/hyperlink" Target="https://www.westcoast.fisheries.noaa.gov/columbia_river/index.html" TargetMode="External"/><Relationship Id="rId17" Type="http://schemas.openxmlformats.org/officeDocument/2006/relationships/hyperlink" Target="https://www.westcoast.fisheries.noaa.gov/columbia_river/index.html" TargetMode="External"/><Relationship Id="rId25" Type="http://schemas.openxmlformats.org/officeDocument/2006/relationships/hyperlink" Target="https://www.westcoast.fisheries.noaa.gov/columbia_river/index.html" TargetMode="External"/><Relationship Id="rId33" Type="http://schemas.openxmlformats.org/officeDocument/2006/relationships/hyperlink" Target="https://www.lcfrb.gen.wa.us/librarysalmonrecovery" TargetMode="External"/><Relationship Id="rId38" Type="http://schemas.openxmlformats.org/officeDocument/2006/relationships/hyperlink" Target="https://www.westcoast.fisheries.noaa.gov/protected_species/salmon_steelhead/recovery_planning_and_implementation/recovery_plans_supporting_documents.html" TargetMode="External"/><Relationship Id="rId46" Type="http://schemas.openxmlformats.org/officeDocument/2006/relationships/hyperlink" Target="https://www.westcoast.fisheries.noaa.gov/columbia_river/index.html" TargetMode="External"/><Relationship Id="rId2" Type="http://schemas.openxmlformats.org/officeDocument/2006/relationships/hyperlink" Target="https://www.dfw.state.or.us/fish/crp/conservation_recovery_plans.asp" TargetMode="External"/><Relationship Id="rId16" Type="http://schemas.openxmlformats.org/officeDocument/2006/relationships/hyperlink" Target="https://www.westcoast.fisheries.noaa.gov/columbia_river/index.html" TargetMode="External"/><Relationship Id="rId20" Type="http://schemas.openxmlformats.org/officeDocument/2006/relationships/hyperlink" Target="https://www.westcoast.fisheries.noaa.gov/columbia_river/index.html" TargetMode="External"/><Relationship Id="rId29" Type="http://schemas.openxmlformats.org/officeDocument/2006/relationships/hyperlink" Target="https://www.westcoast.fisheries.noaa.gov/columbia_river/index.html" TargetMode="External"/><Relationship Id="rId41" Type="http://schemas.openxmlformats.org/officeDocument/2006/relationships/hyperlink" Target="https://www.westcoast.fisheries.noaa.gov/protected_species/salmon_steelhead/recovery_planning_and_implementation/recovery_plans_supporting_documents.html" TargetMode="External"/><Relationship Id="rId1" Type="http://schemas.openxmlformats.org/officeDocument/2006/relationships/hyperlink" Target="https://www.dfw.state.or.us/fish/crp/conservation_recovery_plans.asp" TargetMode="External"/><Relationship Id="rId6" Type="http://schemas.openxmlformats.org/officeDocument/2006/relationships/hyperlink" Target="https://www.westcoast.fisheries.noaa.gov/protected_species/salmon_steelhead/recovery_planning_and_implementation/recovery_plans_supporting_documents.html" TargetMode="External"/><Relationship Id="rId11" Type="http://schemas.openxmlformats.org/officeDocument/2006/relationships/hyperlink" Target="https://www.westcoast.fisheries.noaa.gov/columbia_river/index.html" TargetMode="External"/><Relationship Id="rId24" Type="http://schemas.openxmlformats.org/officeDocument/2006/relationships/hyperlink" Target="https://www.westcoast.fisheries.noaa.gov/columbia_river/index.html" TargetMode="External"/><Relationship Id="rId32" Type="http://schemas.openxmlformats.org/officeDocument/2006/relationships/hyperlink" Target="https://www.lcfrb.gen.wa.us/librarysalmonrecovery" TargetMode="External"/><Relationship Id="rId37" Type="http://schemas.openxmlformats.org/officeDocument/2006/relationships/hyperlink" Target="https://www.lcfrb.gen.wa.us/librarysalmonrecovery" TargetMode="External"/><Relationship Id="rId40" Type="http://schemas.openxmlformats.org/officeDocument/2006/relationships/hyperlink" Target="https://www.westcoast.fisheries.noaa.gov/protected_species/salmon_steelhead/recovery_planning_and_implementation/recovery_plans_supporting_documents.html" TargetMode="External"/><Relationship Id="rId45" Type="http://schemas.openxmlformats.org/officeDocument/2006/relationships/hyperlink" Target="https://www.westcoast.fisheries.noaa.gov/columbia_river/index.html" TargetMode="External"/><Relationship Id="rId53" Type="http://schemas.openxmlformats.org/officeDocument/2006/relationships/comments" Target="../comments5.xml"/><Relationship Id="rId5" Type="http://schemas.openxmlformats.org/officeDocument/2006/relationships/hyperlink" Target="https://www.westcoast.fisheries.noaa.gov/protected_species/salmon_steelhead/recovery_planning_and_implementation/recovery_plans_supporting_documents.html" TargetMode="External"/><Relationship Id="rId15" Type="http://schemas.openxmlformats.org/officeDocument/2006/relationships/hyperlink" Target="https://www.westcoast.fisheries.noaa.gov/columbia_river/index.html" TargetMode="External"/><Relationship Id="rId23" Type="http://schemas.openxmlformats.org/officeDocument/2006/relationships/hyperlink" Target="https://www.westcoast.fisheries.noaa.gov/columbia_river/index.html" TargetMode="External"/><Relationship Id="rId28" Type="http://schemas.openxmlformats.org/officeDocument/2006/relationships/hyperlink" Target="https://www.westcoast.fisheries.noaa.gov/columbia_river/index.html" TargetMode="External"/><Relationship Id="rId36" Type="http://schemas.openxmlformats.org/officeDocument/2006/relationships/hyperlink" Target="https://www.lcfrb.gen.wa.us/librarysalmonrecovery" TargetMode="External"/><Relationship Id="rId49" Type="http://schemas.openxmlformats.org/officeDocument/2006/relationships/hyperlink" Target="https://www.westcoast.fisheries.noaa.gov/columbia_river/index.html" TargetMode="External"/><Relationship Id="rId10" Type="http://schemas.openxmlformats.org/officeDocument/2006/relationships/hyperlink" Target="https://www.westcoast.fisheries.noaa.gov/columbia_river/index.html" TargetMode="External"/><Relationship Id="rId19" Type="http://schemas.openxmlformats.org/officeDocument/2006/relationships/hyperlink" Target="https://www.westcoast.fisheries.noaa.gov/columbia_river/index.html" TargetMode="External"/><Relationship Id="rId31" Type="http://schemas.openxmlformats.org/officeDocument/2006/relationships/hyperlink" Target="https://www.lcfrb.gen.wa.us/librarysalmonrecovery" TargetMode="External"/><Relationship Id="rId44" Type="http://schemas.openxmlformats.org/officeDocument/2006/relationships/hyperlink" Target="https://www.westcoast.fisheries.noaa.gov/columbia_river/index.html" TargetMode="External"/><Relationship Id="rId52" Type="http://schemas.openxmlformats.org/officeDocument/2006/relationships/vmlDrawing" Target="../drawings/vmlDrawing5.vml"/><Relationship Id="rId4" Type="http://schemas.openxmlformats.org/officeDocument/2006/relationships/hyperlink" Target="https://www.westcoast.fisheries.noaa.gov/protected_species/salmon_steelhead/recovery_planning_and_implementation/recovery_plans_supporting_documents.html" TargetMode="External"/><Relationship Id="rId9" Type="http://schemas.openxmlformats.org/officeDocument/2006/relationships/hyperlink" Target="https://www.westcoast.fisheries.noaa.gov/columbia_river/index.html" TargetMode="External"/><Relationship Id="rId14" Type="http://schemas.openxmlformats.org/officeDocument/2006/relationships/hyperlink" Target="https://www.westcoast.fisheries.noaa.gov/columbia_river/index.html" TargetMode="External"/><Relationship Id="rId22" Type="http://schemas.openxmlformats.org/officeDocument/2006/relationships/hyperlink" Target="https://www.westcoast.fisheries.noaa.gov/columbia_river/index.html" TargetMode="External"/><Relationship Id="rId27" Type="http://schemas.openxmlformats.org/officeDocument/2006/relationships/hyperlink" Target="https://www.westcoast.fisheries.noaa.gov/columbia_river/index.html" TargetMode="External"/><Relationship Id="rId30" Type="http://schemas.openxmlformats.org/officeDocument/2006/relationships/hyperlink" Target="https://www.westcoast.fisheries.noaa.gov/columbia_river/index.html" TargetMode="External"/><Relationship Id="rId35" Type="http://schemas.openxmlformats.org/officeDocument/2006/relationships/hyperlink" Target="https://www.lcfrb.gen.wa.us/librarysalmonrecovery" TargetMode="External"/><Relationship Id="rId43" Type="http://schemas.openxmlformats.org/officeDocument/2006/relationships/hyperlink" Target="https://www.westcoast.fisheries.noaa.gov/columbia_river/index.html" TargetMode="External"/><Relationship Id="rId48" Type="http://schemas.openxmlformats.org/officeDocument/2006/relationships/hyperlink" Target="https://www.westcoast.fisheries.noaa.gov/columbia_river/index.html" TargetMode="External"/><Relationship Id="rId8" Type="http://schemas.openxmlformats.org/officeDocument/2006/relationships/hyperlink" Target="https://www.westcoast.fisheries.noaa.gov/columbia_river/index.html" TargetMode="External"/><Relationship Id="rId5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83"/>
  <sheetViews>
    <sheetView zoomScale="80" zoomScaleNormal="80" workbookViewId="0">
      <selection activeCell="U7" sqref="U7"/>
    </sheetView>
  </sheetViews>
  <sheetFormatPr defaultRowHeight="14.4" x14ac:dyDescent="0.3"/>
  <cols>
    <col min="1" max="1" width="3" style="55" customWidth="1"/>
    <col min="2" max="12" width="8.77734375" style="55" customWidth="1"/>
    <col min="13" max="16" width="8.77734375" customWidth="1"/>
    <col min="17" max="17" width="1.6640625" customWidth="1"/>
    <col min="18" max="18" width="8.88671875" style="39"/>
    <col min="19" max="19" width="6" customWidth="1"/>
    <col min="20" max="20" width="19.77734375" customWidth="1"/>
    <col min="21" max="21" width="12.77734375" customWidth="1"/>
    <col min="22" max="22" width="11.88671875" customWidth="1"/>
    <col min="23" max="23" width="11.5546875" customWidth="1"/>
    <col min="24" max="24" width="9.88671875" customWidth="1"/>
    <col min="25" max="25" width="12.44140625" customWidth="1"/>
    <col min="26" max="26" width="2.33203125" style="39" customWidth="1"/>
  </cols>
  <sheetData>
    <row r="1" spans="1:31" ht="21" customHeight="1" x14ac:dyDescent="0.3">
      <c r="A1" s="245" t="s">
        <v>166</v>
      </c>
      <c r="B1" s="246"/>
      <c r="C1" s="246"/>
      <c r="D1" s="247"/>
      <c r="E1" s="248"/>
      <c r="F1" s="247" t="s">
        <v>143</v>
      </c>
      <c r="G1" s="249"/>
      <c r="H1" s="247"/>
      <c r="I1" s="248"/>
      <c r="J1" s="248"/>
      <c r="K1" s="247" t="s">
        <v>167</v>
      </c>
      <c r="L1" s="248"/>
      <c r="M1" s="250"/>
      <c r="N1" s="250"/>
      <c r="O1" s="247"/>
      <c r="P1" s="247"/>
      <c r="Q1" s="247"/>
    </row>
    <row r="2" spans="1:31" s="39" customFormat="1" ht="6.6" customHeight="1" x14ac:dyDescent="0.3">
      <c r="A2" s="35"/>
      <c r="B2" s="36"/>
      <c r="C2" s="36"/>
      <c r="D2" s="37"/>
      <c r="E2" s="38"/>
      <c r="F2" s="38"/>
      <c r="G2" s="38"/>
      <c r="H2" s="38"/>
      <c r="I2" s="38"/>
      <c r="J2" s="38"/>
      <c r="K2" s="38"/>
      <c r="L2" s="38"/>
    </row>
    <row r="3" spans="1:31" x14ac:dyDescent="0.3">
      <c r="A3" s="38"/>
      <c r="B3" s="38"/>
      <c r="C3" s="38"/>
      <c r="D3" s="38"/>
      <c r="E3" s="38"/>
      <c r="F3" s="38"/>
      <c r="G3" s="38"/>
      <c r="H3" s="38"/>
      <c r="I3" s="38"/>
      <c r="J3" s="38"/>
      <c r="K3" s="38"/>
      <c r="L3" s="38"/>
      <c r="M3" s="39"/>
      <c r="N3" s="39"/>
      <c r="O3" s="39"/>
      <c r="P3" s="39"/>
      <c r="Q3" s="39"/>
      <c r="S3" s="265" t="s">
        <v>144</v>
      </c>
      <c r="T3" s="266"/>
      <c r="U3" s="267" t="s">
        <v>145</v>
      </c>
      <c r="V3" s="268"/>
      <c r="W3" s="269" t="s">
        <v>146</v>
      </c>
      <c r="X3" s="270"/>
      <c r="Y3" s="271"/>
      <c r="Z3" s="38"/>
    </row>
    <row r="4" spans="1:31" x14ac:dyDescent="0.3">
      <c r="A4" s="38"/>
      <c r="B4" s="38"/>
      <c r="C4" s="38"/>
      <c r="D4" s="38"/>
      <c r="E4" s="38"/>
      <c r="F4" s="38"/>
      <c r="G4" s="38"/>
      <c r="H4" s="38"/>
      <c r="I4" s="38"/>
      <c r="J4" s="38"/>
      <c r="K4" s="38"/>
      <c r="L4" s="38"/>
      <c r="M4" s="39"/>
      <c r="N4" s="39"/>
      <c r="O4" s="39"/>
      <c r="P4" s="39"/>
      <c r="Q4" s="39"/>
      <c r="S4" s="276" t="s">
        <v>147</v>
      </c>
      <c r="T4" s="277" t="s">
        <v>148</v>
      </c>
      <c r="U4" s="272" t="s">
        <v>149</v>
      </c>
      <c r="V4" s="273" t="s">
        <v>150</v>
      </c>
      <c r="W4" s="274" t="s">
        <v>151</v>
      </c>
      <c r="X4" s="274" t="s">
        <v>152</v>
      </c>
      <c r="Y4" s="275" t="s">
        <v>130</v>
      </c>
      <c r="Z4" s="38"/>
    </row>
    <row r="5" spans="1:31" x14ac:dyDescent="0.3">
      <c r="A5" s="38"/>
      <c r="B5" s="38"/>
      <c r="C5" s="38"/>
      <c r="D5" s="38"/>
      <c r="E5" s="38"/>
      <c r="F5" s="38"/>
      <c r="G5" s="38"/>
      <c r="H5" s="38"/>
      <c r="I5" s="38"/>
      <c r="J5" s="38"/>
      <c r="K5" s="38"/>
      <c r="L5" s="38"/>
      <c r="M5" s="39"/>
      <c r="N5" s="39"/>
      <c r="O5" s="39"/>
      <c r="P5" s="39"/>
      <c r="Q5" s="39"/>
      <c r="S5" s="293" t="s">
        <v>13</v>
      </c>
      <c r="T5" s="42" t="s">
        <v>10</v>
      </c>
      <c r="U5" s="43">
        <f>Escape!AX36</f>
        <v>6765.9668143085901</v>
      </c>
      <c r="V5" s="44">
        <f>ROUND(Escape!F4,-3)</f>
        <v>10000</v>
      </c>
      <c r="W5" s="43">
        <f>Escape!R4</f>
        <v>1600</v>
      </c>
      <c r="X5" s="237">
        <f>Escape!U4</f>
        <v>3200</v>
      </c>
      <c r="Y5" s="237">
        <f>Escape!V4</f>
        <v>4800</v>
      </c>
      <c r="Z5" s="38"/>
    </row>
    <row r="6" spans="1:31" x14ac:dyDescent="0.3">
      <c r="A6" s="38"/>
      <c r="B6" s="38"/>
      <c r="C6" s="38"/>
      <c r="D6" s="38"/>
      <c r="E6" s="38"/>
      <c r="F6" s="38"/>
      <c r="G6" s="38"/>
      <c r="H6" s="38"/>
      <c r="I6" s="38"/>
      <c r="J6" s="38"/>
      <c r="K6" s="38"/>
      <c r="L6" s="38"/>
      <c r="M6" s="39"/>
      <c r="N6" s="39"/>
      <c r="O6" s="39"/>
      <c r="P6" s="39"/>
      <c r="Q6" s="39"/>
      <c r="S6" s="293"/>
      <c r="T6" s="45" t="s">
        <v>241</v>
      </c>
      <c r="U6" s="46">
        <v>200</v>
      </c>
      <c r="V6" s="47">
        <f>ROUND(Escape!F5,-3)</f>
        <v>16000</v>
      </c>
      <c r="W6" s="46">
        <f>Escape!R5</f>
        <v>1300</v>
      </c>
      <c r="X6" s="238">
        <f>Escape!U5</f>
        <v>2600</v>
      </c>
      <c r="Y6" s="238">
        <f>Escape!V5</f>
        <v>3900</v>
      </c>
      <c r="Z6" s="38"/>
    </row>
    <row r="7" spans="1:31" x14ac:dyDescent="0.3">
      <c r="A7" s="38"/>
      <c r="B7" s="38"/>
      <c r="C7" s="38"/>
      <c r="D7" s="38"/>
      <c r="E7" s="38"/>
      <c r="F7" s="38"/>
      <c r="G7" s="38"/>
      <c r="H7" s="38"/>
      <c r="I7" s="38"/>
      <c r="J7" s="38"/>
      <c r="K7" s="38"/>
      <c r="L7" s="38"/>
      <c r="M7" s="39"/>
      <c r="N7" s="39"/>
      <c r="O7" s="39"/>
      <c r="P7" s="39"/>
      <c r="Q7" s="39"/>
      <c r="S7" s="293"/>
      <c r="T7" s="45" t="s">
        <v>153</v>
      </c>
      <c r="U7" s="48">
        <v>100</v>
      </c>
      <c r="V7" s="49">
        <f>ROUND(Escape!F6,-3)</f>
        <v>7000</v>
      </c>
      <c r="W7" s="48">
        <f>Escape!R6</f>
        <v>1300</v>
      </c>
      <c r="X7" s="50">
        <f>Escape!U6</f>
        <v>2600</v>
      </c>
      <c r="Y7" s="50">
        <f>Escape!V6</f>
        <v>3900</v>
      </c>
      <c r="Z7" s="38"/>
    </row>
    <row r="8" spans="1:31" ht="15" customHeight="1" x14ac:dyDescent="0.3">
      <c r="A8" s="38"/>
      <c r="B8" s="38"/>
      <c r="C8" s="38"/>
      <c r="D8" s="38"/>
      <c r="E8" s="38"/>
      <c r="F8" s="38"/>
      <c r="G8" s="38"/>
      <c r="H8" s="38"/>
      <c r="I8" s="38"/>
      <c r="J8" s="38"/>
      <c r="K8" s="38"/>
      <c r="L8" s="38"/>
      <c r="M8" s="39"/>
      <c r="N8" s="39"/>
      <c r="O8" s="39"/>
      <c r="P8" s="39"/>
      <c r="Q8" s="39"/>
      <c r="S8" s="293"/>
      <c r="T8" s="45" t="s">
        <v>154</v>
      </c>
      <c r="U8" s="48">
        <f>Escape!$BZ$37</f>
        <v>15</v>
      </c>
      <c r="V8" s="47">
        <v>9000</v>
      </c>
      <c r="W8" s="287">
        <v>2500</v>
      </c>
      <c r="X8" s="287">
        <v>5000</v>
      </c>
      <c r="Y8" s="287">
        <v>7500</v>
      </c>
      <c r="Z8" s="38"/>
      <c r="AA8" s="176"/>
      <c r="AB8" s="176"/>
      <c r="AC8" s="176"/>
      <c r="AD8" s="176"/>
      <c r="AE8" s="176"/>
    </row>
    <row r="9" spans="1:31" x14ac:dyDescent="0.3">
      <c r="A9" s="38"/>
      <c r="B9" s="38"/>
      <c r="C9" s="38"/>
      <c r="D9" s="38"/>
      <c r="E9" s="38"/>
      <c r="F9" s="38"/>
      <c r="G9" s="38"/>
      <c r="H9" s="38"/>
      <c r="I9" s="38"/>
      <c r="J9" s="38"/>
      <c r="K9" s="38"/>
      <c r="L9" s="38"/>
      <c r="M9" s="39"/>
      <c r="N9" s="39"/>
      <c r="O9" s="39"/>
      <c r="P9" s="39"/>
      <c r="Q9" s="39"/>
      <c r="S9" s="293"/>
      <c r="T9" s="45" t="s">
        <v>155</v>
      </c>
      <c r="U9" s="48">
        <f>Escape!$BZ$39</f>
        <v>299</v>
      </c>
      <c r="V9" s="47">
        <v>5000</v>
      </c>
      <c r="W9" s="287"/>
      <c r="X9" s="287"/>
      <c r="Y9" s="287"/>
      <c r="Z9" s="38"/>
      <c r="AA9" s="176"/>
      <c r="AB9" s="176"/>
      <c r="AC9" s="176"/>
      <c r="AD9" s="176"/>
      <c r="AE9" s="176"/>
    </row>
    <row r="10" spans="1:31" x14ac:dyDescent="0.3">
      <c r="A10" s="38"/>
      <c r="B10" s="38"/>
      <c r="C10" s="38"/>
      <c r="D10" s="38"/>
      <c r="E10" s="38"/>
      <c r="F10" s="38"/>
      <c r="G10" s="38"/>
      <c r="H10" s="38"/>
      <c r="I10" s="38"/>
      <c r="J10" s="38"/>
      <c r="K10" s="38"/>
      <c r="L10" s="38"/>
      <c r="M10" s="39"/>
      <c r="N10" s="39"/>
      <c r="O10" s="39"/>
      <c r="P10" s="39"/>
      <c r="Q10" s="39"/>
      <c r="S10" s="293"/>
      <c r="T10" s="45" t="s">
        <v>92</v>
      </c>
      <c r="U10" s="48">
        <f>Escape!$BZ$41</f>
        <v>3</v>
      </c>
      <c r="V10" s="47">
        <v>6000</v>
      </c>
      <c r="W10" s="287"/>
      <c r="X10" s="287"/>
      <c r="Y10" s="287"/>
      <c r="Z10" s="38"/>
      <c r="AA10" s="176"/>
      <c r="AB10" s="176"/>
      <c r="AC10" s="176"/>
      <c r="AD10" s="176"/>
      <c r="AE10" s="176"/>
    </row>
    <row r="11" spans="1:31" x14ac:dyDescent="0.3">
      <c r="A11" s="38"/>
      <c r="B11" s="38"/>
      <c r="C11" s="38"/>
      <c r="D11" s="38"/>
      <c r="E11" s="38"/>
      <c r="F11" s="38"/>
      <c r="G11" s="38"/>
      <c r="H11" s="38"/>
      <c r="I11" s="38"/>
      <c r="J11" s="38"/>
      <c r="K11" s="38"/>
      <c r="L11" s="38"/>
      <c r="M11" s="39"/>
      <c r="N11" s="39"/>
      <c r="O11" s="39"/>
      <c r="P11" s="39"/>
      <c r="Q11" s="39"/>
      <c r="S11" s="294"/>
      <c r="T11" s="51" t="s">
        <v>93</v>
      </c>
      <c r="U11" s="52">
        <f>Escape!$BZ$43</f>
        <v>0</v>
      </c>
      <c r="V11" s="239">
        <v>500</v>
      </c>
      <c r="W11" s="288"/>
      <c r="X11" s="288"/>
      <c r="Y11" s="288"/>
      <c r="Z11" s="38"/>
      <c r="AA11" s="176"/>
      <c r="AB11" s="176"/>
      <c r="AC11" s="176"/>
      <c r="AD11" s="176"/>
      <c r="AE11" s="176"/>
    </row>
    <row r="12" spans="1:31" x14ac:dyDescent="0.3">
      <c r="A12" s="38"/>
      <c r="B12" s="38"/>
      <c r="C12" s="38"/>
      <c r="D12" s="38"/>
      <c r="E12" s="38"/>
      <c r="F12" s="38"/>
      <c r="G12" s="38"/>
      <c r="H12" s="38"/>
      <c r="I12" s="38"/>
      <c r="J12" s="38"/>
      <c r="K12" s="38"/>
      <c r="L12" s="38"/>
      <c r="M12" s="39"/>
      <c r="N12" s="39"/>
      <c r="O12" s="39"/>
      <c r="P12" s="39"/>
      <c r="Q12" s="39"/>
      <c r="S12" s="295" t="s">
        <v>21</v>
      </c>
      <c r="T12" s="42" t="s">
        <v>22</v>
      </c>
      <c r="U12" s="48">
        <v>300</v>
      </c>
      <c r="V12" s="49">
        <f>ROUND(Escape!F12,-3)</f>
        <v>195000</v>
      </c>
      <c r="W12" s="48">
        <f>Escape!R12*2</f>
        <v>1800</v>
      </c>
      <c r="X12" s="48">
        <f>Escape!T12*2</f>
        <v>3600</v>
      </c>
      <c r="Y12" s="237">
        <f>Escape!V12*2</f>
        <v>5400</v>
      </c>
      <c r="Z12" s="38"/>
      <c r="AA12" s="176"/>
      <c r="AB12" s="176"/>
      <c r="AC12" s="176"/>
      <c r="AD12" s="176"/>
      <c r="AE12" s="176"/>
    </row>
    <row r="13" spans="1:31" x14ac:dyDescent="0.3">
      <c r="A13" s="38"/>
      <c r="B13" s="38"/>
      <c r="C13" s="38"/>
      <c r="D13" s="38"/>
      <c r="E13" s="38"/>
      <c r="F13" s="38"/>
      <c r="G13" s="38"/>
      <c r="H13" s="38"/>
      <c r="I13" s="38"/>
      <c r="J13" s="38"/>
      <c r="K13" s="38"/>
      <c r="L13" s="38"/>
      <c r="M13" s="39"/>
      <c r="N13" s="39"/>
      <c r="O13" s="39"/>
      <c r="P13" s="39"/>
      <c r="Q13" s="39"/>
      <c r="S13" s="296"/>
      <c r="T13" s="45" t="s">
        <v>23</v>
      </c>
      <c r="U13" s="48">
        <v>100</v>
      </c>
      <c r="V13" s="49">
        <f>ROUND(Escape!$F$13,-3)</f>
        <v>21000</v>
      </c>
      <c r="W13" s="48">
        <f>Escape!R13</f>
        <v>900</v>
      </c>
      <c r="X13" s="48">
        <f>Escape!U13</f>
        <v>1800</v>
      </c>
      <c r="Y13" s="50">
        <f>Escape!V13</f>
        <v>2700</v>
      </c>
      <c r="Z13" s="38"/>
      <c r="AA13" s="176"/>
      <c r="AB13" s="176"/>
      <c r="AC13" s="176"/>
      <c r="AD13" s="176"/>
      <c r="AE13" s="176"/>
    </row>
    <row r="14" spans="1:31" x14ac:dyDescent="0.3">
      <c r="A14" s="38"/>
      <c r="B14" s="38"/>
      <c r="C14" s="38"/>
      <c r="D14" s="38"/>
      <c r="E14" s="38"/>
      <c r="F14" s="38"/>
      <c r="G14" s="38"/>
      <c r="H14" s="38"/>
      <c r="I14" s="38"/>
      <c r="J14" s="38"/>
      <c r="K14" s="38"/>
      <c r="L14" s="38"/>
      <c r="M14" s="39"/>
      <c r="N14" s="39"/>
      <c r="O14" s="39"/>
      <c r="P14" s="39"/>
      <c r="Q14" s="39"/>
      <c r="S14" s="296"/>
      <c r="T14" s="45" t="s">
        <v>24</v>
      </c>
      <c r="U14" s="48">
        <v>100</v>
      </c>
      <c r="V14" s="49">
        <f>ROUND(Escape!F14,-3)</f>
        <v>125000</v>
      </c>
      <c r="W14" s="48">
        <f>Escape!R14</f>
        <v>1300</v>
      </c>
      <c r="X14" s="48">
        <f>Escape!U14</f>
        <v>2600</v>
      </c>
      <c r="Y14" s="50">
        <f>Escape!V14</f>
        <v>3900</v>
      </c>
      <c r="Z14" s="38"/>
      <c r="AA14" s="176"/>
      <c r="AB14" s="176"/>
      <c r="AC14" s="176"/>
      <c r="AD14" s="176"/>
      <c r="AE14" s="176"/>
    </row>
    <row r="15" spans="1:31" x14ac:dyDescent="0.3">
      <c r="A15" s="38"/>
      <c r="B15" s="38"/>
      <c r="C15" s="38"/>
      <c r="D15" s="38"/>
      <c r="E15" s="38"/>
      <c r="F15" s="38"/>
      <c r="G15" s="38"/>
      <c r="H15" s="38"/>
      <c r="I15" s="38"/>
      <c r="J15" s="38"/>
      <c r="K15" s="38"/>
      <c r="L15" s="38"/>
      <c r="M15" s="39"/>
      <c r="N15" s="39"/>
      <c r="O15" s="39"/>
      <c r="P15" s="39"/>
      <c r="Q15" s="39"/>
      <c r="S15" s="296"/>
      <c r="T15" s="45" t="s">
        <v>25</v>
      </c>
      <c r="U15" s="48">
        <v>100</v>
      </c>
      <c r="V15" s="49">
        <f>ROUND(Escape!F15,-3)</f>
        <v>4000</v>
      </c>
      <c r="W15" s="48">
        <v>100</v>
      </c>
      <c r="X15" s="48">
        <v>200</v>
      </c>
      <c r="Y15" s="50">
        <v>300</v>
      </c>
      <c r="Z15" s="38"/>
      <c r="AA15" s="176"/>
      <c r="AB15" s="176"/>
      <c r="AC15" s="176"/>
      <c r="AD15" s="176"/>
      <c r="AE15" s="176"/>
    </row>
    <row r="16" spans="1:31" x14ac:dyDescent="0.3">
      <c r="A16" s="38"/>
      <c r="B16" s="38"/>
      <c r="C16" s="38"/>
      <c r="D16" s="38"/>
      <c r="E16" s="38"/>
      <c r="F16" s="38"/>
      <c r="G16" s="38"/>
      <c r="H16" s="38"/>
      <c r="I16" s="38"/>
      <c r="J16" s="38"/>
      <c r="K16" s="38"/>
      <c r="L16" s="38"/>
      <c r="M16" s="39"/>
      <c r="N16" s="39"/>
      <c r="O16" s="39"/>
      <c r="P16" s="39"/>
      <c r="Q16" s="39"/>
      <c r="S16" s="296"/>
      <c r="T16" s="45" t="s">
        <v>196</v>
      </c>
      <c r="U16" s="48">
        <f>Escape!AX20</f>
        <v>1911.3947509156631</v>
      </c>
      <c r="V16" s="49">
        <f>ROUND(Escape!F16,-3)</f>
        <v>18000</v>
      </c>
      <c r="W16" s="48">
        <f>Escape!R16</f>
        <v>1300</v>
      </c>
      <c r="X16" s="48">
        <f>Escape!U16</f>
        <v>2600</v>
      </c>
      <c r="Y16" s="50">
        <f>Escape!V16</f>
        <v>3900</v>
      </c>
      <c r="Z16" s="38"/>
    </row>
    <row r="17" spans="1:35" x14ac:dyDescent="0.3">
      <c r="A17" s="38"/>
      <c r="B17" s="38"/>
      <c r="C17" s="38"/>
      <c r="D17" s="38"/>
      <c r="E17" s="38"/>
      <c r="F17" s="38"/>
      <c r="G17" s="38"/>
      <c r="H17" s="38"/>
      <c r="I17" s="38"/>
      <c r="J17" s="38"/>
      <c r="K17" s="38"/>
      <c r="L17" s="38"/>
      <c r="M17" s="39"/>
      <c r="N17" s="39"/>
      <c r="O17" s="39"/>
      <c r="P17" s="39"/>
      <c r="Q17" s="39"/>
      <c r="S17" s="297"/>
      <c r="T17" s="45" t="s">
        <v>94</v>
      </c>
      <c r="U17" s="46">
        <f>Escape!E17</f>
        <v>0</v>
      </c>
      <c r="V17" s="47">
        <v>12000</v>
      </c>
      <c r="W17" s="46">
        <f>Escape!R17</f>
        <v>500</v>
      </c>
      <c r="X17" s="46">
        <f>Escape!U17</f>
        <v>1000</v>
      </c>
      <c r="Y17" s="238">
        <f>Escape!V17</f>
        <v>1500</v>
      </c>
      <c r="Z17" s="38"/>
    </row>
    <row r="18" spans="1:35" x14ac:dyDescent="0.3">
      <c r="A18" s="38"/>
      <c r="B18" s="38"/>
      <c r="C18" s="38"/>
      <c r="D18" s="38"/>
      <c r="E18" s="38"/>
      <c r="F18" s="38"/>
      <c r="G18" s="38"/>
      <c r="H18" s="38"/>
      <c r="I18" s="38"/>
      <c r="J18" s="38"/>
      <c r="K18" s="38"/>
      <c r="L18" s="38"/>
      <c r="M18" s="39"/>
      <c r="N18" s="39"/>
      <c r="O18" s="39"/>
      <c r="P18" s="39"/>
      <c r="Q18" s="39"/>
      <c r="S18" s="298"/>
      <c r="T18" s="51" t="s">
        <v>95</v>
      </c>
      <c r="U18" s="52">
        <v>0</v>
      </c>
      <c r="V18" s="239">
        <v>14000</v>
      </c>
      <c r="W18" s="52">
        <f>Escape!R18</f>
        <v>1000</v>
      </c>
      <c r="X18" s="52">
        <f>Escape!U18</f>
        <v>2000</v>
      </c>
      <c r="Y18" s="240">
        <f>Escape!V18</f>
        <v>3000</v>
      </c>
      <c r="Z18" s="38"/>
    </row>
    <row r="19" spans="1:35" x14ac:dyDescent="0.3">
      <c r="A19" s="38"/>
      <c r="B19" s="38"/>
      <c r="C19" s="39" t="s">
        <v>3</v>
      </c>
      <c r="D19" s="130">
        <f>U21</f>
        <v>11761.903477669635</v>
      </c>
      <c r="E19" s="38"/>
      <c r="F19" s="38"/>
      <c r="G19" s="38"/>
      <c r="H19" s="38"/>
      <c r="I19" s="38"/>
      <c r="J19" s="38"/>
      <c r="K19" s="38"/>
      <c r="L19" s="38"/>
      <c r="M19" s="39"/>
      <c r="N19" s="39"/>
      <c r="O19" s="39"/>
      <c r="P19" s="39"/>
      <c r="Q19" s="39"/>
      <c r="S19" s="299" t="s">
        <v>26</v>
      </c>
      <c r="T19" s="42" t="s">
        <v>391</v>
      </c>
      <c r="U19" s="43">
        <f>Escape!AX52</f>
        <v>1786.5419124453822</v>
      </c>
      <c r="V19" s="241">
        <v>7800</v>
      </c>
      <c r="W19" s="43">
        <f>Escape!R20</f>
        <v>2000</v>
      </c>
      <c r="X19" s="43">
        <f>Escape!U20</f>
        <v>4000</v>
      </c>
      <c r="Y19" s="237">
        <f>Escape!V20</f>
        <v>6000</v>
      </c>
      <c r="Z19" s="38"/>
    </row>
    <row r="20" spans="1:35" x14ac:dyDescent="0.3">
      <c r="A20" s="38"/>
      <c r="B20" s="38"/>
      <c r="C20" s="39" t="s">
        <v>216</v>
      </c>
      <c r="D20" s="130">
        <f>W21</f>
        <v>16500</v>
      </c>
      <c r="E20" s="38"/>
      <c r="F20" s="38"/>
      <c r="G20" s="38"/>
      <c r="H20" s="38"/>
      <c r="I20" s="38"/>
      <c r="J20" s="38"/>
      <c r="K20" s="38"/>
      <c r="L20" s="38"/>
      <c r="M20" s="39"/>
      <c r="N20" s="39"/>
      <c r="O20" s="39"/>
      <c r="P20" s="39"/>
      <c r="Q20" s="39"/>
      <c r="S20" s="299"/>
      <c r="T20" s="45" t="s">
        <v>392</v>
      </c>
      <c r="U20" s="52">
        <f>ROUND(Escape!AU65,0)</f>
        <v>81</v>
      </c>
      <c r="V20" s="53">
        <f>ROUND(Escape!F21,-3)</f>
        <v>11000</v>
      </c>
      <c r="W20" s="54">
        <f>Escape!R21</f>
        <v>900</v>
      </c>
      <c r="X20" s="54">
        <f>Escape!U21</f>
        <v>1800</v>
      </c>
      <c r="Y20" s="242">
        <f>Escape!V21</f>
        <v>2700</v>
      </c>
      <c r="Z20" s="38"/>
    </row>
    <row r="21" spans="1:35" x14ac:dyDescent="0.3">
      <c r="A21" s="38"/>
      <c r="B21" s="38"/>
      <c r="C21" s="39" t="s">
        <v>217</v>
      </c>
      <c r="D21" s="130">
        <f>X21</f>
        <v>33000</v>
      </c>
      <c r="E21" s="38"/>
      <c r="F21" s="38"/>
      <c r="G21" s="38"/>
      <c r="H21" s="38"/>
      <c r="I21" s="38"/>
      <c r="J21" s="38"/>
      <c r="K21" s="38"/>
      <c r="L21" s="38"/>
      <c r="M21" s="39"/>
      <c r="N21" s="39"/>
      <c r="O21" s="39"/>
      <c r="P21" s="39"/>
      <c r="Q21" s="39"/>
      <c r="S21" s="278" t="s">
        <v>156</v>
      </c>
      <c r="T21" s="279"/>
      <c r="U21" s="280">
        <f>SUM(U5:U20)</f>
        <v>11761.903477669635</v>
      </c>
      <c r="V21" s="281">
        <f>SUM(V5:V20)</f>
        <v>461300</v>
      </c>
      <c r="W21" s="282">
        <f>SUM(W5:W20)</f>
        <v>16500</v>
      </c>
      <c r="X21" s="282">
        <f>SUM(X5:X20)</f>
        <v>33000</v>
      </c>
      <c r="Y21" s="283">
        <f>SUM(Y5:Y20)</f>
        <v>49500</v>
      </c>
      <c r="Z21" s="38"/>
      <c r="AB21" s="27"/>
    </row>
    <row r="22" spans="1:35" x14ac:dyDescent="0.3">
      <c r="A22" s="38"/>
      <c r="B22" s="38"/>
      <c r="C22" s="39" t="s">
        <v>218</v>
      </c>
      <c r="D22" s="130">
        <f>Y21</f>
        <v>49500</v>
      </c>
      <c r="E22" s="38"/>
      <c r="F22" s="38"/>
      <c r="G22" s="38"/>
      <c r="H22" s="38"/>
      <c r="I22" s="38"/>
      <c r="J22" s="38"/>
      <c r="K22" s="38"/>
      <c r="L22" s="38"/>
      <c r="M22" s="39"/>
      <c r="N22" s="39"/>
      <c r="O22" s="39"/>
      <c r="P22" s="39"/>
      <c r="Q22" s="39"/>
      <c r="S22" s="39"/>
      <c r="T22" s="39"/>
      <c r="U22" s="39"/>
      <c r="V22" s="39"/>
      <c r="W22" s="39"/>
      <c r="X22" s="39"/>
      <c r="Y22" s="39"/>
      <c r="Z22" s="38"/>
    </row>
    <row r="23" spans="1:35" ht="14.4" customHeight="1" x14ac:dyDescent="0.3">
      <c r="A23" s="38"/>
      <c r="B23" s="38"/>
      <c r="C23" s="39" t="s">
        <v>150</v>
      </c>
      <c r="D23" s="130">
        <f>V21</f>
        <v>461300</v>
      </c>
      <c r="E23" s="38"/>
      <c r="F23" s="38"/>
      <c r="G23" s="38"/>
      <c r="H23" s="38"/>
      <c r="I23" s="38"/>
      <c r="J23" s="38"/>
      <c r="K23" s="38"/>
      <c r="L23" s="38"/>
      <c r="M23" s="39"/>
      <c r="N23" s="39"/>
      <c r="O23" s="39"/>
      <c r="P23" s="39"/>
      <c r="Q23" s="39"/>
      <c r="S23" s="56" t="s">
        <v>189</v>
      </c>
      <c r="T23" s="111"/>
      <c r="U23" s="112" t="s">
        <v>190</v>
      </c>
      <c r="V23" s="113"/>
      <c r="W23" s="113"/>
      <c r="X23" s="168" t="s">
        <v>60</v>
      </c>
      <c r="Y23" s="114" t="s">
        <v>219</v>
      </c>
      <c r="Z23" s="38"/>
    </row>
    <row r="24" spans="1:35" ht="18" x14ac:dyDescent="0.35">
      <c r="A24" s="38"/>
      <c r="B24" s="38"/>
      <c r="C24" s="38"/>
      <c r="D24" s="38"/>
      <c r="E24" s="38"/>
      <c r="F24" s="38"/>
      <c r="G24" s="38"/>
      <c r="H24" s="38"/>
      <c r="I24" s="38"/>
      <c r="J24" s="38"/>
      <c r="K24" s="38"/>
      <c r="L24" s="38"/>
      <c r="M24" s="39"/>
      <c r="N24" s="39"/>
      <c r="O24" s="39"/>
      <c r="P24" s="39"/>
      <c r="Q24" s="39"/>
      <c r="S24" s="115" t="s">
        <v>157</v>
      </c>
      <c r="T24" s="116"/>
      <c r="U24" s="117" t="s">
        <v>158</v>
      </c>
      <c r="V24" s="117" t="s">
        <v>159</v>
      </c>
      <c r="W24" s="117" t="s">
        <v>160</v>
      </c>
      <c r="X24" s="117" t="s">
        <v>184</v>
      </c>
      <c r="Y24" s="284" t="s">
        <v>191</v>
      </c>
      <c r="Z24" s="38"/>
      <c r="AD24" s="215"/>
    </row>
    <row r="25" spans="1:35" x14ac:dyDescent="0.3">
      <c r="A25" s="38"/>
      <c r="B25" s="38"/>
      <c r="C25" s="38"/>
      <c r="D25" s="38"/>
      <c r="E25" s="38"/>
      <c r="F25" s="38"/>
      <c r="G25" s="38"/>
      <c r="H25" s="38"/>
      <c r="I25" s="38"/>
      <c r="J25" s="38"/>
      <c r="K25" s="38"/>
      <c r="L25" s="38"/>
      <c r="M25" s="39"/>
      <c r="N25" s="39"/>
      <c r="O25" s="39"/>
      <c r="P25" s="39"/>
      <c r="Q25" s="39"/>
      <c r="S25" s="42" t="s">
        <v>170</v>
      </c>
      <c r="T25" s="65"/>
      <c r="U25" s="66">
        <v>178</v>
      </c>
      <c r="V25" s="66">
        <v>0</v>
      </c>
      <c r="W25" s="66">
        <v>250000</v>
      </c>
      <c r="X25" s="104"/>
      <c r="Y25" s="167">
        <f>W25</f>
        <v>250000</v>
      </c>
      <c r="Z25" s="38"/>
    </row>
    <row r="26" spans="1:35" x14ac:dyDescent="0.3">
      <c r="A26" s="38"/>
      <c r="B26" s="38"/>
      <c r="C26" s="38"/>
      <c r="D26" s="38"/>
      <c r="E26" s="38"/>
      <c r="F26" s="38"/>
      <c r="G26" s="38"/>
      <c r="H26" s="38"/>
      <c r="I26" s="38"/>
      <c r="J26" s="38"/>
      <c r="K26" s="38"/>
      <c r="L26" s="38"/>
      <c r="M26" s="39"/>
      <c r="N26" s="39"/>
      <c r="O26" s="39"/>
      <c r="P26" s="39"/>
      <c r="Q26" s="39"/>
      <c r="S26" s="45" t="s">
        <v>347</v>
      </c>
      <c r="U26" s="137" t="s">
        <v>164</v>
      </c>
      <c r="V26" s="64">
        <v>0</v>
      </c>
      <c r="W26" s="64">
        <v>290000</v>
      </c>
      <c r="X26" s="110"/>
      <c r="Y26" s="106">
        <f>W26</f>
        <v>290000</v>
      </c>
      <c r="Z26" s="38"/>
    </row>
    <row r="27" spans="1:35" x14ac:dyDescent="0.3">
      <c r="A27" s="38"/>
      <c r="B27" s="38"/>
      <c r="C27" s="38"/>
      <c r="D27" s="38"/>
      <c r="E27" s="38"/>
      <c r="F27" s="38"/>
      <c r="G27" s="38"/>
      <c r="H27" s="38"/>
      <c r="I27" s="38"/>
      <c r="J27" s="38"/>
      <c r="K27" s="38"/>
      <c r="L27" s="38"/>
      <c r="M27" s="39"/>
      <c r="N27" s="39"/>
      <c r="O27" s="39"/>
      <c r="P27" s="39"/>
      <c r="Q27" s="39"/>
      <c r="S27" s="45" t="s">
        <v>168</v>
      </c>
      <c r="U27" s="57">
        <f>'T3 Hatchery'!D18</f>
        <v>88.08827335556191</v>
      </c>
      <c r="V27" s="57">
        <v>0</v>
      </c>
      <c r="W27" s="57">
        <v>115000</v>
      </c>
      <c r="X27" s="110"/>
      <c r="Y27" s="106">
        <f>W27</f>
        <v>115000</v>
      </c>
      <c r="Z27" s="38"/>
      <c r="AA27" s="38"/>
      <c r="AB27" s="38"/>
      <c r="AC27" s="39"/>
      <c r="AD27" s="39"/>
      <c r="AE27" s="39"/>
      <c r="AF27" s="39"/>
      <c r="AG27" s="39"/>
      <c r="AH27" s="39"/>
      <c r="AI27" s="39"/>
    </row>
    <row r="28" spans="1:35" x14ac:dyDescent="0.3">
      <c r="A28" s="38"/>
      <c r="B28" s="38"/>
      <c r="C28" s="38"/>
      <c r="D28" s="38"/>
      <c r="E28" s="38"/>
      <c r="F28" s="38"/>
      <c r="G28" s="38"/>
      <c r="H28" s="38"/>
      <c r="I28" s="38"/>
      <c r="J28" s="38"/>
      <c r="K28" s="38"/>
      <c r="L28" s="38"/>
      <c r="M28" s="39"/>
      <c r="N28" s="39"/>
      <c r="O28" s="39"/>
      <c r="P28" s="39"/>
      <c r="Q28" s="39"/>
      <c r="S28" s="45" t="s">
        <v>169</v>
      </c>
      <c r="U28" s="57">
        <f>'T3 Hatchery'!D19</f>
        <v>53.670798842002455</v>
      </c>
      <c r="V28" s="57">
        <v>0</v>
      </c>
      <c r="W28" s="57">
        <v>115000</v>
      </c>
      <c r="X28" s="110"/>
      <c r="Y28" s="106">
        <f>W28</f>
        <v>115000</v>
      </c>
      <c r="Z28" s="38"/>
      <c r="AA28" s="38"/>
      <c r="AB28" s="38"/>
      <c r="AC28" s="39"/>
      <c r="AD28" s="39"/>
      <c r="AE28" s="39"/>
      <c r="AF28" s="39"/>
      <c r="AG28" s="39"/>
      <c r="AH28" s="39"/>
      <c r="AI28" s="39"/>
    </row>
    <row r="29" spans="1:35" x14ac:dyDescent="0.3">
      <c r="A29" s="38"/>
      <c r="B29" s="38"/>
      <c r="C29" s="38"/>
      <c r="D29" s="38"/>
      <c r="E29" s="38"/>
      <c r="F29" s="38"/>
      <c r="G29" s="38"/>
      <c r="H29" s="38"/>
      <c r="I29" s="38"/>
      <c r="J29" s="38"/>
      <c r="K29" s="38"/>
      <c r="L29" s="38"/>
      <c r="M29" s="39"/>
      <c r="N29" s="39"/>
      <c r="O29" s="39"/>
      <c r="P29" s="39"/>
      <c r="Q29" s="39"/>
      <c r="S29" s="120" t="s">
        <v>156</v>
      </c>
      <c r="T29" s="121"/>
      <c r="U29" s="123">
        <f>SUM(U25:U28)</f>
        <v>319.75907219756436</v>
      </c>
      <c r="V29" s="123">
        <f>SUM(V25:V28)</f>
        <v>0</v>
      </c>
      <c r="W29" s="123">
        <f>SUM(W25:W28)</f>
        <v>770000</v>
      </c>
      <c r="X29" s="122"/>
      <c r="Y29" s="150">
        <f>SUM(Y25:Y28)</f>
        <v>770000</v>
      </c>
      <c r="Z29" s="38"/>
      <c r="AA29" s="38"/>
      <c r="AB29" s="38"/>
      <c r="AC29" s="39"/>
      <c r="AD29" s="39"/>
      <c r="AE29" s="39"/>
      <c r="AF29" s="39"/>
      <c r="AG29" s="39"/>
      <c r="AH29" s="39"/>
      <c r="AI29" s="39"/>
    </row>
    <row r="30" spans="1:35" x14ac:dyDescent="0.3">
      <c r="A30" s="38"/>
      <c r="B30" s="38"/>
      <c r="C30" s="38"/>
      <c r="D30" s="38"/>
      <c r="E30" s="38"/>
      <c r="F30" s="39"/>
      <c r="G30" s="39"/>
      <c r="H30" s="39"/>
      <c r="I30" s="39"/>
      <c r="J30" s="39"/>
      <c r="K30" s="39"/>
      <c r="L30" s="39"/>
      <c r="M30" s="39"/>
      <c r="N30" s="39"/>
      <c r="O30" s="39"/>
      <c r="P30" s="39"/>
      <c r="Q30" s="39"/>
      <c r="S30" s="39"/>
      <c r="T30" s="39"/>
      <c r="U30" s="39"/>
      <c r="V30" s="39"/>
      <c r="W30" s="39"/>
      <c r="X30" s="39"/>
      <c r="Y30" s="39"/>
    </row>
    <row r="31" spans="1:35" x14ac:dyDescent="0.3">
      <c r="A31" s="38"/>
      <c r="B31" s="38"/>
      <c r="C31" s="38"/>
      <c r="D31" s="38"/>
      <c r="E31" s="38"/>
      <c r="F31" s="38"/>
      <c r="G31" s="38"/>
      <c r="H31" s="38"/>
      <c r="I31" s="38"/>
      <c r="J31" s="38"/>
      <c r="K31" s="38"/>
      <c r="L31" s="38"/>
      <c r="M31" s="39"/>
      <c r="N31" s="39"/>
      <c r="O31" s="39"/>
      <c r="P31" s="39"/>
      <c r="Q31" s="39"/>
      <c r="S31" s="99" t="s">
        <v>161</v>
      </c>
      <c r="T31" s="100"/>
      <c r="U31" s="101" t="s">
        <v>181</v>
      </c>
      <c r="V31" s="101"/>
      <c r="W31" s="102"/>
      <c r="X31" s="174" t="s">
        <v>182</v>
      </c>
      <c r="Y31" s="103"/>
    </row>
    <row r="32" spans="1:35" x14ac:dyDescent="0.3">
      <c r="A32" s="38"/>
      <c r="B32" s="38"/>
      <c r="C32" s="38"/>
      <c r="D32" s="38"/>
      <c r="E32" s="38"/>
      <c r="F32" s="38"/>
      <c r="G32" s="38"/>
      <c r="H32" s="38"/>
      <c r="I32" s="38"/>
      <c r="J32" s="38"/>
      <c r="K32" s="38"/>
      <c r="L32" s="38"/>
      <c r="M32" s="39"/>
      <c r="N32" s="39"/>
      <c r="O32" s="39"/>
      <c r="P32" s="39"/>
      <c r="Q32" s="39"/>
      <c r="S32" s="124"/>
      <c r="T32" s="125" t="s">
        <v>163</v>
      </c>
      <c r="U32" s="126" t="s">
        <v>183</v>
      </c>
      <c r="V32" s="126" t="s">
        <v>220</v>
      </c>
      <c r="W32" s="126" t="s">
        <v>221</v>
      </c>
      <c r="X32" s="170" t="s">
        <v>149</v>
      </c>
      <c r="Y32" s="127" t="s">
        <v>221</v>
      </c>
    </row>
    <row r="33" spans="1:26" x14ac:dyDescent="0.3">
      <c r="A33" s="38"/>
      <c r="B33" s="38"/>
      <c r="C33" s="38"/>
      <c r="D33" s="38"/>
      <c r="E33" s="38"/>
      <c r="F33" s="38"/>
      <c r="G33" s="38"/>
      <c r="H33" s="38"/>
      <c r="I33" s="38"/>
      <c r="J33" s="38"/>
      <c r="K33" s="38"/>
      <c r="L33" s="38"/>
      <c r="M33" s="39"/>
      <c r="N33" s="39"/>
      <c r="O33" s="39"/>
      <c r="P33" s="39"/>
      <c r="Q33" s="39"/>
      <c r="S33" s="294" t="s">
        <v>63</v>
      </c>
      <c r="T33" s="42" t="s">
        <v>171</v>
      </c>
      <c r="U33" s="128" t="s">
        <v>164</v>
      </c>
      <c r="V33" s="128" t="s">
        <v>164</v>
      </c>
      <c r="W33" s="128" t="s">
        <v>164</v>
      </c>
      <c r="X33" s="171" t="s">
        <v>164</v>
      </c>
      <c r="Y33" s="129" t="s">
        <v>164</v>
      </c>
    </row>
    <row r="34" spans="1:26" x14ac:dyDescent="0.3">
      <c r="A34" s="38"/>
      <c r="B34" s="38"/>
      <c r="C34" s="38"/>
      <c r="D34" s="38"/>
      <c r="E34" s="38"/>
      <c r="F34" s="38"/>
      <c r="G34" s="38"/>
      <c r="H34" s="38"/>
      <c r="I34" s="38"/>
      <c r="J34" s="38"/>
      <c r="K34" s="38"/>
      <c r="L34" s="38"/>
      <c r="M34" s="39"/>
      <c r="N34" s="39"/>
      <c r="O34" s="39"/>
      <c r="P34" s="39"/>
      <c r="Q34" s="39"/>
      <c r="S34" s="300"/>
      <c r="T34" s="51" t="s">
        <v>165</v>
      </c>
      <c r="U34" s="156">
        <f>ROUND(Run!U20,3)</f>
        <v>6.0000000000000001E-3</v>
      </c>
      <c r="V34" s="157" t="s">
        <v>100</v>
      </c>
      <c r="W34" s="157" t="s">
        <v>222</v>
      </c>
      <c r="X34" s="172">
        <f>ROUND(Run!S20,-1)</f>
        <v>80</v>
      </c>
      <c r="Y34" s="243">
        <f>Conv!P9</f>
        <v>0.4</v>
      </c>
    </row>
    <row r="35" spans="1:26" x14ac:dyDescent="0.3">
      <c r="A35" s="38"/>
      <c r="B35" s="38"/>
      <c r="C35" s="38"/>
      <c r="D35" s="38"/>
      <c r="E35" s="38"/>
      <c r="F35" s="38"/>
      <c r="G35" s="38"/>
      <c r="H35" s="38"/>
      <c r="I35" s="38"/>
      <c r="J35" s="38"/>
      <c r="K35" s="38"/>
      <c r="L35" s="38"/>
      <c r="M35" s="39"/>
      <c r="N35" s="39"/>
      <c r="O35" s="39"/>
      <c r="P35" s="39"/>
      <c r="Q35" s="39"/>
      <c r="S35" s="301"/>
      <c r="T35" s="154" t="s">
        <v>9</v>
      </c>
      <c r="U35" s="155">
        <f>U34</f>
        <v>6.0000000000000001E-3</v>
      </c>
      <c r="V35" s="155" t="str">
        <f t="shared" ref="V35" si="0">V34</f>
        <v>&lt;5%</v>
      </c>
      <c r="W35" s="155" t="str">
        <f>W34</f>
        <v>10-30%</v>
      </c>
      <c r="X35" s="173" t="s">
        <v>164</v>
      </c>
      <c r="Y35" s="244">
        <f>Y34</f>
        <v>0.4</v>
      </c>
    </row>
    <row r="36" spans="1:26" x14ac:dyDescent="0.3">
      <c r="A36" s="38"/>
      <c r="B36" s="38"/>
      <c r="C36" s="38"/>
      <c r="D36" s="38"/>
      <c r="E36" s="38"/>
      <c r="F36" s="38"/>
      <c r="G36" s="38"/>
      <c r="H36" s="38"/>
      <c r="I36" s="38"/>
      <c r="J36" s="38"/>
      <c r="K36" s="38"/>
      <c r="L36" s="38"/>
      <c r="M36" s="39"/>
      <c r="N36" s="39"/>
      <c r="O36" s="39"/>
      <c r="P36" s="39"/>
      <c r="Q36" s="39"/>
      <c r="S36" s="251"/>
      <c r="T36" s="252"/>
      <c r="U36" s="253"/>
      <c r="V36" s="253"/>
      <c r="W36" s="253"/>
      <c r="X36" s="254"/>
      <c r="Y36" s="255"/>
    </row>
    <row r="37" spans="1:26" x14ac:dyDescent="0.3">
      <c r="A37" s="38"/>
      <c r="B37" s="38"/>
      <c r="C37" s="38"/>
      <c r="D37" s="38"/>
      <c r="E37" s="38"/>
      <c r="F37" s="38"/>
      <c r="G37" s="38"/>
      <c r="H37" s="38"/>
      <c r="I37" s="38"/>
      <c r="J37" s="38"/>
      <c r="K37" s="38"/>
      <c r="L37" s="38"/>
      <c r="M37" s="39"/>
      <c r="N37" s="39"/>
      <c r="O37" s="39"/>
      <c r="P37" s="39"/>
      <c r="Q37" s="39"/>
      <c r="S37" s="289" t="s">
        <v>186</v>
      </c>
      <c r="T37" s="290"/>
      <c r="U37" s="260" t="s">
        <v>389</v>
      </c>
      <c r="V37" s="261" t="s">
        <v>187</v>
      </c>
      <c r="W37" s="262"/>
      <c r="X37" s="263"/>
      <c r="Y37" s="255"/>
    </row>
    <row r="38" spans="1:26" x14ac:dyDescent="0.3">
      <c r="A38" s="38"/>
      <c r="B38" s="38"/>
      <c r="C38" s="38"/>
      <c r="D38" s="38"/>
      <c r="E38" s="38"/>
      <c r="F38" s="38"/>
      <c r="G38" s="38"/>
      <c r="H38" s="38"/>
      <c r="I38" s="38"/>
      <c r="J38" s="38"/>
      <c r="K38" s="38"/>
      <c r="L38" s="38"/>
      <c r="M38" s="39"/>
      <c r="N38" s="39"/>
      <c r="O38" s="39"/>
      <c r="P38" s="39"/>
      <c r="Q38" s="39"/>
      <c r="S38" s="291"/>
      <c r="T38" s="292"/>
      <c r="U38" s="40" t="s">
        <v>390</v>
      </c>
      <c r="V38" s="264" t="s">
        <v>151</v>
      </c>
      <c r="W38" s="264" t="s">
        <v>152</v>
      </c>
      <c r="X38" s="41" t="s">
        <v>130</v>
      </c>
      <c r="Y38" s="255"/>
    </row>
    <row r="39" spans="1:26" x14ac:dyDescent="0.3">
      <c r="A39" s="38"/>
      <c r="B39" s="38"/>
      <c r="C39" s="38"/>
      <c r="D39" s="38"/>
      <c r="E39" s="38"/>
      <c r="F39" s="38"/>
      <c r="G39" s="38"/>
      <c r="H39" s="38"/>
      <c r="I39" s="38"/>
      <c r="J39" s="38"/>
      <c r="K39" s="38"/>
      <c r="L39" s="38"/>
      <c r="M39" s="39"/>
      <c r="N39" s="39"/>
      <c r="O39" s="39"/>
      <c r="P39" s="39"/>
      <c r="Q39" s="39"/>
      <c r="S39" s="109" t="s">
        <v>178</v>
      </c>
      <c r="T39" s="65"/>
      <c r="U39" s="136">
        <f>ROUND(Run!T20,-3)</f>
        <v>15000</v>
      </c>
      <c r="V39" s="136">
        <f>ROUND(Conv!H7,-3)</f>
        <v>21000</v>
      </c>
      <c r="W39" s="136">
        <f>ROUND(Conv!H8,-3)</f>
        <v>51000</v>
      </c>
      <c r="X39" s="153">
        <f>ROUND(Conv!H9,-3)</f>
        <v>102000</v>
      </c>
      <c r="Y39" s="135"/>
      <c r="Z39" s="135"/>
    </row>
    <row r="40" spans="1:26" x14ac:dyDescent="0.3">
      <c r="A40" s="38"/>
      <c r="B40" s="38"/>
      <c r="C40" s="38"/>
      <c r="D40" s="38"/>
      <c r="E40" s="38"/>
      <c r="F40" s="38"/>
      <c r="G40" s="38"/>
      <c r="H40" s="38"/>
      <c r="I40" s="38"/>
      <c r="J40" s="38"/>
      <c r="K40" s="38"/>
      <c r="L40" s="38"/>
      <c r="M40" s="39"/>
      <c r="N40" s="39"/>
      <c r="O40" s="39"/>
      <c r="P40" s="39"/>
      <c r="Q40" s="39"/>
      <c r="S40" s="45"/>
      <c r="T40" t="s">
        <v>185</v>
      </c>
      <c r="U40" s="149"/>
      <c r="V40" s="105"/>
      <c r="W40" s="105"/>
      <c r="X40" s="151"/>
      <c r="Y40" s="39"/>
    </row>
    <row r="41" spans="1:26" x14ac:dyDescent="0.3">
      <c r="A41" s="38"/>
      <c r="B41" s="38"/>
      <c r="C41" s="38"/>
      <c r="D41" s="38"/>
      <c r="E41" s="38"/>
      <c r="F41" s="38"/>
      <c r="G41" s="38"/>
      <c r="H41" s="38"/>
      <c r="I41" s="38"/>
      <c r="J41" s="38"/>
      <c r="K41" s="38"/>
      <c r="L41" s="38"/>
      <c r="M41" s="39"/>
      <c r="N41" s="39"/>
      <c r="O41" s="39"/>
      <c r="P41" s="39"/>
      <c r="Q41" s="39"/>
      <c r="S41" s="45"/>
      <c r="T41" t="s">
        <v>64</v>
      </c>
      <c r="U41" s="149"/>
      <c r="V41" s="105"/>
      <c r="W41" s="105"/>
      <c r="X41" s="151"/>
      <c r="Y41" s="39"/>
    </row>
    <row r="42" spans="1:26" x14ac:dyDescent="0.3">
      <c r="A42" s="38"/>
      <c r="B42" s="38"/>
      <c r="C42" s="38"/>
      <c r="D42" s="38"/>
      <c r="E42" s="38"/>
      <c r="F42" s="38"/>
      <c r="G42" s="38"/>
      <c r="H42" s="38"/>
      <c r="I42" s="38"/>
      <c r="J42" s="38"/>
      <c r="K42" s="38"/>
      <c r="L42" s="38"/>
      <c r="M42" s="39"/>
      <c r="N42" s="39"/>
      <c r="O42" s="39"/>
      <c r="P42" s="39"/>
      <c r="Q42" s="39"/>
      <c r="S42" s="51"/>
      <c r="T42" s="58" t="s">
        <v>188</v>
      </c>
      <c r="U42" s="169"/>
      <c r="V42" s="107"/>
      <c r="W42" s="107"/>
      <c r="X42" s="152"/>
      <c r="Y42" s="39"/>
    </row>
    <row r="43" spans="1:26" x14ac:dyDescent="0.3">
      <c r="A43" s="38"/>
      <c r="B43" s="38"/>
      <c r="C43" s="38"/>
      <c r="D43" s="38"/>
      <c r="E43" s="38"/>
      <c r="F43" s="38"/>
      <c r="G43" s="38"/>
      <c r="H43" s="38"/>
      <c r="I43" s="38"/>
      <c r="J43" s="38"/>
      <c r="K43" s="38"/>
      <c r="L43" s="38"/>
      <c r="M43" s="39"/>
      <c r="N43" s="39"/>
      <c r="O43" s="39"/>
      <c r="P43" s="39"/>
      <c r="Q43" s="39"/>
      <c r="S43" s="108" t="s">
        <v>179</v>
      </c>
      <c r="T43" s="65"/>
      <c r="U43" s="136">
        <f>ROUND(Run!AA19,-2)</f>
        <v>100</v>
      </c>
      <c r="V43" s="136">
        <f>ROUND(U43*(V39/U39),-1)</f>
        <v>140</v>
      </c>
      <c r="W43" s="136">
        <f>ROUND(U43*(W39/U39),-1)</f>
        <v>340</v>
      </c>
      <c r="X43" s="153">
        <f>ROUND(U43*(X39/U39),-1)</f>
        <v>680</v>
      </c>
      <c r="Y43" s="39"/>
    </row>
    <row r="44" spans="1:26" x14ac:dyDescent="0.3">
      <c r="A44" s="38"/>
      <c r="B44" s="38"/>
      <c r="C44" s="38"/>
      <c r="D44" s="38"/>
      <c r="E44" s="38"/>
      <c r="F44" s="38"/>
      <c r="G44" s="38"/>
      <c r="H44" s="38"/>
      <c r="I44" s="38"/>
      <c r="J44" s="38"/>
      <c r="K44" s="38"/>
      <c r="L44" s="38"/>
      <c r="M44" s="39"/>
      <c r="N44" s="39"/>
      <c r="O44" s="39"/>
      <c r="P44" s="39"/>
      <c r="Q44" s="39"/>
      <c r="S44" s="45"/>
      <c r="T44" t="s">
        <v>185</v>
      </c>
      <c r="U44" s="149"/>
      <c r="V44" s="105"/>
      <c r="W44" s="105"/>
      <c r="X44" s="151"/>
      <c r="Y44" s="39"/>
    </row>
    <row r="45" spans="1:26" ht="15" customHeight="1" x14ac:dyDescent="0.3">
      <c r="A45" s="38"/>
      <c r="B45" s="38"/>
      <c r="C45" s="38"/>
      <c r="D45" s="38"/>
      <c r="E45" s="38"/>
      <c r="F45" s="38"/>
      <c r="G45" s="38"/>
      <c r="H45" s="38"/>
      <c r="I45" s="38"/>
      <c r="J45" s="38"/>
      <c r="K45" s="38"/>
      <c r="L45" s="38"/>
      <c r="M45" s="39"/>
      <c r="N45" s="39"/>
      <c r="O45" s="39"/>
      <c r="P45" s="39"/>
      <c r="Q45" s="39"/>
      <c r="S45" s="45"/>
      <c r="T45" t="s">
        <v>64</v>
      </c>
      <c r="U45" s="149"/>
      <c r="V45" s="105"/>
      <c r="W45" s="105"/>
      <c r="X45" s="151"/>
      <c r="Y45" s="39"/>
    </row>
    <row r="46" spans="1:26" x14ac:dyDescent="0.3">
      <c r="A46" s="38"/>
      <c r="B46" s="38"/>
      <c r="C46" s="38"/>
      <c r="D46" s="38"/>
      <c r="E46" s="38"/>
      <c r="F46" s="38"/>
      <c r="G46" s="38"/>
      <c r="H46" s="38"/>
      <c r="I46" s="38"/>
      <c r="J46" s="38"/>
      <c r="K46" s="38"/>
      <c r="L46" s="38"/>
      <c r="M46" s="39"/>
      <c r="N46" s="39"/>
      <c r="O46" s="39"/>
      <c r="P46" s="39"/>
      <c r="Q46" s="39"/>
      <c r="S46" s="45"/>
      <c r="T46" t="s">
        <v>188</v>
      </c>
      <c r="U46" s="175"/>
      <c r="V46" s="105"/>
      <c r="W46" s="105"/>
      <c r="X46" s="151"/>
      <c r="Y46" s="39"/>
    </row>
    <row r="47" spans="1:26" x14ac:dyDescent="0.3">
      <c r="A47" s="38"/>
      <c r="B47" s="38"/>
      <c r="C47" s="38"/>
      <c r="D47" s="38"/>
      <c r="E47" s="38"/>
      <c r="F47" s="38"/>
      <c r="G47" s="38"/>
      <c r="H47" s="38"/>
      <c r="I47" s="38"/>
      <c r="J47" s="38"/>
      <c r="K47" s="38"/>
      <c r="L47" s="38"/>
      <c r="M47" s="39"/>
      <c r="N47" s="39"/>
      <c r="O47" s="39"/>
      <c r="P47" s="39"/>
      <c r="Q47" s="39"/>
      <c r="S47" s="108" t="s">
        <v>350</v>
      </c>
      <c r="T47" s="65"/>
      <c r="U47" s="136">
        <f>ROUND(Run!R20,-3)</f>
        <v>15000</v>
      </c>
      <c r="V47" s="136">
        <f>ROUND(Conv!D7,-3)</f>
        <v>20000</v>
      </c>
      <c r="W47" s="136">
        <f>ROUND(Conv!D8,-3)</f>
        <v>41000</v>
      </c>
      <c r="X47" s="153">
        <f>ROUND(Conv!D9,-3)</f>
        <v>61000</v>
      </c>
      <c r="Y47" s="39"/>
    </row>
    <row r="48" spans="1:26" x14ac:dyDescent="0.3">
      <c r="A48" s="38"/>
      <c r="B48" s="38"/>
      <c r="C48" s="38"/>
      <c r="D48" s="38"/>
      <c r="E48" s="38"/>
      <c r="F48" s="38"/>
      <c r="G48" s="38"/>
      <c r="H48" s="38"/>
      <c r="I48" s="38"/>
      <c r="J48" s="38"/>
      <c r="K48" s="38"/>
      <c r="L48" s="38"/>
      <c r="M48" s="39"/>
      <c r="N48" s="39"/>
      <c r="O48" s="39"/>
      <c r="P48" s="39"/>
      <c r="Q48" s="39"/>
      <c r="S48" s="45"/>
      <c r="T48" t="s">
        <v>185</v>
      </c>
      <c r="U48" s="149"/>
      <c r="V48" s="105"/>
      <c r="W48" s="105"/>
      <c r="X48" s="151"/>
      <c r="Y48" s="39"/>
    </row>
    <row r="49" spans="1:26" x14ac:dyDescent="0.3">
      <c r="A49" s="38"/>
      <c r="B49" s="38"/>
      <c r="C49" s="38"/>
      <c r="D49" s="38"/>
      <c r="E49" s="38"/>
      <c r="F49" s="38"/>
      <c r="G49" s="38"/>
      <c r="H49" s="38"/>
      <c r="I49" s="38"/>
      <c r="J49" s="38"/>
      <c r="K49" s="38"/>
      <c r="L49" s="38"/>
      <c r="M49" s="39"/>
      <c r="N49" s="39"/>
      <c r="O49" s="39"/>
      <c r="P49" s="39"/>
      <c r="Q49" s="39"/>
      <c r="S49" s="45"/>
      <c r="T49" t="s">
        <v>64</v>
      </c>
      <c r="U49" s="149"/>
      <c r="V49" s="105"/>
      <c r="W49" s="105"/>
      <c r="X49" s="151"/>
      <c r="Y49" s="39"/>
    </row>
    <row r="50" spans="1:26" x14ac:dyDescent="0.3">
      <c r="A50" s="38"/>
      <c r="B50" s="38"/>
      <c r="C50" s="38"/>
      <c r="D50" s="38"/>
      <c r="E50" s="38"/>
      <c r="F50" s="38"/>
      <c r="G50" s="38"/>
      <c r="H50" s="38"/>
      <c r="I50" s="38"/>
      <c r="J50" s="38"/>
      <c r="K50" s="38"/>
      <c r="L50" s="38"/>
      <c r="M50" s="39"/>
      <c r="N50" s="39"/>
      <c r="O50" s="39"/>
      <c r="P50" s="39"/>
      <c r="Q50" s="39"/>
      <c r="S50" s="51"/>
      <c r="T50" s="58" t="s">
        <v>188</v>
      </c>
      <c r="U50" s="169"/>
      <c r="V50" s="107"/>
      <c r="W50" s="107"/>
      <c r="X50" s="152"/>
      <c r="Y50" s="39"/>
    </row>
    <row r="51" spans="1:26" x14ac:dyDescent="0.3">
      <c r="A51" s="38"/>
      <c r="B51" s="38"/>
      <c r="C51" s="38"/>
      <c r="D51" s="38"/>
      <c r="E51" s="38"/>
      <c r="F51" s="38"/>
      <c r="G51" s="38"/>
      <c r="H51" s="38"/>
      <c r="I51" s="38"/>
      <c r="J51" s="38"/>
      <c r="K51" s="38"/>
      <c r="L51" s="38"/>
      <c r="M51" s="39"/>
      <c r="N51" s="39"/>
      <c r="O51" s="39"/>
      <c r="P51" s="39"/>
      <c r="Q51" s="39"/>
      <c r="S51" s="108" t="s">
        <v>180</v>
      </c>
      <c r="T51" s="65"/>
      <c r="U51" s="159">
        <f>ROUND(Run!S20,-1)</f>
        <v>80</v>
      </c>
      <c r="V51" s="216">
        <f>ROUND(Conv!M7,-2)</f>
        <v>100</v>
      </c>
      <c r="W51" s="217">
        <f>ROUND(Conv!M8,-3)</f>
        <v>10000</v>
      </c>
      <c r="X51" s="158">
        <f>ROUND(Conv!M9,-3)</f>
        <v>41000</v>
      </c>
      <c r="Y51" s="39"/>
    </row>
    <row r="52" spans="1:26" x14ac:dyDescent="0.3">
      <c r="A52" s="38"/>
      <c r="B52" s="38"/>
      <c r="C52" s="38"/>
      <c r="D52" s="38"/>
      <c r="E52" s="38"/>
      <c r="F52" s="38"/>
      <c r="G52" s="38"/>
      <c r="H52" s="38"/>
      <c r="I52" s="38"/>
      <c r="J52" s="38"/>
      <c r="K52" s="38"/>
      <c r="L52" s="38"/>
      <c r="M52" s="39"/>
      <c r="N52" s="39"/>
      <c r="O52" s="39"/>
      <c r="P52" s="39"/>
      <c r="Q52" s="39"/>
      <c r="S52" s="45"/>
      <c r="T52" t="s">
        <v>185</v>
      </c>
      <c r="U52" s="105"/>
      <c r="V52" s="105"/>
      <c r="W52" s="105"/>
      <c r="X52" s="151"/>
      <c r="Y52" s="39"/>
    </row>
    <row r="53" spans="1:26" x14ac:dyDescent="0.3">
      <c r="A53" s="38"/>
      <c r="B53" s="38"/>
      <c r="C53" s="38"/>
      <c r="D53" s="38"/>
      <c r="E53" s="38"/>
      <c r="F53" s="38"/>
      <c r="G53" s="38"/>
      <c r="H53" s="38"/>
      <c r="I53" s="38"/>
      <c r="J53" s="38"/>
      <c r="K53" s="38"/>
      <c r="L53" s="38"/>
      <c r="M53" s="39"/>
      <c r="N53" s="39"/>
      <c r="O53" s="39"/>
      <c r="P53" s="39"/>
      <c r="Q53" s="39"/>
      <c r="S53" s="45"/>
      <c r="T53" t="s">
        <v>64</v>
      </c>
      <c r="U53" s="105"/>
      <c r="V53" s="105"/>
      <c r="W53" s="105"/>
      <c r="X53" s="151"/>
      <c r="Y53" s="39"/>
    </row>
    <row r="54" spans="1:26" x14ac:dyDescent="0.3">
      <c r="A54" s="38"/>
      <c r="B54" s="38"/>
      <c r="C54" s="38"/>
      <c r="D54" s="38"/>
      <c r="E54" s="38"/>
      <c r="F54" s="38"/>
      <c r="G54" s="38"/>
      <c r="H54" s="38"/>
      <c r="I54" s="38"/>
      <c r="J54" s="38"/>
      <c r="K54" s="38"/>
      <c r="L54" s="38"/>
      <c r="M54" s="39"/>
      <c r="N54" s="39"/>
      <c r="O54" s="39"/>
      <c r="P54" s="39"/>
      <c r="Q54" s="39"/>
      <c r="S54" s="51"/>
      <c r="T54" s="58" t="s">
        <v>188</v>
      </c>
      <c r="U54" s="107"/>
      <c r="V54" s="107"/>
      <c r="W54" s="107"/>
      <c r="X54" s="152"/>
      <c r="Y54" s="39"/>
    </row>
    <row r="55" spans="1:26" x14ac:dyDescent="0.3">
      <c r="A55" s="38"/>
      <c r="B55" s="38"/>
      <c r="C55" s="38"/>
      <c r="D55" s="38"/>
      <c r="E55" s="38"/>
      <c r="F55" s="38"/>
      <c r="G55" s="38"/>
      <c r="H55" s="38"/>
      <c r="I55" s="38"/>
      <c r="J55" s="38"/>
      <c r="K55" s="38"/>
      <c r="L55" s="38"/>
      <c r="M55" s="39"/>
      <c r="N55" s="39"/>
      <c r="O55" s="39"/>
      <c r="P55" s="39"/>
      <c r="Q55" s="39"/>
      <c r="S55" s="39"/>
      <c r="T55" s="39"/>
      <c r="U55" s="39"/>
      <c r="V55" s="39"/>
      <c r="W55" s="39"/>
      <c r="X55" s="39"/>
      <c r="Y55" s="39"/>
    </row>
    <row r="56" spans="1:26" x14ac:dyDescent="0.3">
      <c r="A56" s="38"/>
      <c r="B56" s="38"/>
      <c r="C56" s="38"/>
      <c r="D56" s="38"/>
      <c r="E56" s="38"/>
      <c r="F56" s="38"/>
      <c r="G56" s="38"/>
      <c r="H56" s="38"/>
      <c r="I56" s="38"/>
      <c r="J56" s="38"/>
      <c r="K56" s="38"/>
      <c r="L56" s="38"/>
      <c r="M56" s="39"/>
      <c r="N56" s="39"/>
      <c r="O56" s="39"/>
      <c r="P56" s="39"/>
      <c r="Q56" s="39"/>
      <c r="Y56" s="39"/>
    </row>
    <row r="57" spans="1:26" x14ac:dyDescent="0.3">
      <c r="A57" s="38"/>
      <c r="B57" s="38"/>
      <c r="C57" s="38"/>
      <c r="D57" s="38"/>
      <c r="E57" s="38"/>
      <c r="F57" s="38"/>
      <c r="G57" s="38"/>
      <c r="H57" s="38"/>
      <c r="I57" s="38"/>
      <c r="J57" s="38"/>
      <c r="K57" s="38"/>
      <c r="L57" s="38"/>
      <c r="M57" s="39"/>
      <c r="N57" s="39"/>
      <c r="O57" s="39"/>
      <c r="P57" s="39"/>
      <c r="Q57" s="39"/>
      <c r="Y57" s="39"/>
    </row>
    <row r="58" spans="1:26" x14ac:dyDescent="0.3">
      <c r="A58" s="38"/>
      <c r="B58" s="38"/>
      <c r="C58" s="38"/>
      <c r="D58" s="38"/>
      <c r="E58" s="38"/>
      <c r="F58" s="38"/>
      <c r="G58" s="38"/>
      <c r="H58" s="38"/>
      <c r="I58" s="38"/>
      <c r="J58" s="38"/>
      <c r="K58" s="38"/>
      <c r="L58" s="38"/>
      <c r="M58" s="39"/>
      <c r="N58" s="39"/>
      <c r="O58" s="39"/>
      <c r="P58" s="39"/>
      <c r="Q58" s="39"/>
      <c r="Y58" s="39"/>
    </row>
    <row r="59" spans="1:26" x14ac:dyDescent="0.3">
      <c r="A59" s="38"/>
      <c r="B59" s="38"/>
      <c r="C59" s="38"/>
      <c r="D59" s="38"/>
      <c r="E59" s="38"/>
      <c r="F59" s="38"/>
      <c r="G59" s="38"/>
      <c r="H59" s="38"/>
      <c r="I59" s="38"/>
      <c r="J59" s="38"/>
      <c r="K59" s="38"/>
      <c r="L59" s="38"/>
      <c r="M59" s="39"/>
      <c r="N59" s="39"/>
      <c r="O59" s="39"/>
      <c r="P59" s="39"/>
      <c r="Q59" s="39"/>
      <c r="Y59" s="39"/>
    </row>
    <row r="60" spans="1:26" x14ac:dyDescent="0.3">
      <c r="A60" s="38"/>
      <c r="B60" s="38"/>
      <c r="C60" s="38"/>
      <c r="D60" s="38"/>
      <c r="E60" s="38"/>
      <c r="F60" s="38"/>
      <c r="G60" s="38"/>
      <c r="H60" s="38"/>
      <c r="I60" s="38"/>
      <c r="J60" s="38"/>
      <c r="K60" s="38"/>
      <c r="L60" s="38"/>
      <c r="M60" s="39"/>
      <c r="N60" s="39"/>
      <c r="O60" s="39"/>
      <c r="P60" s="39"/>
      <c r="Q60" s="39"/>
      <c r="S60" s="39"/>
      <c r="T60" s="39"/>
      <c r="U60" s="39"/>
      <c r="V60" s="39"/>
      <c r="W60" s="39"/>
      <c r="X60" s="39"/>
      <c r="Y60" s="39"/>
    </row>
    <row r="61" spans="1:26" x14ac:dyDescent="0.3">
      <c r="A61" s="38"/>
      <c r="B61" s="38"/>
      <c r="C61" s="38"/>
      <c r="D61" s="38"/>
      <c r="E61" s="38"/>
      <c r="F61" s="38"/>
      <c r="G61" s="38"/>
      <c r="H61" s="38"/>
      <c r="I61" s="38"/>
      <c r="J61" s="38"/>
      <c r="K61" s="38"/>
      <c r="L61" s="38"/>
      <c r="M61" s="39"/>
      <c r="N61" s="39"/>
      <c r="O61" s="39"/>
      <c r="P61" s="39"/>
      <c r="Q61" s="39"/>
    </row>
    <row r="62" spans="1:26" x14ac:dyDescent="0.3">
      <c r="A62" s="38"/>
      <c r="B62" s="38"/>
      <c r="C62" s="38"/>
      <c r="D62" s="38"/>
      <c r="E62" s="38"/>
      <c r="F62" s="38"/>
      <c r="G62" s="38"/>
      <c r="H62" s="38"/>
      <c r="I62" s="38"/>
      <c r="J62" s="38"/>
      <c r="K62" s="38"/>
      <c r="L62" s="38"/>
      <c r="M62" s="39"/>
      <c r="N62" s="39"/>
      <c r="O62" s="39"/>
      <c r="P62" s="39"/>
      <c r="Q62" s="39"/>
    </row>
    <row r="63" spans="1:26" s="215" customFormat="1" ht="18" x14ac:dyDescent="0.35">
      <c r="A63" s="256"/>
      <c r="B63" s="256"/>
      <c r="C63" s="256"/>
      <c r="D63" s="259"/>
      <c r="E63" s="259"/>
      <c r="F63" s="256"/>
      <c r="G63" s="256"/>
      <c r="H63" s="256"/>
      <c r="I63" s="256"/>
      <c r="J63" s="256"/>
      <c r="K63" s="256"/>
      <c r="L63" s="256"/>
      <c r="M63" s="259"/>
      <c r="N63" s="259"/>
      <c r="O63" s="259"/>
      <c r="P63" s="259"/>
      <c r="Q63" s="259"/>
      <c r="R63" s="259"/>
      <c r="Z63" s="259"/>
    </row>
    <row r="64" spans="1:26" ht="18" x14ac:dyDescent="0.35">
      <c r="A64" s="38"/>
      <c r="B64" s="38"/>
      <c r="C64" s="38"/>
      <c r="D64" s="257" t="s">
        <v>156</v>
      </c>
      <c r="E64" s="258">
        <f>U35</f>
        <v>6.0000000000000001E-3</v>
      </c>
      <c r="F64" s="38"/>
      <c r="G64" s="38"/>
      <c r="H64" s="38"/>
      <c r="I64" s="38"/>
      <c r="J64" s="38"/>
      <c r="K64" s="257" t="s">
        <v>156</v>
      </c>
      <c r="L64" s="285">
        <f>W29</f>
        <v>770000</v>
      </c>
      <c r="M64" s="286"/>
      <c r="N64" s="39"/>
      <c r="O64" s="39"/>
      <c r="P64" s="39"/>
      <c r="Q64" s="39"/>
    </row>
    <row r="65" spans="1:17" x14ac:dyDescent="0.3">
      <c r="A65" s="38"/>
      <c r="B65" s="38"/>
      <c r="C65" s="38"/>
      <c r="D65" s="38"/>
      <c r="E65" s="38"/>
      <c r="F65" s="38"/>
      <c r="G65" s="38"/>
      <c r="H65" s="38"/>
      <c r="I65" s="38"/>
      <c r="J65" s="38"/>
      <c r="K65" s="38"/>
      <c r="L65" s="38"/>
      <c r="M65" s="39"/>
      <c r="N65" s="39"/>
      <c r="O65" s="39"/>
      <c r="P65" s="39"/>
      <c r="Q65" s="39"/>
    </row>
    <row r="66" spans="1:17" x14ac:dyDescent="0.3">
      <c r="A66" s="38"/>
      <c r="B66" s="38"/>
      <c r="C66" s="38"/>
      <c r="D66" s="38"/>
      <c r="E66" s="38"/>
      <c r="F66" s="38"/>
      <c r="G66" s="38"/>
      <c r="H66" s="38"/>
      <c r="I66" s="38"/>
      <c r="J66" s="38"/>
      <c r="K66" s="38"/>
      <c r="L66" s="38"/>
      <c r="M66" s="39"/>
      <c r="N66" s="39"/>
      <c r="O66" s="39"/>
      <c r="P66" s="39"/>
      <c r="Q66" s="39"/>
    </row>
    <row r="67" spans="1:17" x14ac:dyDescent="0.3">
      <c r="A67" s="38"/>
      <c r="B67" s="38"/>
      <c r="C67" s="38"/>
      <c r="D67" s="38"/>
      <c r="E67" s="38"/>
      <c r="F67" s="38"/>
      <c r="G67" s="38"/>
      <c r="H67" s="38"/>
      <c r="I67" s="38"/>
      <c r="J67" s="38"/>
      <c r="K67" s="38"/>
      <c r="L67" s="38"/>
      <c r="M67" s="39"/>
      <c r="N67" s="39"/>
      <c r="O67" s="39"/>
      <c r="P67" s="39"/>
      <c r="Q67" s="39"/>
    </row>
    <row r="68" spans="1:17" x14ac:dyDescent="0.3">
      <c r="A68" s="38"/>
      <c r="B68" s="38"/>
      <c r="C68" s="38"/>
      <c r="D68" s="38"/>
      <c r="E68" s="38"/>
      <c r="F68" s="38"/>
      <c r="G68" s="38"/>
      <c r="H68" s="38"/>
      <c r="I68" s="38"/>
      <c r="J68" s="38"/>
      <c r="K68" s="38"/>
      <c r="L68" s="38"/>
      <c r="M68" s="39"/>
      <c r="N68" s="39"/>
      <c r="O68" s="39"/>
      <c r="P68" s="39"/>
      <c r="Q68" s="39"/>
    </row>
    <row r="69" spans="1:17" x14ac:dyDescent="0.3">
      <c r="A69" s="38"/>
      <c r="B69" s="38"/>
      <c r="C69" s="38"/>
      <c r="D69" s="38"/>
      <c r="E69" s="38"/>
      <c r="F69" s="38"/>
      <c r="G69" s="38"/>
      <c r="H69" s="38"/>
      <c r="I69" s="38"/>
      <c r="J69" s="38"/>
      <c r="K69" s="38"/>
      <c r="L69" s="38"/>
      <c r="M69" s="39"/>
      <c r="N69" s="39"/>
      <c r="O69" s="39"/>
      <c r="P69" s="39"/>
      <c r="Q69" s="39"/>
    </row>
    <row r="70" spans="1:17" x14ac:dyDescent="0.3">
      <c r="A70" s="38"/>
      <c r="B70" s="38"/>
      <c r="C70" s="38"/>
      <c r="D70" s="38"/>
      <c r="E70" s="38"/>
      <c r="F70" s="38"/>
      <c r="G70" s="38"/>
      <c r="H70" s="38"/>
      <c r="I70" s="38"/>
      <c r="J70" s="38"/>
      <c r="K70" s="38"/>
      <c r="L70" s="38"/>
      <c r="M70" s="39"/>
      <c r="N70" s="39"/>
      <c r="O70" s="39"/>
      <c r="P70" s="39"/>
      <c r="Q70" s="39"/>
    </row>
    <row r="71" spans="1:17" x14ac:dyDescent="0.3">
      <c r="A71" s="38"/>
      <c r="B71" s="38"/>
      <c r="C71" s="38"/>
      <c r="D71" s="38"/>
      <c r="E71" s="38"/>
      <c r="F71" s="38"/>
      <c r="G71" s="38"/>
      <c r="H71" s="38"/>
      <c r="I71" s="38"/>
      <c r="J71" s="38"/>
      <c r="K71" s="38"/>
      <c r="L71" s="38"/>
      <c r="M71" s="39"/>
      <c r="N71" s="39"/>
      <c r="O71" s="39"/>
      <c r="P71" s="39"/>
      <c r="Q71" s="39"/>
    </row>
    <row r="72" spans="1:17" x14ac:dyDescent="0.3">
      <c r="A72" s="38"/>
      <c r="B72" s="39"/>
      <c r="C72" s="39"/>
      <c r="D72" s="130"/>
      <c r="E72" s="130"/>
      <c r="F72" s="130"/>
      <c r="G72" s="130"/>
      <c r="H72" s="131"/>
      <c r="I72" s="131"/>
      <c r="J72" s="38"/>
      <c r="K72" s="38"/>
      <c r="L72" s="38"/>
      <c r="M72" s="39"/>
      <c r="N72" s="39"/>
      <c r="O72" s="39"/>
      <c r="P72" s="39"/>
      <c r="Q72" s="39"/>
    </row>
    <row r="73" spans="1:17" x14ac:dyDescent="0.3">
      <c r="A73" s="38"/>
      <c r="B73" s="39"/>
      <c r="C73" s="39"/>
      <c r="D73" s="130"/>
      <c r="E73" s="130"/>
      <c r="F73" s="130"/>
      <c r="G73" s="130"/>
      <c r="H73" s="131"/>
      <c r="I73" s="131"/>
      <c r="J73" s="38"/>
      <c r="K73" s="38"/>
      <c r="L73" s="38"/>
      <c r="M73" s="39"/>
      <c r="N73" s="39"/>
      <c r="O73" s="39"/>
      <c r="P73" s="39"/>
      <c r="Q73" s="39"/>
    </row>
    <row r="74" spans="1:17" x14ac:dyDescent="0.3">
      <c r="A74" s="38"/>
      <c r="B74" s="39"/>
      <c r="E74" s="39"/>
      <c r="F74" s="39"/>
      <c r="G74" s="39"/>
      <c r="J74" s="38"/>
      <c r="K74" s="38"/>
      <c r="L74" s="38"/>
      <c r="M74" s="39"/>
      <c r="N74" s="39"/>
      <c r="O74" s="39"/>
      <c r="P74" s="39"/>
      <c r="Q74" s="39"/>
    </row>
    <row r="75" spans="1:17" x14ac:dyDescent="0.3">
      <c r="A75" s="38"/>
      <c r="B75" s="39"/>
      <c r="C75" s="39"/>
      <c r="D75" s="39"/>
      <c r="E75" s="130"/>
      <c r="F75" s="130"/>
      <c r="G75" s="39"/>
      <c r="H75" s="131"/>
      <c r="I75" s="131"/>
      <c r="J75" s="38"/>
      <c r="K75" s="38"/>
      <c r="L75" s="38"/>
      <c r="M75" s="39"/>
      <c r="N75" s="39"/>
      <c r="O75" s="39"/>
      <c r="P75" s="39"/>
      <c r="Q75" s="39"/>
    </row>
    <row r="77" spans="1:17" x14ac:dyDescent="0.3">
      <c r="B77" s="27"/>
      <c r="C77"/>
      <c r="D77"/>
      <c r="E77"/>
      <c r="F77"/>
      <c r="G77"/>
      <c r="H77"/>
    </row>
    <row r="78" spans="1:17" x14ac:dyDescent="0.3">
      <c r="B78" s="27"/>
      <c r="C78" s="27"/>
      <c r="D78" s="118"/>
      <c r="E78" s="118"/>
      <c r="F78" s="118"/>
      <c r="G78" s="118"/>
      <c r="H78" s="118"/>
    </row>
    <row r="79" spans="1:17" x14ac:dyDescent="0.3">
      <c r="G79" s="57"/>
    </row>
    <row r="80" spans="1:17" x14ac:dyDescent="0.3">
      <c r="G80" s="64"/>
    </row>
    <row r="81" spans="2:7" x14ac:dyDescent="0.3">
      <c r="G81" s="57"/>
    </row>
    <row r="82" spans="2:7" x14ac:dyDescent="0.3">
      <c r="G82"/>
    </row>
    <row r="83" spans="2:7" x14ac:dyDescent="0.3">
      <c r="B83" s="27"/>
      <c r="C83" s="27"/>
      <c r="G83" s="119"/>
    </row>
  </sheetData>
  <mergeCells count="9">
    <mergeCell ref="L64:M64"/>
    <mergeCell ref="W8:W11"/>
    <mergeCell ref="X8:X11"/>
    <mergeCell ref="Y8:Y11"/>
    <mergeCell ref="S37:T38"/>
    <mergeCell ref="S5:S11"/>
    <mergeCell ref="S12:S18"/>
    <mergeCell ref="S19:S20"/>
    <mergeCell ref="S33:S35"/>
  </mergeCells>
  <printOptions horizontalCentered="1" verticalCentered="1"/>
  <pageMargins left="0.5" right="0.5" top="0.5" bottom="0.5" header="0.3" footer="0.3"/>
  <pageSetup scale="60" orientation="portrait" r:id="rId1"/>
  <headerFooter>
    <oddHeader>&amp;R&amp;D</oddHeader>
    <oddFooter>&amp;L&amp;F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3320-066B-44D3-B628-2E25929B319F}">
  <dimension ref="A1:AH82"/>
  <sheetViews>
    <sheetView zoomScaleNormal="100" workbookViewId="0"/>
  </sheetViews>
  <sheetFormatPr defaultRowHeight="14.4" x14ac:dyDescent="0.3"/>
  <cols>
    <col min="1" max="1" width="3.33203125" customWidth="1"/>
    <col min="2" max="2" width="20.44140625" customWidth="1"/>
    <col min="3" max="3" width="20.109375" customWidth="1"/>
    <col min="4" max="4" width="34.109375" customWidth="1"/>
    <col min="5" max="5" width="9.88671875" customWidth="1"/>
    <col min="6" max="6" width="10.109375" bestFit="1" customWidth="1"/>
    <col min="7" max="7" width="29.44140625" customWidth="1"/>
    <col min="8" max="8" width="14.109375" customWidth="1"/>
    <col min="9" max="9" width="93" customWidth="1"/>
    <col min="10" max="10" width="14.44140625" customWidth="1"/>
    <col min="11" max="11" width="81.88671875" customWidth="1"/>
    <col min="12" max="12" width="92.44140625" customWidth="1"/>
    <col min="13" max="13" width="152.44140625" customWidth="1"/>
    <col min="14" max="14" width="164" customWidth="1"/>
  </cols>
  <sheetData>
    <row r="1" spans="1:34" x14ac:dyDescent="0.3">
      <c r="N1" t="s">
        <v>307</v>
      </c>
    </row>
    <row r="2" spans="1:34" x14ac:dyDescent="0.3">
      <c r="A2" s="177"/>
      <c r="B2" s="177" t="s">
        <v>223</v>
      </c>
      <c r="C2" s="177" t="s">
        <v>224</v>
      </c>
      <c r="D2" s="177" t="s">
        <v>225</v>
      </c>
      <c r="E2" s="177" t="s">
        <v>226</v>
      </c>
      <c r="F2" s="178" t="s">
        <v>227</v>
      </c>
      <c r="G2" s="177" t="s">
        <v>228</v>
      </c>
      <c r="H2" s="177" t="s">
        <v>0</v>
      </c>
      <c r="I2" s="177" t="s">
        <v>229</v>
      </c>
      <c r="J2" s="177" t="s">
        <v>230</v>
      </c>
      <c r="K2" s="177" t="s">
        <v>231</v>
      </c>
      <c r="L2" s="177" t="s">
        <v>232</v>
      </c>
      <c r="M2" s="177" t="s">
        <v>233</v>
      </c>
      <c r="N2" s="179" t="s">
        <v>234</v>
      </c>
    </row>
    <row r="3" spans="1:34" x14ac:dyDescent="0.3">
      <c r="B3" t="s">
        <v>166</v>
      </c>
      <c r="C3" t="s">
        <v>144</v>
      </c>
      <c r="D3" t="s">
        <v>10</v>
      </c>
      <c r="E3" t="s">
        <v>149</v>
      </c>
      <c r="F3" s="57">
        <f>Summary!U5</f>
        <v>6765.9668143085901</v>
      </c>
      <c r="G3" t="s">
        <v>235</v>
      </c>
      <c r="H3" t="s">
        <v>213</v>
      </c>
      <c r="I3" t="s">
        <v>236</v>
      </c>
      <c r="J3" s="166" t="s">
        <v>237</v>
      </c>
      <c r="K3" t="s">
        <v>238</v>
      </c>
      <c r="L3" t="s">
        <v>239</v>
      </c>
      <c r="M3" t="s">
        <v>240</v>
      </c>
    </row>
    <row r="4" spans="1:34" ht="30" customHeight="1" x14ac:dyDescent="0.3">
      <c r="B4" t="s">
        <v>166</v>
      </c>
      <c r="C4" t="s">
        <v>144</v>
      </c>
      <c r="D4" t="s">
        <v>241</v>
      </c>
      <c r="E4" t="s">
        <v>149</v>
      </c>
      <c r="F4" s="57">
        <f>Summary!U6</f>
        <v>200</v>
      </c>
      <c r="G4" t="s">
        <v>235</v>
      </c>
      <c r="H4" t="s">
        <v>213</v>
      </c>
      <c r="I4" t="s">
        <v>242</v>
      </c>
      <c r="J4" s="166" t="s">
        <v>29</v>
      </c>
      <c r="K4" t="s">
        <v>238</v>
      </c>
      <c r="L4" t="s">
        <v>277</v>
      </c>
      <c r="M4" s="180" t="s">
        <v>312</v>
      </c>
      <c r="N4" s="181" t="s">
        <v>243</v>
      </c>
    </row>
    <row r="5" spans="1:34" ht="28.8" x14ac:dyDescent="0.3">
      <c r="B5" t="s">
        <v>166</v>
      </c>
      <c r="C5" t="s">
        <v>144</v>
      </c>
      <c r="D5" t="s">
        <v>153</v>
      </c>
      <c r="E5" t="s">
        <v>149</v>
      </c>
      <c r="F5" s="57">
        <f>Summary!U7</f>
        <v>100</v>
      </c>
      <c r="G5" t="s">
        <v>235</v>
      </c>
      <c r="H5" t="s">
        <v>213</v>
      </c>
      <c r="I5" t="s">
        <v>242</v>
      </c>
      <c r="J5" s="166" t="s">
        <v>29</v>
      </c>
      <c r="K5" t="s">
        <v>238</v>
      </c>
      <c r="L5" t="s">
        <v>277</v>
      </c>
      <c r="M5" s="180" t="s">
        <v>312</v>
      </c>
      <c r="N5" s="181" t="s">
        <v>244</v>
      </c>
    </row>
    <row r="6" spans="1:34" x14ac:dyDescent="0.3">
      <c r="B6" t="s">
        <v>166</v>
      </c>
      <c r="C6" t="s">
        <v>144</v>
      </c>
      <c r="D6" t="s">
        <v>154</v>
      </c>
      <c r="E6" t="s">
        <v>149</v>
      </c>
      <c r="F6" s="57">
        <f>Summary!U8</f>
        <v>15</v>
      </c>
      <c r="G6" t="s">
        <v>235</v>
      </c>
      <c r="H6" t="s">
        <v>260</v>
      </c>
      <c r="I6" t="s">
        <v>261</v>
      </c>
      <c r="J6" s="166" t="s">
        <v>262</v>
      </c>
      <c r="K6" t="s">
        <v>238</v>
      </c>
      <c r="L6" t="s">
        <v>263</v>
      </c>
      <c r="M6" s="181" t="s">
        <v>264</v>
      </c>
    </row>
    <row r="7" spans="1:34" x14ac:dyDescent="0.3">
      <c r="B7" t="s">
        <v>166</v>
      </c>
      <c r="C7" t="s">
        <v>144</v>
      </c>
      <c r="D7" t="s">
        <v>155</v>
      </c>
      <c r="E7" t="s">
        <v>149</v>
      </c>
      <c r="F7" s="57">
        <f>Summary!U9</f>
        <v>299</v>
      </c>
      <c r="G7" t="s">
        <v>235</v>
      </c>
      <c r="H7" t="s">
        <v>260</v>
      </c>
      <c r="I7" t="s">
        <v>261</v>
      </c>
      <c r="J7" s="166" t="s">
        <v>262</v>
      </c>
      <c r="K7" t="s">
        <v>238</v>
      </c>
      <c r="L7" t="s">
        <v>263</v>
      </c>
      <c r="M7" s="181" t="s">
        <v>264</v>
      </c>
      <c r="AH7" s="58" t="s">
        <v>9</v>
      </c>
    </row>
    <row r="8" spans="1:34" x14ac:dyDescent="0.3">
      <c r="B8" t="s">
        <v>166</v>
      </c>
      <c r="C8" t="s">
        <v>144</v>
      </c>
      <c r="D8" t="s">
        <v>92</v>
      </c>
      <c r="E8" t="s">
        <v>149</v>
      </c>
      <c r="F8" s="57">
        <f>Summary!U10</f>
        <v>3</v>
      </c>
      <c r="G8" t="s">
        <v>235</v>
      </c>
      <c r="H8" t="s">
        <v>260</v>
      </c>
      <c r="I8" t="s">
        <v>261</v>
      </c>
      <c r="J8" s="166" t="s">
        <v>262</v>
      </c>
      <c r="K8" t="s">
        <v>238</v>
      </c>
      <c r="L8" t="s">
        <v>263</v>
      </c>
      <c r="M8" s="181" t="s">
        <v>264</v>
      </c>
      <c r="AH8">
        <f>SUM(R8:AG8)</f>
        <v>0</v>
      </c>
    </row>
    <row r="9" spans="1:34" x14ac:dyDescent="0.3">
      <c r="B9" t="s">
        <v>166</v>
      </c>
      <c r="C9" t="s">
        <v>144</v>
      </c>
      <c r="D9" t="s">
        <v>93</v>
      </c>
      <c r="E9" t="s">
        <v>149</v>
      </c>
      <c r="F9" s="57">
        <f>Summary!U11</f>
        <v>0</v>
      </c>
      <c r="G9" t="s">
        <v>235</v>
      </c>
      <c r="H9" t="s">
        <v>260</v>
      </c>
      <c r="I9" t="s">
        <v>261</v>
      </c>
      <c r="J9" s="166" t="s">
        <v>262</v>
      </c>
      <c r="K9" t="s">
        <v>238</v>
      </c>
      <c r="L9" t="s">
        <v>263</v>
      </c>
      <c r="M9" s="181" t="s">
        <v>264</v>
      </c>
      <c r="AH9">
        <f t="shared" ref="AH9:AH17" si="0">SUM(R9:AG9)</f>
        <v>0</v>
      </c>
    </row>
    <row r="10" spans="1:34" ht="28.8" x14ac:dyDescent="0.3">
      <c r="B10" t="s">
        <v>166</v>
      </c>
      <c r="C10" t="s">
        <v>144</v>
      </c>
      <c r="D10" t="s">
        <v>22</v>
      </c>
      <c r="E10" t="s">
        <v>149</v>
      </c>
      <c r="F10" s="57">
        <f>Summary!U12</f>
        <v>300</v>
      </c>
      <c r="G10" t="s">
        <v>235</v>
      </c>
      <c r="H10" t="s">
        <v>213</v>
      </c>
      <c r="I10" t="s">
        <v>242</v>
      </c>
      <c r="J10" s="166" t="s">
        <v>29</v>
      </c>
      <c r="K10" t="s">
        <v>238</v>
      </c>
      <c r="L10" t="s">
        <v>277</v>
      </c>
      <c r="M10" s="180" t="s">
        <v>312</v>
      </c>
      <c r="N10" s="181" t="s">
        <v>272</v>
      </c>
      <c r="AH10">
        <f t="shared" si="0"/>
        <v>0</v>
      </c>
    </row>
    <row r="11" spans="1:34" ht="28.8" x14ac:dyDescent="0.3">
      <c r="B11" t="s">
        <v>166</v>
      </c>
      <c r="C11" t="s">
        <v>144</v>
      </c>
      <c r="D11" t="s">
        <v>23</v>
      </c>
      <c r="E11" t="s">
        <v>149</v>
      </c>
      <c r="F11" s="57">
        <f>Summary!U13</f>
        <v>100</v>
      </c>
      <c r="G11" t="s">
        <v>235</v>
      </c>
      <c r="H11" t="s">
        <v>213</v>
      </c>
      <c r="I11" t="s">
        <v>242</v>
      </c>
      <c r="J11" s="166" t="s">
        <v>29</v>
      </c>
      <c r="K11" t="s">
        <v>238</v>
      </c>
      <c r="L11" t="s">
        <v>277</v>
      </c>
      <c r="M11" s="180" t="s">
        <v>312</v>
      </c>
      <c r="N11" s="181" t="s">
        <v>265</v>
      </c>
      <c r="AH11">
        <f t="shared" si="0"/>
        <v>0</v>
      </c>
    </row>
    <row r="12" spans="1:34" ht="28.8" x14ac:dyDescent="0.3">
      <c r="B12" t="s">
        <v>166</v>
      </c>
      <c r="C12" t="s">
        <v>144</v>
      </c>
      <c r="D12" t="s">
        <v>24</v>
      </c>
      <c r="E12" t="s">
        <v>149</v>
      </c>
      <c r="F12" s="57">
        <f>Summary!U14</f>
        <v>100</v>
      </c>
      <c r="G12" t="s">
        <v>235</v>
      </c>
      <c r="H12" t="s">
        <v>213</v>
      </c>
      <c r="I12" t="s">
        <v>242</v>
      </c>
      <c r="J12" s="166" t="s">
        <v>29</v>
      </c>
      <c r="K12" t="s">
        <v>238</v>
      </c>
      <c r="L12" t="s">
        <v>277</v>
      </c>
      <c r="M12" s="180" t="s">
        <v>312</v>
      </c>
      <c r="N12" s="181" t="s">
        <v>266</v>
      </c>
      <c r="AH12">
        <f t="shared" si="0"/>
        <v>0</v>
      </c>
    </row>
    <row r="13" spans="1:34" ht="28.8" x14ac:dyDescent="0.3">
      <c r="B13" t="s">
        <v>166</v>
      </c>
      <c r="C13" t="s">
        <v>144</v>
      </c>
      <c r="D13" t="s">
        <v>25</v>
      </c>
      <c r="E13" t="s">
        <v>149</v>
      </c>
      <c r="F13" s="57">
        <f>Summary!U15</f>
        <v>100</v>
      </c>
      <c r="G13" t="s">
        <v>235</v>
      </c>
      <c r="H13" t="s">
        <v>213</v>
      </c>
      <c r="I13" t="s">
        <v>242</v>
      </c>
      <c r="J13" s="166" t="s">
        <v>29</v>
      </c>
      <c r="K13" t="s">
        <v>238</v>
      </c>
      <c r="L13" t="s">
        <v>277</v>
      </c>
      <c r="M13" s="180" t="s">
        <v>312</v>
      </c>
      <c r="N13" s="181" t="s">
        <v>267</v>
      </c>
      <c r="AH13">
        <f t="shared" si="0"/>
        <v>0</v>
      </c>
    </row>
    <row r="14" spans="1:34" x14ac:dyDescent="0.3">
      <c r="B14" t="s">
        <v>166</v>
      </c>
      <c r="C14" t="s">
        <v>144</v>
      </c>
      <c r="D14" t="s">
        <v>268</v>
      </c>
      <c r="E14" t="s">
        <v>149</v>
      </c>
      <c r="F14" s="57">
        <f>Summary!U16</f>
        <v>1911.3947509156631</v>
      </c>
      <c r="G14" t="s">
        <v>235</v>
      </c>
      <c r="H14" t="s">
        <v>213</v>
      </c>
      <c r="I14" t="s">
        <v>236</v>
      </c>
      <c r="J14" s="166" t="s">
        <v>237</v>
      </c>
      <c r="K14" t="s">
        <v>238</v>
      </c>
      <c r="L14" t="s">
        <v>239</v>
      </c>
      <c r="M14" t="s">
        <v>240</v>
      </c>
      <c r="AH14">
        <f t="shared" si="0"/>
        <v>0</v>
      </c>
    </row>
    <row r="15" spans="1:34" ht="15" customHeight="1" x14ac:dyDescent="0.3">
      <c r="B15" t="s">
        <v>166</v>
      </c>
      <c r="C15" t="s">
        <v>144</v>
      </c>
      <c r="D15" t="s">
        <v>94</v>
      </c>
      <c r="E15" t="s">
        <v>149</v>
      </c>
      <c r="F15" s="57">
        <f>Summary!U17</f>
        <v>0</v>
      </c>
      <c r="G15" t="s">
        <v>235</v>
      </c>
      <c r="H15" t="s">
        <v>213</v>
      </c>
      <c r="I15" t="s">
        <v>269</v>
      </c>
      <c r="J15" s="166" t="s">
        <v>29</v>
      </c>
      <c r="K15" t="s">
        <v>238</v>
      </c>
      <c r="L15" t="s">
        <v>271</v>
      </c>
      <c r="M15" s="180" t="s">
        <v>270</v>
      </c>
      <c r="N15" s="181" t="s">
        <v>308</v>
      </c>
      <c r="AH15">
        <f t="shared" si="0"/>
        <v>0</v>
      </c>
    </row>
    <row r="16" spans="1:34" ht="15" customHeight="1" x14ac:dyDescent="0.3">
      <c r="B16" t="s">
        <v>166</v>
      </c>
      <c r="C16" t="s">
        <v>144</v>
      </c>
      <c r="D16" t="s">
        <v>95</v>
      </c>
      <c r="E16" t="s">
        <v>149</v>
      </c>
      <c r="F16" s="57">
        <f>Summary!U18</f>
        <v>0</v>
      </c>
      <c r="G16" t="s">
        <v>235</v>
      </c>
      <c r="H16" t="s">
        <v>213</v>
      </c>
      <c r="I16" t="s">
        <v>269</v>
      </c>
      <c r="J16" s="166" t="s">
        <v>29</v>
      </c>
      <c r="K16" t="s">
        <v>238</v>
      </c>
      <c r="L16" t="s">
        <v>271</v>
      </c>
      <c r="M16" s="180" t="s">
        <v>270</v>
      </c>
      <c r="N16" s="181" t="s">
        <v>308</v>
      </c>
      <c r="AH16">
        <f t="shared" si="0"/>
        <v>0</v>
      </c>
    </row>
    <row r="17" spans="2:34" ht="28.8" x14ac:dyDescent="0.3">
      <c r="B17" t="s">
        <v>166</v>
      </c>
      <c r="C17" t="s">
        <v>144</v>
      </c>
      <c r="D17" t="s">
        <v>273</v>
      </c>
      <c r="E17" t="s">
        <v>149</v>
      </c>
      <c r="F17" s="57">
        <f>Summary!U19</f>
        <v>1786.5419124453822</v>
      </c>
      <c r="G17" t="s">
        <v>235</v>
      </c>
      <c r="H17" t="s">
        <v>213</v>
      </c>
      <c r="I17" t="s">
        <v>236</v>
      </c>
      <c r="J17" s="166" t="s">
        <v>237</v>
      </c>
      <c r="K17" t="s">
        <v>238</v>
      </c>
      <c r="L17" t="s">
        <v>239</v>
      </c>
      <c r="M17" t="s">
        <v>240</v>
      </c>
      <c r="N17" s="181" t="s">
        <v>315</v>
      </c>
      <c r="AH17">
        <f t="shared" si="0"/>
        <v>0</v>
      </c>
    </row>
    <row r="18" spans="2:34" ht="28.8" x14ac:dyDescent="0.3">
      <c r="B18" t="s">
        <v>166</v>
      </c>
      <c r="C18" t="s">
        <v>144</v>
      </c>
      <c r="D18" t="s">
        <v>274</v>
      </c>
      <c r="E18" t="s">
        <v>149</v>
      </c>
      <c r="F18" s="57">
        <f>Summary!U20</f>
        <v>81</v>
      </c>
      <c r="G18" t="s">
        <v>235</v>
      </c>
      <c r="H18" t="s">
        <v>213</v>
      </c>
      <c r="I18" t="s">
        <v>285</v>
      </c>
      <c r="J18" s="166" t="s">
        <v>286</v>
      </c>
      <c r="K18" t="s">
        <v>238</v>
      </c>
      <c r="L18" t="s">
        <v>287</v>
      </c>
      <c r="M18" s="214" t="s">
        <v>288</v>
      </c>
      <c r="N18" s="181" t="s">
        <v>316</v>
      </c>
    </row>
    <row r="19" spans="2:34" x14ac:dyDescent="0.3">
      <c r="B19" t="s">
        <v>166</v>
      </c>
      <c r="C19" t="s">
        <v>144</v>
      </c>
      <c r="D19" t="s">
        <v>10</v>
      </c>
      <c r="E19" t="s">
        <v>150</v>
      </c>
      <c r="F19" s="57">
        <f>Summary!V5</f>
        <v>10000</v>
      </c>
      <c r="G19" t="s">
        <v>235</v>
      </c>
      <c r="H19" t="s">
        <v>213</v>
      </c>
      <c r="I19" t="s">
        <v>275</v>
      </c>
      <c r="J19" s="166" t="s">
        <v>276</v>
      </c>
      <c r="K19" t="s">
        <v>238</v>
      </c>
      <c r="L19" t="s">
        <v>277</v>
      </c>
      <c r="M19" s="180" t="s">
        <v>312</v>
      </c>
      <c r="Q19" s="354"/>
      <c r="R19" s="354"/>
      <c r="S19" s="354"/>
      <c r="T19" s="354"/>
      <c r="U19" s="354"/>
      <c r="V19" s="354"/>
      <c r="W19" s="354"/>
      <c r="X19" s="354"/>
      <c r="Y19" s="354"/>
      <c r="Z19" s="354"/>
      <c r="AA19" s="354"/>
      <c r="AB19" s="354"/>
      <c r="AC19" s="354"/>
      <c r="AD19" s="354"/>
      <c r="AE19" s="354"/>
      <c r="AF19" s="354"/>
      <c r="AG19" s="354"/>
      <c r="AH19" s="354"/>
    </row>
    <row r="20" spans="2:34" x14ac:dyDescent="0.3">
      <c r="B20" t="s">
        <v>166</v>
      </c>
      <c r="C20" t="s">
        <v>144</v>
      </c>
      <c r="D20" t="s">
        <v>241</v>
      </c>
      <c r="E20" t="s">
        <v>150</v>
      </c>
      <c r="F20" s="57">
        <f>Summary!V6</f>
        <v>16000</v>
      </c>
      <c r="G20" t="s">
        <v>235</v>
      </c>
      <c r="H20" t="s">
        <v>213</v>
      </c>
      <c r="I20" t="s">
        <v>275</v>
      </c>
      <c r="J20" s="166" t="s">
        <v>276</v>
      </c>
      <c r="K20" t="s">
        <v>238</v>
      </c>
      <c r="L20" t="s">
        <v>277</v>
      </c>
      <c r="M20" s="180" t="s">
        <v>312</v>
      </c>
      <c r="Q20" s="354"/>
      <c r="R20" s="354"/>
      <c r="S20" s="354"/>
      <c r="T20" s="354"/>
      <c r="U20" s="354"/>
      <c r="V20" s="354"/>
      <c r="W20" s="354"/>
      <c r="X20" s="354"/>
      <c r="Y20" s="354"/>
      <c r="Z20" s="354"/>
      <c r="AA20" s="354"/>
      <c r="AB20" s="354"/>
      <c r="AC20" s="354"/>
      <c r="AD20" s="354"/>
      <c r="AE20" s="354"/>
      <c r="AF20" s="354"/>
      <c r="AG20" s="354"/>
      <c r="AH20" s="354"/>
    </row>
    <row r="21" spans="2:34" x14ac:dyDescent="0.3">
      <c r="B21" t="s">
        <v>166</v>
      </c>
      <c r="C21" t="s">
        <v>144</v>
      </c>
      <c r="D21" t="s">
        <v>153</v>
      </c>
      <c r="E21" t="s">
        <v>150</v>
      </c>
      <c r="F21" s="57">
        <f>Summary!V7</f>
        <v>7000</v>
      </c>
      <c r="G21" t="s">
        <v>235</v>
      </c>
      <c r="H21" t="s">
        <v>213</v>
      </c>
      <c r="I21" t="s">
        <v>275</v>
      </c>
      <c r="J21" s="166" t="s">
        <v>276</v>
      </c>
      <c r="K21" t="s">
        <v>238</v>
      </c>
      <c r="L21" t="s">
        <v>277</v>
      </c>
      <c r="M21" s="180" t="s">
        <v>312</v>
      </c>
    </row>
    <row r="22" spans="2:34" x14ac:dyDescent="0.3">
      <c r="B22" t="s">
        <v>166</v>
      </c>
      <c r="C22" t="s">
        <v>144</v>
      </c>
      <c r="D22" t="s">
        <v>154</v>
      </c>
      <c r="E22" t="s">
        <v>150</v>
      </c>
      <c r="F22" s="64">
        <f>Summary!V8</f>
        <v>9000</v>
      </c>
      <c r="G22" t="s">
        <v>235</v>
      </c>
      <c r="H22" t="s">
        <v>276</v>
      </c>
      <c r="I22" t="s">
        <v>328</v>
      </c>
      <c r="J22" s="166" t="s">
        <v>276</v>
      </c>
      <c r="K22" t="s">
        <v>238</v>
      </c>
      <c r="L22" t="s">
        <v>318</v>
      </c>
      <c r="M22" t="s">
        <v>319</v>
      </c>
      <c r="N22" t="s">
        <v>322</v>
      </c>
    </row>
    <row r="23" spans="2:34" x14ac:dyDescent="0.3">
      <c r="B23" t="s">
        <v>166</v>
      </c>
      <c r="C23" t="s">
        <v>144</v>
      </c>
      <c r="D23" t="s">
        <v>155</v>
      </c>
      <c r="E23" t="s">
        <v>150</v>
      </c>
      <c r="F23" s="64">
        <f>Summary!V9</f>
        <v>5000</v>
      </c>
      <c r="G23" t="s">
        <v>235</v>
      </c>
      <c r="H23" t="s">
        <v>276</v>
      </c>
      <c r="I23" t="s">
        <v>328</v>
      </c>
      <c r="J23" s="166" t="s">
        <v>276</v>
      </c>
      <c r="K23" t="s">
        <v>238</v>
      </c>
      <c r="L23" t="s">
        <v>318</v>
      </c>
      <c r="M23" t="s">
        <v>319</v>
      </c>
      <c r="N23" t="s">
        <v>325</v>
      </c>
    </row>
    <row r="24" spans="2:34" x14ac:dyDescent="0.3">
      <c r="B24" t="s">
        <v>166</v>
      </c>
      <c r="C24" t="s">
        <v>144</v>
      </c>
      <c r="D24" t="s">
        <v>92</v>
      </c>
      <c r="E24" t="s">
        <v>150</v>
      </c>
      <c r="F24" s="64">
        <f>Summary!V10</f>
        <v>6000</v>
      </c>
      <c r="G24" t="s">
        <v>235</v>
      </c>
      <c r="H24" t="s">
        <v>276</v>
      </c>
      <c r="I24" t="s">
        <v>328</v>
      </c>
      <c r="J24" s="166" t="s">
        <v>276</v>
      </c>
      <c r="K24" t="s">
        <v>238</v>
      </c>
      <c r="L24" t="s">
        <v>318</v>
      </c>
      <c r="M24" t="s">
        <v>319</v>
      </c>
      <c r="N24" t="s">
        <v>323</v>
      </c>
    </row>
    <row r="25" spans="2:34" x14ac:dyDescent="0.3">
      <c r="B25" t="s">
        <v>166</v>
      </c>
      <c r="C25" t="s">
        <v>144</v>
      </c>
      <c r="D25" t="s">
        <v>93</v>
      </c>
      <c r="E25" t="s">
        <v>150</v>
      </c>
      <c r="F25" s="64">
        <f>Summary!V11</f>
        <v>500</v>
      </c>
      <c r="G25" t="s">
        <v>235</v>
      </c>
      <c r="H25" t="s">
        <v>276</v>
      </c>
      <c r="I25" t="s">
        <v>328</v>
      </c>
      <c r="J25" s="166" t="s">
        <v>276</v>
      </c>
      <c r="K25" t="s">
        <v>238</v>
      </c>
      <c r="L25" t="s">
        <v>318</v>
      </c>
      <c r="M25" t="s">
        <v>319</v>
      </c>
      <c r="N25" t="s">
        <v>324</v>
      </c>
    </row>
    <row r="26" spans="2:34" x14ac:dyDescent="0.3">
      <c r="B26" t="s">
        <v>166</v>
      </c>
      <c r="C26" t="s">
        <v>144</v>
      </c>
      <c r="D26" t="s">
        <v>22</v>
      </c>
      <c r="E26" t="s">
        <v>150</v>
      </c>
      <c r="F26" s="57">
        <f>Summary!V12</f>
        <v>195000</v>
      </c>
      <c r="G26" t="s">
        <v>235</v>
      </c>
      <c r="H26" t="s">
        <v>213</v>
      </c>
      <c r="I26" t="s">
        <v>275</v>
      </c>
      <c r="J26" s="166" t="s">
        <v>276</v>
      </c>
      <c r="K26" t="s">
        <v>238</v>
      </c>
      <c r="L26" t="s">
        <v>277</v>
      </c>
      <c r="M26" s="180" t="s">
        <v>312</v>
      </c>
      <c r="N26" t="s">
        <v>306</v>
      </c>
    </row>
    <row r="27" spans="2:34" x14ac:dyDescent="0.3">
      <c r="B27" t="s">
        <v>166</v>
      </c>
      <c r="C27" t="s">
        <v>144</v>
      </c>
      <c r="D27" t="s">
        <v>23</v>
      </c>
      <c r="E27" t="s">
        <v>150</v>
      </c>
      <c r="F27" s="57">
        <f>Summary!V13</f>
        <v>21000</v>
      </c>
      <c r="G27" t="s">
        <v>235</v>
      </c>
      <c r="H27" t="s">
        <v>213</v>
      </c>
      <c r="I27" t="s">
        <v>275</v>
      </c>
      <c r="J27" s="166" t="s">
        <v>276</v>
      </c>
      <c r="K27" t="s">
        <v>238</v>
      </c>
      <c r="L27" t="s">
        <v>279</v>
      </c>
      <c r="M27" s="180" t="s">
        <v>312</v>
      </c>
    </row>
    <row r="28" spans="2:34" x14ac:dyDescent="0.3">
      <c r="B28" t="s">
        <v>166</v>
      </c>
      <c r="C28" t="s">
        <v>144</v>
      </c>
      <c r="D28" t="s">
        <v>24</v>
      </c>
      <c r="E28" t="s">
        <v>150</v>
      </c>
      <c r="F28" s="57">
        <f>Summary!V14</f>
        <v>125000</v>
      </c>
      <c r="G28" t="s">
        <v>235</v>
      </c>
      <c r="H28" t="s">
        <v>213</v>
      </c>
      <c r="I28" t="s">
        <v>275</v>
      </c>
      <c r="J28" s="166" t="s">
        <v>276</v>
      </c>
      <c r="K28" t="s">
        <v>238</v>
      </c>
      <c r="L28" t="s">
        <v>277</v>
      </c>
      <c r="M28" s="180" t="s">
        <v>312</v>
      </c>
      <c r="O28" s="180"/>
    </row>
    <row r="29" spans="2:34" x14ac:dyDescent="0.3">
      <c r="B29" t="s">
        <v>166</v>
      </c>
      <c r="C29" t="s">
        <v>144</v>
      </c>
      <c r="D29" t="s">
        <v>25</v>
      </c>
      <c r="E29" t="s">
        <v>150</v>
      </c>
      <c r="F29" s="57">
        <f>Summary!V15</f>
        <v>4000</v>
      </c>
      <c r="G29" t="s">
        <v>235</v>
      </c>
      <c r="H29" t="s">
        <v>213</v>
      </c>
      <c r="I29" t="s">
        <v>275</v>
      </c>
      <c r="J29" s="166" t="s">
        <v>276</v>
      </c>
      <c r="K29" t="s">
        <v>238</v>
      </c>
      <c r="L29" t="s">
        <v>278</v>
      </c>
      <c r="M29" s="180" t="s">
        <v>312</v>
      </c>
    </row>
    <row r="30" spans="2:34" x14ac:dyDescent="0.3">
      <c r="B30" t="s">
        <v>166</v>
      </c>
      <c r="C30" t="s">
        <v>144</v>
      </c>
      <c r="D30" t="s">
        <v>268</v>
      </c>
      <c r="E30" t="s">
        <v>150</v>
      </c>
      <c r="F30" s="57">
        <f>Summary!V16</f>
        <v>18000</v>
      </c>
      <c r="G30" t="s">
        <v>235</v>
      </c>
      <c r="H30" t="s">
        <v>213</v>
      </c>
      <c r="I30" t="s">
        <v>275</v>
      </c>
      <c r="J30" s="166" t="s">
        <v>276</v>
      </c>
      <c r="K30" t="s">
        <v>238</v>
      </c>
      <c r="L30" t="s">
        <v>277</v>
      </c>
      <c r="M30" s="180" t="s">
        <v>312</v>
      </c>
    </row>
    <row r="31" spans="2:34" x14ac:dyDescent="0.3">
      <c r="B31" t="s">
        <v>166</v>
      </c>
      <c r="C31" t="s">
        <v>144</v>
      </c>
      <c r="D31" t="s">
        <v>94</v>
      </c>
      <c r="E31" t="s">
        <v>150</v>
      </c>
      <c r="F31" s="64">
        <f>Summary!V17</f>
        <v>12000</v>
      </c>
      <c r="G31" t="s">
        <v>235</v>
      </c>
      <c r="H31" t="s">
        <v>276</v>
      </c>
      <c r="I31" t="s">
        <v>328</v>
      </c>
      <c r="J31" s="166" t="s">
        <v>276</v>
      </c>
      <c r="K31" t="s">
        <v>238</v>
      </c>
      <c r="L31" t="s">
        <v>318</v>
      </c>
      <c r="M31" t="s">
        <v>319</v>
      </c>
      <c r="N31" t="s">
        <v>326</v>
      </c>
    </row>
    <row r="32" spans="2:34" x14ac:dyDescent="0.3">
      <c r="B32" t="s">
        <v>166</v>
      </c>
      <c r="C32" t="s">
        <v>144</v>
      </c>
      <c r="D32" t="s">
        <v>95</v>
      </c>
      <c r="E32" t="s">
        <v>150</v>
      </c>
      <c r="F32" s="64">
        <f>Summary!V18</f>
        <v>14000</v>
      </c>
      <c r="G32" t="s">
        <v>235</v>
      </c>
      <c r="H32" t="s">
        <v>276</v>
      </c>
      <c r="I32" t="s">
        <v>328</v>
      </c>
      <c r="J32" s="166" t="s">
        <v>276</v>
      </c>
      <c r="K32" t="s">
        <v>238</v>
      </c>
      <c r="L32" t="s">
        <v>318</v>
      </c>
      <c r="M32" t="s">
        <v>319</v>
      </c>
      <c r="N32" t="s">
        <v>327</v>
      </c>
    </row>
    <row r="33" spans="2:14" x14ac:dyDescent="0.3">
      <c r="B33" t="s">
        <v>166</v>
      </c>
      <c r="C33" t="s">
        <v>144</v>
      </c>
      <c r="D33" t="s">
        <v>273</v>
      </c>
      <c r="E33" t="s">
        <v>150</v>
      </c>
      <c r="F33" s="57">
        <v>7800</v>
      </c>
      <c r="G33" t="s">
        <v>235</v>
      </c>
      <c r="H33" t="s">
        <v>213</v>
      </c>
      <c r="I33" t="s">
        <v>317</v>
      </c>
      <c r="J33" s="166" t="s">
        <v>276</v>
      </c>
      <c r="K33" t="s">
        <v>238</v>
      </c>
      <c r="L33" t="s">
        <v>318</v>
      </c>
      <c r="M33" t="s">
        <v>319</v>
      </c>
      <c r="N33" t="s">
        <v>320</v>
      </c>
    </row>
    <row r="34" spans="2:14" x14ac:dyDescent="0.3">
      <c r="B34" t="s">
        <v>166</v>
      </c>
      <c r="C34" t="s">
        <v>144</v>
      </c>
      <c r="D34" t="s">
        <v>274</v>
      </c>
      <c r="E34" t="s">
        <v>150</v>
      </c>
      <c r="F34" s="57">
        <f>Summary!V20</f>
        <v>11000</v>
      </c>
      <c r="G34" t="s">
        <v>235</v>
      </c>
      <c r="H34" t="s">
        <v>213</v>
      </c>
      <c r="I34" t="s">
        <v>275</v>
      </c>
      <c r="J34" s="166" t="s">
        <v>276</v>
      </c>
      <c r="K34" t="s">
        <v>238</v>
      </c>
      <c r="L34" t="s">
        <v>277</v>
      </c>
      <c r="M34" s="180" t="s">
        <v>312</v>
      </c>
      <c r="N34" t="s">
        <v>320</v>
      </c>
    </row>
    <row r="35" spans="2:14" x14ac:dyDescent="0.3">
      <c r="B35" t="s">
        <v>166</v>
      </c>
      <c r="C35" t="s">
        <v>144</v>
      </c>
      <c r="D35" t="s">
        <v>10</v>
      </c>
      <c r="E35" t="s">
        <v>216</v>
      </c>
      <c r="F35" s="57">
        <f>Summary!W5</f>
        <v>1600</v>
      </c>
      <c r="G35" t="s">
        <v>235</v>
      </c>
      <c r="H35" t="s">
        <v>213</v>
      </c>
      <c r="I35" t="s">
        <v>289</v>
      </c>
      <c r="J35" s="166" t="s">
        <v>276</v>
      </c>
      <c r="K35" t="s">
        <v>290</v>
      </c>
      <c r="L35" t="s">
        <v>277</v>
      </c>
      <c r="M35" s="180" t="s">
        <v>312</v>
      </c>
    </row>
    <row r="36" spans="2:14" x14ac:dyDescent="0.3">
      <c r="B36" t="s">
        <v>166</v>
      </c>
      <c r="C36" t="s">
        <v>144</v>
      </c>
      <c r="D36" t="s">
        <v>241</v>
      </c>
      <c r="E36" t="s">
        <v>216</v>
      </c>
      <c r="F36" s="57">
        <f>Summary!W6</f>
        <v>1300</v>
      </c>
      <c r="G36" t="s">
        <v>235</v>
      </c>
      <c r="H36" t="s">
        <v>213</v>
      </c>
      <c r="I36" t="s">
        <v>289</v>
      </c>
      <c r="J36" s="166" t="s">
        <v>276</v>
      </c>
      <c r="K36" t="s">
        <v>290</v>
      </c>
      <c r="L36" t="s">
        <v>277</v>
      </c>
      <c r="M36" s="180" t="s">
        <v>312</v>
      </c>
    </row>
    <row r="37" spans="2:14" x14ac:dyDescent="0.3">
      <c r="B37" t="s">
        <v>166</v>
      </c>
      <c r="C37" t="s">
        <v>144</v>
      </c>
      <c r="D37" t="s">
        <v>153</v>
      </c>
      <c r="E37" t="s">
        <v>216</v>
      </c>
      <c r="F37" s="57">
        <f>Summary!W7</f>
        <v>1300</v>
      </c>
      <c r="G37" t="s">
        <v>235</v>
      </c>
      <c r="H37" t="s">
        <v>213</v>
      </c>
      <c r="I37" t="s">
        <v>289</v>
      </c>
      <c r="J37" s="166" t="s">
        <v>276</v>
      </c>
      <c r="K37" t="s">
        <v>290</v>
      </c>
      <c r="L37" t="s">
        <v>277</v>
      </c>
      <c r="M37" s="180" t="s">
        <v>312</v>
      </c>
    </row>
    <row r="38" spans="2:14" ht="28.8" x14ac:dyDescent="0.3">
      <c r="B38" t="s">
        <v>166</v>
      </c>
      <c r="C38" t="s">
        <v>144</v>
      </c>
      <c r="D38" t="s">
        <v>154</v>
      </c>
      <c r="E38" t="s">
        <v>216</v>
      </c>
      <c r="F38" s="57">
        <f>Summary!W8</f>
        <v>2500</v>
      </c>
      <c r="G38" t="s">
        <v>235</v>
      </c>
      <c r="H38" t="s">
        <v>213</v>
      </c>
      <c r="I38" t="s">
        <v>329</v>
      </c>
      <c r="J38" s="166" t="s">
        <v>276</v>
      </c>
      <c r="K38" t="s">
        <v>292</v>
      </c>
      <c r="L38" t="s">
        <v>297</v>
      </c>
      <c r="M38" s="180" t="s">
        <v>294</v>
      </c>
      <c r="N38" s="181" t="s">
        <v>302</v>
      </c>
    </row>
    <row r="39" spans="2:14" ht="28.8" x14ac:dyDescent="0.3">
      <c r="B39" t="s">
        <v>166</v>
      </c>
      <c r="C39" t="s">
        <v>144</v>
      </c>
      <c r="D39" t="s">
        <v>155</v>
      </c>
      <c r="E39" t="s">
        <v>216</v>
      </c>
      <c r="F39" s="57">
        <f>Summary!W8</f>
        <v>2500</v>
      </c>
      <c r="G39" t="s">
        <v>235</v>
      </c>
      <c r="H39" t="s">
        <v>213</v>
      </c>
      <c r="I39" t="s">
        <v>330</v>
      </c>
      <c r="J39" s="166" t="s">
        <v>276</v>
      </c>
      <c r="K39" t="s">
        <v>292</v>
      </c>
      <c r="L39" t="s">
        <v>297</v>
      </c>
      <c r="M39" s="180" t="s">
        <v>294</v>
      </c>
      <c r="N39" s="181" t="s">
        <v>302</v>
      </c>
    </row>
    <row r="40" spans="2:14" ht="28.8" x14ac:dyDescent="0.3">
      <c r="B40" t="s">
        <v>166</v>
      </c>
      <c r="C40" t="s">
        <v>144</v>
      </c>
      <c r="D40" t="s">
        <v>332</v>
      </c>
      <c r="E40" t="s">
        <v>216</v>
      </c>
      <c r="F40" s="57">
        <f>Summary!W8</f>
        <v>2500</v>
      </c>
      <c r="G40" t="s">
        <v>235</v>
      </c>
      <c r="H40" t="s">
        <v>213</v>
      </c>
      <c r="I40" t="s">
        <v>331</v>
      </c>
      <c r="J40" s="166" t="s">
        <v>276</v>
      </c>
      <c r="K40" t="s">
        <v>292</v>
      </c>
      <c r="L40" t="s">
        <v>297</v>
      </c>
      <c r="M40" s="180" t="s">
        <v>294</v>
      </c>
      <c r="N40" s="181" t="s">
        <v>302</v>
      </c>
    </row>
    <row r="41" spans="2:14" ht="28.8" x14ac:dyDescent="0.3">
      <c r="B41" t="s">
        <v>166</v>
      </c>
      <c r="C41" t="s">
        <v>144</v>
      </c>
      <c r="D41" t="s">
        <v>93</v>
      </c>
      <c r="E41" t="s">
        <v>216</v>
      </c>
      <c r="F41" s="57">
        <f>Summary!W8</f>
        <v>2500</v>
      </c>
      <c r="G41" t="s">
        <v>235</v>
      </c>
      <c r="H41" t="s">
        <v>213</v>
      </c>
      <c r="I41" t="s">
        <v>333</v>
      </c>
      <c r="J41" s="166" t="s">
        <v>276</v>
      </c>
      <c r="K41" t="s">
        <v>292</v>
      </c>
      <c r="L41" t="s">
        <v>297</v>
      </c>
      <c r="M41" s="180" t="s">
        <v>294</v>
      </c>
      <c r="N41" s="181" t="s">
        <v>302</v>
      </c>
    </row>
    <row r="42" spans="2:14" x14ac:dyDescent="0.3">
      <c r="B42" t="s">
        <v>166</v>
      </c>
      <c r="C42" t="s">
        <v>144</v>
      </c>
      <c r="D42" t="s">
        <v>22</v>
      </c>
      <c r="E42" t="s">
        <v>216</v>
      </c>
      <c r="F42" s="57">
        <v>1800</v>
      </c>
      <c r="G42" t="s">
        <v>235</v>
      </c>
      <c r="H42" t="s">
        <v>213</v>
      </c>
      <c r="I42" t="s">
        <v>289</v>
      </c>
      <c r="J42" s="166" t="s">
        <v>276</v>
      </c>
      <c r="K42" t="s">
        <v>290</v>
      </c>
      <c r="L42" t="s">
        <v>277</v>
      </c>
      <c r="M42" s="180" t="s">
        <v>312</v>
      </c>
      <c r="N42" t="s">
        <v>310</v>
      </c>
    </row>
    <row r="43" spans="2:14" x14ac:dyDescent="0.3">
      <c r="B43" t="s">
        <v>166</v>
      </c>
      <c r="C43" t="s">
        <v>144</v>
      </c>
      <c r="D43" t="s">
        <v>23</v>
      </c>
      <c r="E43" t="s">
        <v>216</v>
      </c>
      <c r="F43" s="57">
        <f>Summary!W13</f>
        <v>900</v>
      </c>
      <c r="G43" t="s">
        <v>235</v>
      </c>
      <c r="H43" t="s">
        <v>213</v>
      </c>
      <c r="I43" t="s">
        <v>289</v>
      </c>
      <c r="J43" s="166" t="s">
        <v>276</v>
      </c>
      <c r="K43" t="s">
        <v>290</v>
      </c>
      <c r="L43" t="s">
        <v>277</v>
      </c>
      <c r="M43" s="180" t="s">
        <v>312</v>
      </c>
    </row>
    <row r="44" spans="2:14" x14ac:dyDescent="0.3">
      <c r="B44" t="s">
        <v>166</v>
      </c>
      <c r="C44" t="s">
        <v>144</v>
      </c>
      <c r="D44" t="s">
        <v>24</v>
      </c>
      <c r="E44" t="s">
        <v>216</v>
      </c>
      <c r="F44" s="57">
        <f>Summary!W14</f>
        <v>1300</v>
      </c>
      <c r="G44" t="s">
        <v>235</v>
      </c>
      <c r="H44" t="s">
        <v>213</v>
      </c>
      <c r="I44" t="s">
        <v>289</v>
      </c>
      <c r="J44" s="166" t="s">
        <v>276</v>
      </c>
      <c r="K44" t="s">
        <v>290</v>
      </c>
      <c r="L44" t="s">
        <v>277</v>
      </c>
      <c r="M44" s="180" t="s">
        <v>312</v>
      </c>
    </row>
    <row r="45" spans="2:14" ht="28.8" x14ac:dyDescent="0.3">
      <c r="B45" t="s">
        <v>166</v>
      </c>
      <c r="C45" t="s">
        <v>144</v>
      </c>
      <c r="D45" t="s">
        <v>25</v>
      </c>
      <c r="E45" t="s">
        <v>216</v>
      </c>
      <c r="F45" s="57">
        <f>Summary!W15</f>
        <v>100</v>
      </c>
      <c r="G45" t="s">
        <v>235</v>
      </c>
      <c r="H45" t="s">
        <v>213</v>
      </c>
      <c r="I45" t="s">
        <v>295</v>
      </c>
      <c r="J45" t="s">
        <v>276</v>
      </c>
      <c r="K45" s="181" t="s">
        <v>296</v>
      </c>
      <c r="L45" t="s">
        <v>277</v>
      </c>
      <c r="M45" s="180" t="s">
        <v>312</v>
      </c>
      <c r="N45" s="181" t="s">
        <v>309</v>
      </c>
    </row>
    <row r="46" spans="2:14" x14ac:dyDescent="0.3">
      <c r="B46" t="s">
        <v>166</v>
      </c>
      <c r="C46" t="s">
        <v>144</v>
      </c>
      <c r="D46" t="s">
        <v>268</v>
      </c>
      <c r="E46" t="s">
        <v>216</v>
      </c>
      <c r="F46" s="57">
        <f>Summary!W16</f>
        <v>1300</v>
      </c>
      <c r="G46" t="s">
        <v>235</v>
      </c>
      <c r="H46" t="s">
        <v>213</v>
      </c>
      <c r="I46" t="s">
        <v>289</v>
      </c>
      <c r="J46" s="166" t="s">
        <v>276</v>
      </c>
      <c r="K46" t="s">
        <v>290</v>
      </c>
      <c r="L46" t="s">
        <v>277</v>
      </c>
      <c r="M46" s="180" t="s">
        <v>312</v>
      </c>
    </row>
    <row r="47" spans="2:14" x14ac:dyDescent="0.3">
      <c r="B47" t="s">
        <v>166</v>
      </c>
      <c r="C47" t="s">
        <v>144</v>
      </c>
      <c r="D47" t="s">
        <v>94</v>
      </c>
      <c r="E47" t="s">
        <v>216</v>
      </c>
      <c r="F47" s="57">
        <f>Summary!W17</f>
        <v>500</v>
      </c>
      <c r="G47" t="s">
        <v>235</v>
      </c>
      <c r="H47" t="s">
        <v>213</v>
      </c>
      <c r="I47" t="s">
        <v>291</v>
      </c>
      <c r="J47" s="166" t="s">
        <v>276</v>
      </c>
      <c r="K47" t="s">
        <v>292</v>
      </c>
      <c r="L47" t="s">
        <v>297</v>
      </c>
      <c r="M47" s="180" t="s">
        <v>294</v>
      </c>
    </row>
    <row r="48" spans="2:14" x14ac:dyDescent="0.3">
      <c r="B48" t="s">
        <v>166</v>
      </c>
      <c r="C48" t="s">
        <v>144</v>
      </c>
      <c r="D48" t="s">
        <v>95</v>
      </c>
      <c r="E48" t="s">
        <v>216</v>
      </c>
      <c r="F48" s="57">
        <f>Summary!W18</f>
        <v>1000</v>
      </c>
      <c r="G48" t="s">
        <v>235</v>
      </c>
      <c r="H48" t="s">
        <v>213</v>
      </c>
      <c r="I48" t="s">
        <v>291</v>
      </c>
      <c r="J48" s="166" t="s">
        <v>276</v>
      </c>
      <c r="K48" t="s">
        <v>292</v>
      </c>
      <c r="L48" t="s">
        <v>297</v>
      </c>
      <c r="M48" s="180" t="s">
        <v>294</v>
      </c>
    </row>
    <row r="49" spans="2:14" x14ac:dyDescent="0.3">
      <c r="B49" t="s">
        <v>166</v>
      </c>
      <c r="C49" t="s">
        <v>144</v>
      </c>
      <c r="D49" t="s">
        <v>273</v>
      </c>
      <c r="E49" t="s">
        <v>216</v>
      </c>
      <c r="F49" s="57">
        <f>Summary!W19</f>
        <v>2000</v>
      </c>
      <c r="G49" t="s">
        <v>235</v>
      </c>
      <c r="H49" t="s">
        <v>213</v>
      </c>
      <c r="I49" t="s">
        <v>289</v>
      </c>
      <c r="J49" s="166" t="s">
        <v>276</v>
      </c>
      <c r="K49" t="s">
        <v>290</v>
      </c>
      <c r="L49" t="s">
        <v>297</v>
      </c>
      <c r="M49" s="180" t="s">
        <v>294</v>
      </c>
      <c r="N49" t="s">
        <v>321</v>
      </c>
    </row>
    <row r="50" spans="2:14" x14ac:dyDescent="0.3">
      <c r="B50" t="s">
        <v>166</v>
      </c>
      <c r="C50" t="s">
        <v>144</v>
      </c>
      <c r="D50" t="s">
        <v>274</v>
      </c>
      <c r="E50" t="s">
        <v>216</v>
      </c>
      <c r="F50" s="57">
        <f>Summary!W20</f>
        <v>900</v>
      </c>
      <c r="G50" t="s">
        <v>235</v>
      </c>
      <c r="H50" t="s">
        <v>213</v>
      </c>
      <c r="I50" t="s">
        <v>289</v>
      </c>
      <c r="J50" s="166" t="s">
        <v>276</v>
      </c>
      <c r="K50" t="s">
        <v>290</v>
      </c>
      <c r="L50" t="s">
        <v>297</v>
      </c>
      <c r="M50" s="180" t="s">
        <v>294</v>
      </c>
      <c r="N50" t="s">
        <v>321</v>
      </c>
    </row>
    <row r="51" spans="2:14" x14ac:dyDescent="0.3">
      <c r="B51" t="s">
        <v>166</v>
      </c>
      <c r="C51" t="s">
        <v>144</v>
      </c>
      <c r="D51" t="s">
        <v>10</v>
      </c>
      <c r="E51" t="s">
        <v>217</v>
      </c>
      <c r="F51" s="57">
        <f>Summary!X5</f>
        <v>3200</v>
      </c>
      <c r="G51" t="s">
        <v>235</v>
      </c>
      <c r="H51" t="s">
        <v>213</v>
      </c>
      <c r="I51" t="s">
        <v>298</v>
      </c>
      <c r="J51" s="166" t="s">
        <v>276</v>
      </c>
      <c r="K51" t="s">
        <v>299</v>
      </c>
      <c r="L51" t="s">
        <v>300</v>
      </c>
      <c r="M51" s="180" t="s">
        <v>301</v>
      </c>
    </row>
    <row r="52" spans="2:14" x14ac:dyDescent="0.3">
      <c r="B52" t="s">
        <v>166</v>
      </c>
      <c r="C52" t="s">
        <v>144</v>
      </c>
      <c r="D52" t="s">
        <v>241</v>
      </c>
      <c r="E52" t="s">
        <v>217</v>
      </c>
      <c r="F52" s="57">
        <f>Summary!X6</f>
        <v>2600</v>
      </c>
      <c r="G52" t="s">
        <v>235</v>
      </c>
      <c r="H52" t="s">
        <v>213</v>
      </c>
      <c r="I52" t="s">
        <v>298</v>
      </c>
      <c r="J52" s="166" t="s">
        <v>276</v>
      </c>
      <c r="K52" t="s">
        <v>299</v>
      </c>
      <c r="L52" t="s">
        <v>300</v>
      </c>
      <c r="M52" s="180" t="s">
        <v>301</v>
      </c>
    </row>
    <row r="53" spans="2:14" x14ac:dyDescent="0.3">
      <c r="B53" t="s">
        <v>166</v>
      </c>
      <c r="C53" t="s">
        <v>144</v>
      </c>
      <c r="D53" t="s">
        <v>153</v>
      </c>
      <c r="E53" t="s">
        <v>217</v>
      </c>
      <c r="F53" s="57">
        <f>Summary!X7</f>
        <v>2600</v>
      </c>
      <c r="G53" t="s">
        <v>235</v>
      </c>
      <c r="H53" t="s">
        <v>213</v>
      </c>
      <c r="I53" t="s">
        <v>298</v>
      </c>
      <c r="J53" s="166" t="s">
        <v>276</v>
      </c>
      <c r="K53" t="s">
        <v>299</v>
      </c>
      <c r="L53" t="s">
        <v>300</v>
      </c>
      <c r="M53" s="180" t="s">
        <v>301</v>
      </c>
    </row>
    <row r="54" spans="2:14" ht="28.8" x14ac:dyDescent="0.3">
      <c r="B54" t="s">
        <v>166</v>
      </c>
      <c r="C54" t="s">
        <v>144</v>
      </c>
      <c r="D54" t="s">
        <v>154</v>
      </c>
      <c r="E54" t="s">
        <v>217</v>
      </c>
      <c r="F54" s="57">
        <f>Summary!X8</f>
        <v>5000</v>
      </c>
      <c r="G54" t="s">
        <v>235</v>
      </c>
      <c r="H54" t="s">
        <v>213</v>
      </c>
      <c r="I54" t="s">
        <v>334</v>
      </c>
      <c r="J54" s="166" t="s">
        <v>276</v>
      </c>
      <c r="K54" t="s">
        <v>299</v>
      </c>
      <c r="L54" t="s">
        <v>300</v>
      </c>
      <c r="M54" s="180" t="s">
        <v>301</v>
      </c>
      <c r="N54" s="181" t="s">
        <v>302</v>
      </c>
    </row>
    <row r="55" spans="2:14" ht="28.8" x14ac:dyDescent="0.3">
      <c r="B55" t="s">
        <v>166</v>
      </c>
      <c r="C55" t="s">
        <v>144</v>
      </c>
      <c r="D55" t="s">
        <v>155</v>
      </c>
      <c r="E55" t="s">
        <v>217</v>
      </c>
      <c r="F55" s="57">
        <f>Summary!X8</f>
        <v>5000</v>
      </c>
      <c r="G55" t="s">
        <v>235</v>
      </c>
      <c r="H55" t="s">
        <v>213</v>
      </c>
      <c r="I55" t="s">
        <v>335</v>
      </c>
      <c r="J55" s="166" t="s">
        <v>276</v>
      </c>
      <c r="K55" t="s">
        <v>299</v>
      </c>
      <c r="L55" t="s">
        <v>300</v>
      </c>
      <c r="M55" s="180" t="s">
        <v>301</v>
      </c>
      <c r="N55" s="181" t="s">
        <v>302</v>
      </c>
    </row>
    <row r="56" spans="2:14" ht="28.8" x14ac:dyDescent="0.3">
      <c r="B56" t="s">
        <v>166</v>
      </c>
      <c r="C56" t="s">
        <v>144</v>
      </c>
      <c r="D56" t="s">
        <v>332</v>
      </c>
      <c r="E56" t="s">
        <v>217</v>
      </c>
      <c r="F56" s="57">
        <f>Summary!X8</f>
        <v>5000</v>
      </c>
      <c r="G56" t="s">
        <v>235</v>
      </c>
      <c r="H56" t="s">
        <v>213</v>
      </c>
      <c r="I56" t="s">
        <v>336</v>
      </c>
      <c r="J56" s="166" t="s">
        <v>276</v>
      </c>
      <c r="K56" t="s">
        <v>299</v>
      </c>
      <c r="L56" t="s">
        <v>300</v>
      </c>
      <c r="M56" s="180" t="s">
        <v>301</v>
      </c>
      <c r="N56" s="181" t="s">
        <v>302</v>
      </c>
    </row>
    <row r="57" spans="2:14" ht="28.8" x14ac:dyDescent="0.3">
      <c r="B57" t="s">
        <v>166</v>
      </c>
      <c r="C57" t="s">
        <v>144</v>
      </c>
      <c r="D57" t="s">
        <v>93</v>
      </c>
      <c r="E57" t="s">
        <v>217</v>
      </c>
      <c r="F57" s="57">
        <f>Summary!X8</f>
        <v>5000</v>
      </c>
      <c r="G57" t="s">
        <v>235</v>
      </c>
      <c r="H57" t="s">
        <v>213</v>
      </c>
      <c r="I57" t="s">
        <v>337</v>
      </c>
      <c r="J57" s="166" t="s">
        <v>276</v>
      </c>
      <c r="K57" t="s">
        <v>299</v>
      </c>
      <c r="L57" t="s">
        <v>300</v>
      </c>
      <c r="M57" s="180" t="s">
        <v>301</v>
      </c>
      <c r="N57" s="181" t="s">
        <v>302</v>
      </c>
    </row>
    <row r="58" spans="2:14" x14ac:dyDescent="0.3">
      <c r="B58" t="s">
        <v>166</v>
      </c>
      <c r="C58" t="s">
        <v>144</v>
      </c>
      <c r="D58" t="s">
        <v>22</v>
      </c>
      <c r="E58" t="s">
        <v>217</v>
      </c>
      <c r="F58" s="57">
        <f>Summary!X12</f>
        <v>3600</v>
      </c>
      <c r="G58" t="s">
        <v>235</v>
      </c>
      <c r="H58" t="s">
        <v>213</v>
      </c>
      <c r="I58" t="s">
        <v>298</v>
      </c>
      <c r="J58" s="166" t="s">
        <v>276</v>
      </c>
      <c r="K58" t="s">
        <v>299</v>
      </c>
      <c r="L58" t="s">
        <v>300</v>
      </c>
      <c r="M58" s="180" t="s">
        <v>301</v>
      </c>
      <c r="N58" t="s">
        <v>313</v>
      </c>
    </row>
    <row r="59" spans="2:14" x14ac:dyDescent="0.3">
      <c r="B59" t="s">
        <v>166</v>
      </c>
      <c r="C59" t="s">
        <v>144</v>
      </c>
      <c r="D59" t="s">
        <v>23</v>
      </c>
      <c r="E59" t="s">
        <v>217</v>
      </c>
      <c r="F59" s="57">
        <f>Summary!X13</f>
        <v>1800</v>
      </c>
      <c r="G59" t="s">
        <v>235</v>
      </c>
      <c r="H59" t="s">
        <v>213</v>
      </c>
      <c r="I59" t="s">
        <v>298</v>
      </c>
      <c r="J59" s="166" t="s">
        <v>276</v>
      </c>
      <c r="K59" t="s">
        <v>299</v>
      </c>
      <c r="L59" t="s">
        <v>300</v>
      </c>
      <c r="M59" s="180" t="s">
        <v>301</v>
      </c>
    </row>
    <row r="60" spans="2:14" x14ac:dyDescent="0.3">
      <c r="B60" t="s">
        <v>166</v>
      </c>
      <c r="C60" t="s">
        <v>144</v>
      </c>
      <c r="D60" t="s">
        <v>24</v>
      </c>
      <c r="E60" t="s">
        <v>217</v>
      </c>
      <c r="F60" s="57">
        <f>Summary!X14</f>
        <v>2600</v>
      </c>
      <c r="G60" t="s">
        <v>235</v>
      </c>
      <c r="H60" t="s">
        <v>213</v>
      </c>
      <c r="I60" t="s">
        <v>298</v>
      </c>
      <c r="J60" s="166" t="s">
        <v>276</v>
      </c>
      <c r="K60" t="s">
        <v>299</v>
      </c>
      <c r="L60" t="s">
        <v>300</v>
      </c>
      <c r="M60" s="180" t="s">
        <v>301</v>
      </c>
    </row>
    <row r="61" spans="2:14" x14ac:dyDescent="0.3">
      <c r="B61" t="s">
        <v>166</v>
      </c>
      <c r="C61" t="s">
        <v>144</v>
      </c>
      <c r="D61" t="s">
        <v>25</v>
      </c>
      <c r="E61" t="s">
        <v>217</v>
      </c>
      <c r="F61" s="57">
        <f>Summary!X15</f>
        <v>200</v>
      </c>
      <c r="G61" t="s">
        <v>235</v>
      </c>
      <c r="H61" t="s">
        <v>213</v>
      </c>
      <c r="I61" t="s">
        <v>298</v>
      </c>
      <c r="J61" s="166" t="s">
        <v>276</v>
      </c>
      <c r="K61" t="s">
        <v>299</v>
      </c>
      <c r="L61" t="s">
        <v>300</v>
      </c>
      <c r="M61" s="180" t="s">
        <v>301</v>
      </c>
    </row>
    <row r="62" spans="2:14" x14ac:dyDescent="0.3">
      <c r="B62" t="s">
        <v>166</v>
      </c>
      <c r="C62" t="s">
        <v>144</v>
      </c>
      <c r="D62" t="s">
        <v>268</v>
      </c>
      <c r="E62" t="s">
        <v>217</v>
      </c>
      <c r="F62" s="57">
        <f>Summary!X16</f>
        <v>2600</v>
      </c>
      <c r="G62" t="s">
        <v>235</v>
      </c>
      <c r="H62" t="s">
        <v>213</v>
      </c>
      <c r="I62" t="s">
        <v>298</v>
      </c>
      <c r="J62" s="166" t="s">
        <v>276</v>
      </c>
      <c r="K62" t="s">
        <v>299</v>
      </c>
      <c r="L62" t="s">
        <v>300</v>
      </c>
      <c r="M62" s="180" t="s">
        <v>301</v>
      </c>
    </row>
    <row r="63" spans="2:14" x14ac:dyDescent="0.3">
      <c r="B63" t="s">
        <v>166</v>
      </c>
      <c r="C63" t="s">
        <v>144</v>
      </c>
      <c r="D63" t="s">
        <v>94</v>
      </c>
      <c r="E63" t="s">
        <v>217</v>
      </c>
      <c r="F63" s="57">
        <f>Summary!X17</f>
        <v>1000</v>
      </c>
      <c r="G63" t="s">
        <v>235</v>
      </c>
      <c r="H63" t="s">
        <v>213</v>
      </c>
      <c r="I63" t="s">
        <v>298</v>
      </c>
      <c r="J63" s="166" t="s">
        <v>276</v>
      </c>
      <c r="K63" t="s">
        <v>299</v>
      </c>
      <c r="L63" t="s">
        <v>300</v>
      </c>
      <c r="M63" s="180" t="s">
        <v>301</v>
      </c>
    </row>
    <row r="64" spans="2:14" x14ac:dyDescent="0.3">
      <c r="B64" t="s">
        <v>166</v>
      </c>
      <c r="C64" t="s">
        <v>144</v>
      </c>
      <c r="D64" t="s">
        <v>95</v>
      </c>
      <c r="E64" t="s">
        <v>217</v>
      </c>
      <c r="F64" s="57">
        <f>Summary!X18</f>
        <v>2000</v>
      </c>
      <c r="G64" t="s">
        <v>235</v>
      </c>
      <c r="H64" t="s">
        <v>213</v>
      </c>
      <c r="I64" t="s">
        <v>298</v>
      </c>
      <c r="J64" s="166" t="s">
        <v>276</v>
      </c>
      <c r="K64" t="s">
        <v>299</v>
      </c>
      <c r="L64" t="s">
        <v>300</v>
      </c>
      <c r="M64" s="180" t="s">
        <v>301</v>
      </c>
    </row>
    <row r="65" spans="2:14" x14ac:dyDescent="0.3">
      <c r="B65" t="s">
        <v>166</v>
      </c>
      <c r="C65" t="s">
        <v>144</v>
      </c>
      <c r="D65" t="s">
        <v>273</v>
      </c>
      <c r="E65" t="s">
        <v>217</v>
      </c>
      <c r="F65" s="57">
        <f>Summary!X19</f>
        <v>4000</v>
      </c>
      <c r="G65" t="s">
        <v>235</v>
      </c>
      <c r="H65" t="s">
        <v>213</v>
      </c>
      <c r="I65" t="s">
        <v>298</v>
      </c>
      <c r="J65" s="166" t="s">
        <v>276</v>
      </c>
      <c r="K65" t="s">
        <v>299</v>
      </c>
      <c r="L65" t="s">
        <v>300</v>
      </c>
      <c r="M65" s="180" t="s">
        <v>301</v>
      </c>
      <c r="N65" t="s">
        <v>311</v>
      </c>
    </row>
    <row r="66" spans="2:14" x14ac:dyDescent="0.3">
      <c r="B66" t="s">
        <v>166</v>
      </c>
      <c r="C66" t="s">
        <v>144</v>
      </c>
      <c r="D66" t="s">
        <v>274</v>
      </c>
      <c r="E66" t="s">
        <v>217</v>
      </c>
      <c r="F66" s="57">
        <f>Summary!X20</f>
        <v>1800</v>
      </c>
      <c r="G66" t="s">
        <v>235</v>
      </c>
      <c r="H66" t="s">
        <v>213</v>
      </c>
      <c r="I66" t="s">
        <v>298</v>
      </c>
      <c r="J66" s="166" t="s">
        <v>276</v>
      </c>
      <c r="K66" t="s">
        <v>299</v>
      </c>
      <c r="L66" t="s">
        <v>300</v>
      </c>
      <c r="M66" s="180" t="s">
        <v>301</v>
      </c>
      <c r="N66" t="s">
        <v>311</v>
      </c>
    </row>
    <row r="67" spans="2:14" x14ac:dyDescent="0.3">
      <c r="B67" t="s">
        <v>166</v>
      </c>
      <c r="C67" t="s">
        <v>144</v>
      </c>
      <c r="D67" t="s">
        <v>10</v>
      </c>
      <c r="E67" t="s">
        <v>218</v>
      </c>
      <c r="F67" s="57">
        <f>Summary!Y5</f>
        <v>4800</v>
      </c>
      <c r="G67" t="s">
        <v>235</v>
      </c>
      <c r="H67" t="s">
        <v>213</v>
      </c>
      <c r="I67" t="s">
        <v>303</v>
      </c>
      <c r="J67" t="s">
        <v>276</v>
      </c>
      <c r="K67" t="s">
        <v>304</v>
      </c>
      <c r="L67" t="s">
        <v>300</v>
      </c>
      <c r="M67" s="180" t="s">
        <v>301</v>
      </c>
    </row>
    <row r="68" spans="2:14" x14ac:dyDescent="0.3">
      <c r="B68" t="s">
        <v>166</v>
      </c>
      <c r="C68" t="s">
        <v>144</v>
      </c>
      <c r="D68" t="s">
        <v>241</v>
      </c>
      <c r="E68" t="s">
        <v>218</v>
      </c>
      <c r="F68" s="57">
        <f>Summary!Y6</f>
        <v>3900</v>
      </c>
      <c r="G68" t="s">
        <v>235</v>
      </c>
      <c r="H68" t="s">
        <v>213</v>
      </c>
      <c r="I68" t="s">
        <v>303</v>
      </c>
      <c r="J68" t="s">
        <v>276</v>
      </c>
      <c r="K68" t="s">
        <v>304</v>
      </c>
      <c r="L68" t="s">
        <v>300</v>
      </c>
      <c r="M68" s="180" t="s">
        <v>301</v>
      </c>
    </row>
    <row r="69" spans="2:14" x14ac:dyDescent="0.3">
      <c r="B69" t="s">
        <v>166</v>
      </c>
      <c r="C69" t="s">
        <v>144</v>
      </c>
      <c r="D69" t="s">
        <v>153</v>
      </c>
      <c r="E69" t="s">
        <v>218</v>
      </c>
      <c r="F69" s="57">
        <f>Summary!Y7</f>
        <v>3900</v>
      </c>
      <c r="G69" t="s">
        <v>235</v>
      </c>
      <c r="H69" t="s">
        <v>213</v>
      </c>
      <c r="I69" t="s">
        <v>303</v>
      </c>
      <c r="J69" t="s">
        <v>276</v>
      </c>
      <c r="K69" t="s">
        <v>304</v>
      </c>
      <c r="L69" t="s">
        <v>300</v>
      </c>
      <c r="M69" s="180" t="s">
        <v>301</v>
      </c>
    </row>
    <row r="70" spans="2:14" ht="28.8" x14ac:dyDescent="0.3">
      <c r="B70" t="s">
        <v>166</v>
      </c>
      <c r="C70" t="s">
        <v>144</v>
      </c>
      <c r="D70" t="s">
        <v>154</v>
      </c>
      <c r="E70" t="s">
        <v>218</v>
      </c>
      <c r="F70" s="57">
        <f>Summary!Y8</f>
        <v>7500</v>
      </c>
      <c r="G70" t="s">
        <v>235</v>
      </c>
      <c r="H70" t="s">
        <v>213</v>
      </c>
      <c r="I70" t="s">
        <v>338</v>
      </c>
      <c r="J70" t="s">
        <v>276</v>
      </c>
      <c r="K70" t="s">
        <v>304</v>
      </c>
      <c r="L70" t="s">
        <v>300</v>
      </c>
      <c r="M70" s="180" t="s">
        <v>301</v>
      </c>
      <c r="N70" s="181" t="s">
        <v>302</v>
      </c>
    </row>
    <row r="71" spans="2:14" ht="28.8" x14ac:dyDescent="0.3">
      <c r="B71" t="s">
        <v>166</v>
      </c>
      <c r="C71" t="s">
        <v>144</v>
      </c>
      <c r="D71" t="s">
        <v>155</v>
      </c>
      <c r="E71" t="s">
        <v>218</v>
      </c>
      <c r="F71" s="57">
        <f>Summary!Y8</f>
        <v>7500</v>
      </c>
      <c r="G71" t="s">
        <v>235</v>
      </c>
      <c r="H71" t="s">
        <v>213</v>
      </c>
      <c r="I71" t="s">
        <v>339</v>
      </c>
      <c r="J71" t="s">
        <v>276</v>
      </c>
      <c r="K71" t="s">
        <v>304</v>
      </c>
      <c r="L71" t="s">
        <v>300</v>
      </c>
      <c r="M71" s="180" t="s">
        <v>301</v>
      </c>
      <c r="N71" s="181" t="s">
        <v>302</v>
      </c>
    </row>
    <row r="72" spans="2:14" ht="28.8" x14ac:dyDescent="0.3">
      <c r="B72" t="s">
        <v>166</v>
      </c>
      <c r="C72" t="s">
        <v>144</v>
      </c>
      <c r="D72" t="s">
        <v>332</v>
      </c>
      <c r="E72" t="s">
        <v>218</v>
      </c>
      <c r="F72" s="57">
        <f>Summary!Y8</f>
        <v>7500</v>
      </c>
      <c r="G72" t="s">
        <v>235</v>
      </c>
      <c r="H72" t="s">
        <v>213</v>
      </c>
      <c r="I72" t="s">
        <v>340</v>
      </c>
      <c r="J72" t="s">
        <v>276</v>
      </c>
      <c r="K72" t="s">
        <v>304</v>
      </c>
      <c r="L72" t="s">
        <v>300</v>
      </c>
      <c r="M72" s="180" t="s">
        <v>301</v>
      </c>
      <c r="N72" s="181" t="s">
        <v>302</v>
      </c>
    </row>
    <row r="73" spans="2:14" ht="28.8" x14ac:dyDescent="0.3">
      <c r="B73" t="s">
        <v>166</v>
      </c>
      <c r="C73" t="s">
        <v>144</v>
      </c>
      <c r="D73" t="s">
        <v>93</v>
      </c>
      <c r="E73" t="s">
        <v>218</v>
      </c>
      <c r="F73" s="57">
        <f>Summary!Y8</f>
        <v>7500</v>
      </c>
      <c r="G73" t="s">
        <v>235</v>
      </c>
      <c r="H73" t="s">
        <v>213</v>
      </c>
      <c r="I73" t="s">
        <v>341</v>
      </c>
      <c r="J73" t="s">
        <v>276</v>
      </c>
      <c r="K73" t="s">
        <v>304</v>
      </c>
      <c r="L73" t="s">
        <v>300</v>
      </c>
      <c r="M73" s="180" t="s">
        <v>301</v>
      </c>
      <c r="N73" s="181" t="s">
        <v>302</v>
      </c>
    </row>
    <row r="74" spans="2:14" x14ac:dyDescent="0.3">
      <c r="B74" t="s">
        <v>166</v>
      </c>
      <c r="C74" t="s">
        <v>144</v>
      </c>
      <c r="D74" t="s">
        <v>22</v>
      </c>
      <c r="E74" t="s">
        <v>218</v>
      </c>
      <c r="F74" s="57">
        <f>Summary!Y12</f>
        <v>5400</v>
      </c>
      <c r="G74" t="s">
        <v>235</v>
      </c>
      <c r="H74" t="s">
        <v>213</v>
      </c>
      <c r="I74" t="s">
        <v>303</v>
      </c>
      <c r="J74" t="s">
        <v>276</v>
      </c>
      <c r="K74" t="s">
        <v>304</v>
      </c>
      <c r="L74" t="s">
        <v>300</v>
      </c>
      <c r="M74" s="180" t="s">
        <v>301</v>
      </c>
      <c r="N74" t="s">
        <v>314</v>
      </c>
    </row>
    <row r="75" spans="2:14" x14ac:dyDescent="0.3">
      <c r="B75" t="s">
        <v>166</v>
      </c>
      <c r="C75" t="s">
        <v>144</v>
      </c>
      <c r="D75" t="s">
        <v>23</v>
      </c>
      <c r="E75" t="s">
        <v>218</v>
      </c>
      <c r="F75" s="57">
        <f>Summary!Y13</f>
        <v>2700</v>
      </c>
      <c r="G75" t="s">
        <v>235</v>
      </c>
      <c r="H75" t="s">
        <v>213</v>
      </c>
      <c r="I75" t="s">
        <v>303</v>
      </c>
      <c r="J75" t="s">
        <v>276</v>
      </c>
      <c r="K75" t="s">
        <v>304</v>
      </c>
      <c r="L75" t="s">
        <v>300</v>
      </c>
      <c r="M75" s="180" t="s">
        <v>301</v>
      </c>
    </row>
    <row r="76" spans="2:14" x14ac:dyDescent="0.3">
      <c r="B76" t="s">
        <v>166</v>
      </c>
      <c r="C76" t="s">
        <v>144</v>
      </c>
      <c r="D76" t="s">
        <v>24</v>
      </c>
      <c r="E76" t="s">
        <v>218</v>
      </c>
      <c r="F76" s="57">
        <f>Summary!Y14</f>
        <v>3900</v>
      </c>
      <c r="G76" t="s">
        <v>235</v>
      </c>
      <c r="H76" t="s">
        <v>213</v>
      </c>
      <c r="I76" t="s">
        <v>303</v>
      </c>
      <c r="J76" t="s">
        <v>276</v>
      </c>
      <c r="K76" t="s">
        <v>304</v>
      </c>
      <c r="L76" t="s">
        <v>300</v>
      </c>
      <c r="M76" s="180" t="s">
        <v>301</v>
      </c>
    </row>
    <row r="77" spans="2:14" x14ac:dyDescent="0.3">
      <c r="B77" t="s">
        <v>166</v>
      </c>
      <c r="C77" t="s">
        <v>144</v>
      </c>
      <c r="D77" t="s">
        <v>305</v>
      </c>
      <c r="E77" t="s">
        <v>218</v>
      </c>
      <c r="F77" s="57">
        <f>Summary!Y15</f>
        <v>300</v>
      </c>
      <c r="G77" t="s">
        <v>235</v>
      </c>
      <c r="H77" t="s">
        <v>213</v>
      </c>
      <c r="I77" t="s">
        <v>303</v>
      </c>
      <c r="J77" t="s">
        <v>276</v>
      </c>
      <c r="K77" t="s">
        <v>304</v>
      </c>
      <c r="L77" t="s">
        <v>300</v>
      </c>
      <c r="M77" s="180" t="s">
        <v>301</v>
      </c>
    </row>
    <row r="78" spans="2:14" x14ac:dyDescent="0.3">
      <c r="B78" t="s">
        <v>166</v>
      </c>
      <c r="C78" t="s">
        <v>144</v>
      </c>
      <c r="D78" t="s">
        <v>268</v>
      </c>
      <c r="E78" t="s">
        <v>218</v>
      </c>
      <c r="F78" s="57">
        <f>Summary!Y16</f>
        <v>3900</v>
      </c>
      <c r="G78" t="s">
        <v>235</v>
      </c>
      <c r="H78" t="s">
        <v>213</v>
      </c>
      <c r="I78" t="s">
        <v>303</v>
      </c>
      <c r="J78" t="s">
        <v>276</v>
      </c>
      <c r="K78" t="s">
        <v>304</v>
      </c>
      <c r="L78" t="s">
        <v>300</v>
      </c>
      <c r="M78" s="180" t="s">
        <v>301</v>
      </c>
    </row>
    <row r="79" spans="2:14" x14ac:dyDescent="0.3">
      <c r="B79" t="s">
        <v>166</v>
      </c>
      <c r="C79" t="s">
        <v>144</v>
      </c>
      <c r="D79" t="s">
        <v>94</v>
      </c>
      <c r="E79" t="s">
        <v>218</v>
      </c>
      <c r="F79" s="57">
        <f>Summary!Y17</f>
        <v>1500</v>
      </c>
      <c r="G79" t="s">
        <v>235</v>
      </c>
      <c r="H79" t="s">
        <v>213</v>
      </c>
      <c r="I79" t="s">
        <v>303</v>
      </c>
      <c r="J79" t="s">
        <v>276</v>
      </c>
      <c r="K79" t="s">
        <v>304</v>
      </c>
      <c r="L79" t="s">
        <v>300</v>
      </c>
      <c r="M79" s="180" t="s">
        <v>301</v>
      </c>
    </row>
    <row r="80" spans="2:14" x14ac:dyDescent="0.3">
      <c r="B80" t="s">
        <v>166</v>
      </c>
      <c r="C80" t="s">
        <v>144</v>
      </c>
      <c r="D80" t="s">
        <v>95</v>
      </c>
      <c r="E80" t="s">
        <v>218</v>
      </c>
      <c r="F80" s="57">
        <f>Summary!Y18</f>
        <v>3000</v>
      </c>
      <c r="G80" t="s">
        <v>235</v>
      </c>
      <c r="H80" t="s">
        <v>213</v>
      </c>
      <c r="I80" t="s">
        <v>303</v>
      </c>
      <c r="J80" t="s">
        <v>276</v>
      </c>
      <c r="K80" t="s">
        <v>304</v>
      </c>
      <c r="L80" t="s">
        <v>300</v>
      </c>
      <c r="M80" s="180" t="s">
        <v>301</v>
      </c>
    </row>
    <row r="81" spans="2:14" x14ac:dyDescent="0.3">
      <c r="B81" t="s">
        <v>166</v>
      </c>
      <c r="C81" t="s">
        <v>144</v>
      </c>
      <c r="D81" t="s">
        <v>273</v>
      </c>
      <c r="E81" t="s">
        <v>218</v>
      </c>
      <c r="F81" s="57">
        <f>Summary!Y19</f>
        <v>6000</v>
      </c>
      <c r="G81" t="s">
        <v>235</v>
      </c>
      <c r="H81" t="s">
        <v>213</v>
      </c>
      <c r="I81" t="s">
        <v>303</v>
      </c>
      <c r="J81" t="s">
        <v>276</v>
      </c>
      <c r="K81" t="s">
        <v>304</v>
      </c>
      <c r="L81" t="s">
        <v>300</v>
      </c>
      <c r="M81" s="180" t="s">
        <v>301</v>
      </c>
      <c r="N81" t="s">
        <v>311</v>
      </c>
    </row>
    <row r="82" spans="2:14" x14ac:dyDescent="0.3">
      <c r="B82" t="s">
        <v>166</v>
      </c>
      <c r="C82" t="s">
        <v>144</v>
      </c>
      <c r="D82" t="s">
        <v>274</v>
      </c>
      <c r="E82" t="s">
        <v>218</v>
      </c>
      <c r="F82" s="57">
        <f>Summary!Y20</f>
        <v>2700</v>
      </c>
      <c r="G82" t="s">
        <v>235</v>
      </c>
      <c r="H82" t="s">
        <v>213</v>
      </c>
      <c r="I82" t="s">
        <v>303</v>
      </c>
      <c r="J82" t="s">
        <v>276</v>
      </c>
      <c r="K82" t="s">
        <v>304</v>
      </c>
      <c r="L82" t="s">
        <v>300</v>
      </c>
      <c r="M82" s="180" t="s">
        <v>301</v>
      </c>
      <c r="N82" t="s">
        <v>311</v>
      </c>
    </row>
  </sheetData>
  <mergeCells count="1">
    <mergeCell ref="Q19:AH20"/>
  </mergeCells>
  <hyperlinks>
    <hyperlink ref="M15" r:id="rId1" xr:uid="{47F59B76-E184-4C57-AFC2-9D3A07AA8F2B}"/>
    <hyperlink ref="M16" r:id="rId2" xr:uid="{055C9155-9FB6-480A-827E-2FA3C2F8BBB9}"/>
    <hyperlink ref="M18" r:id="rId3" xr:uid="{385F5DBF-B820-4A31-B9D5-67644D615621}"/>
    <hyperlink ref="M38" r:id="rId4" xr:uid="{42CFC66A-BA17-4500-B975-5EFE9B8E13A3}"/>
    <hyperlink ref="M47" r:id="rId5" xr:uid="{0308D8C4-3A17-4C20-9E0D-8C0465E66893}"/>
    <hyperlink ref="M48" r:id="rId6" xr:uid="{95D9B820-BB3C-4351-AF72-2708397003BE}"/>
    <hyperlink ref="M51" r:id="rId7" xr:uid="{C690A72D-6C19-4022-A2A6-613814AA6FB5}"/>
    <hyperlink ref="M52" r:id="rId8" xr:uid="{2396B36F-F36E-4841-A4F9-AE3D1CD6C29E}"/>
    <hyperlink ref="M53" r:id="rId9" xr:uid="{3538890B-7F3D-4900-8DD4-AB910178BF2B}"/>
    <hyperlink ref="M54" r:id="rId10" xr:uid="{39408699-6672-4104-92D3-516D3A03E4F4}"/>
    <hyperlink ref="M60" r:id="rId11" xr:uid="{2EDB253E-9658-4C00-9EE7-BAF85F27B78B}"/>
    <hyperlink ref="M61" r:id="rId12" xr:uid="{66060F83-4CA6-4E95-8EF7-0375E1A9EFA8}"/>
    <hyperlink ref="M62" r:id="rId13" xr:uid="{4BF51BB9-7097-4CDB-8247-F192F54D97AA}"/>
    <hyperlink ref="M63" r:id="rId14" xr:uid="{199F4685-CC08-4B57-9C20-4F995AC41E45}"/>
    <hyperlink ref="M64" r:id="rId15" xr:uid="{CB44E1FE-4F6A-4A4C-938C-6B2202637DC6}"/>
    <hyperlink ref="M65" r:id="rId16" xr:uid="{CEB4E098-ED87-4544-9389-04139CCC8302}"/>
    <hyperlink ref="M66" r:id="rId17" xr:uid="{632F3619-D26D-4B04-BA47-6FCC11F2F0C0}"/>
    <hyperlink ref="M67" r:id="rId18" xr:uid="{E44943ED-C07F-4950-8010-0A477F11BD81}"/>
    <hyperlink ref="M68" r:id="rId19" xr:uid="{5FD86B15-368A-47C7-B2B5-7D387179A36D}"/>
    <hyperlink ref="M69" r:id="rId20" xr:uid="{A003B32B-452A-4CE0-AADE-A7CBBE64C32A}"/>
    <hyperlink ref="M70" r:id="rId21" xr:uid="{D13A5BB9-AB79-4A33-9A22-01B98B9E3D57}"/>
    <hyperlink ref="M74" r:id="rId22" xr:uid="{E900D035-8A38-456C-8B7F-64A74DAF8BE3}"/>
    <hyperlink ref="M75" r:id="rId23" xr:uid="{A5960C96-25D6-42EF-8B02-CADBD899184E}"/>
    <hyperlink ref="M76" r:id="rId24" xr:uid="{DA2F8C0D-1ACC-45CB-A5BA-4C87A860FF3B}"/>
    <hyperlink ref="M77" r:id="rId25" xr:uid="{BDC62133-4773-4E5C-B36F-F6F0838A7DEB}"/>
    <hyperlink ref="M78" r:id="rId26" xr:uid="{5C4A4532-0FDF-4869-BB2F-D17CBF156006}"/>
    <hyperlink ref="M79" r:id="rId27" xr:uid="{AA8A8DAA-D085-4EE4-BAAA-05B657730274}"/>
    <hyperlink ref="M80" r:id="rId28" xr:uid="{D4DED3E1-13DB-4EAE-B79C-B045F4C878D8}"/>
    <hyperlink ref="M81" r:id="rId29" xr:uid="{72902BA4-AC6E-49D4-BA51-A89DAEC2556A}"/>
    <hyperlink ref="M82" r:id="rId30" xr:uid="{927F841E-C4E7-408C-9291-2F5DD3157373}"/>
    <hyperlink ref="M4" r:id="rId31" xr:uid="{5ADA7B5A-075B-4AE8-86C6-FDB91B6CD975}"/>
    <hyperlink ref="M5" r:id="rId32" xr:uid="{C9AA7FDF-CE2A-4E43-8C43-B616852F932E}"/>
    <hyperlink ref="M10:M13" r:id="rId33" display="https://www.lcfrb.gen.wa.us/librarysalmonrecovery" xr:uid="{374DF0B0-1910-46A9-87F7-92B415783E07}"/>
    <hyperlink ref="M19:M21" r:id="rId34" display="https://www.lcfrb.gen.wa.us/librarysalmonrecovery" xr:uid="{466AB60A-17B6-41C1-A09F-75B0A55131A1}"/>
    <hyperlink ref="M26:M30" r:id="rId35" display="https://www.lcfrb.gen.wa.us/librarysalmonrecovery" xr:uid="{A322F34C-4F30-4A15-AB6D-C0393BF79336}"/>
    <hyperlink ref="M35:M37" r:id="rId36" display="https://www.lcfrb.gen.wa.us/librarysalmonrecovery" xr:uid="{838FC971-BE60-4C54-A999-6563693D569D}"/>
    <hyperlink ref="M42:M46" r:id="rId37" display="https://www.lcfrb.gen.wa.us/librarysalmonrecovery" xr:uid="{514C8DD2-157D-4165-9EBF-0AAEA1A2B6C6}"/>
    <hyperlink ref="M49" r:id="rId38" xr:uid="{ED40A4FB-41CF-48B8-B85F-70C22499BADD}"/>
    <hyperlink ref="M50" r:id="rId39" xr:uid="{49A3AE20-9287-4FDF-9503-DDBC1BC52E1B}"/>
    <hyperlink ref="M39" r:id="rId40" xr:uid="{71F38FC8-4C20-485E-930B-8263DEB6D0B5}"/>
    <hyperlink ref="M40" r:id="rId41" xr:uid="{E090A2BB-B4A9-440C-809A-9176EB4AC426}"/>
    <hyperlink ref="M41" r:id="rId42" xr:uid="{DDCAAB2F-F4EA-469B-B89B-8CDFAF92A534}"/>
    <hyperlink ref="M55" r:id="rId43" xr:uid="{84B47CF5-7BDD-48F3-9264-BCB8C54C1D2D}"/>
    <hyperlink ref="M59" r:id="rId44" xr:uid="{5B1A3479-6C42-49DB-8478-923B879EC747}"/>
    <hyperlink ref="M58" r:id="rId45" xr:uid="{1C4FFB4D-227E-4119-8CBA-B1BC52240DD6}"/>
    <hyperlink ref="M56" r:id="rId46" xr:uid="{3EBFC7E4-5328-4DB7-8AD6-98446AD9872E}"/>
    <hyperlink ref="M57" r:id="rId47" xr:uid="{DA9008F5-3D95-4A9B-B907-0D68AE58BFF1}"/>
    <hyperlink ref="M71" r:id="rId48" xr:uid="{02FB2DA2-8AAC-46DD-AED3-B241206D7A82}"/>
    <hyperlink ref="M72" r:id="rId49" xr:uid="{6D9C5723-3DCD-4879-8EE7-A8FC92B67059}"/>
    <hyperlink ref="M73" r:id="rId50" xr:uid="{D211BA03-C2AA-4BDB-8AAA-04AF048D8B33}"/>
  </hyperlinks>
  <pageMargins left="0.7" right="0.7" top="0.75" bottom="0.75" header="0.3" footer="0.3"/>
  <pageSetup orientation="portrait" r:id="rId51"/>
  <legacyDrawing r:id="rId5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K65"/>
  <sheetViews>
    <sheetView zoomScaleNormal="100" workbookViewId="0"/>
  </sheetViews>
  <sheetFormatPr defaultRowHeight="14.4" x14ac:dyDescent="0.3"/>
  <cols>
    <col min="1" max="1" width="4.44140625" customWidth="1"/>
    <col min="2" max="2" width="10" customWidth="1"/>
    <col min="3" max="3" width="19.88671875" customWidth="1"/>
    <col min="4" max="4" width="17" customWidth="1"/>
    <col min="5" max="5" width="10.88671875" customWidth="1"/>
    <col min="6" max="6" width="12.44140625" customWidth="1"/>
    <col min="7" max="7" width="15.109375" style="6" customWidth="1"/>
    <col min="8" max="9" width="12.44140625" style="6" customWidth="1"/>
    <col min="10" max="10" width="10.5546875" customWidth="1"/>
    <col min="11" max="11" width="11.109375" customWidth="1"/>
    <col min="12" max="12" width="10.88671875" style="6" customWidth="1"/>
    <col min="13" max="13" width="6.6640625" customWidth="1"/>
    <col min="14" max="14" width="14.109375" customWidth="1"/>
    <col min="15" max="15" width="7.5546875" customWidth="1"/>
    <col min="16" max="16" width="15" customWidth="1"/>
    <col min="21" max="22" width="9.5546875" customWidth="1"/>
    <col min="23" max="23" width="9.5546875" style="132" customWidth="1"/>
    <col min="24" max="24" width="11.44140625" customWidth="1"/>
    <col min="28" max="28" width="12.44140625" customWidth="1"/>
    <col min="43" max="43" width="23" customWidth="1"/>
    <col min="45" max="45" width="13.5546875" customWidth="1"/>
    <col min="46" max="46" width="19" customWidth="1"/>
    <col min="47" max="47" width="11" customWidth="1"/>
    <col min="48" max="48" width="9.5546875" customWidth="1"/>
    <col min="49" max="49" width="9.88671875" customWidth="1"/>
  </cols>
  <sheetData>
    <row r="1" spans="2:52" ht="15" thickBot="1" x14ac:dyDescent="0.35">
      <c r="B1" s="29" t="s">
        <v>117</v>
      </c>
    </row>
    <row r="2" spans="2:52" ht="16.5" customHeight="1" thickBot="1" x14ac:dyDescent="0.35">
      <c r="B2" s="312" t="s">
        <v>0</v>
      </c>
      <c r="C2" s="313"/>
      <c r="D2" s="314"/>
      <c r="E2" s="318" t="s">
        <v>76</v>
      </c>
      <c r="F2" s="320"/>
      <c r="G2" s="318" t="s">
        <v>1</v>
      </c>
      <c r="H2" s="319"/>
      <c r="I2" s="319"/>
      <c r="J2" s="319"/>
      <c r="K2" s="320"/>
      <c r="M2" s="318" t="s">
        <v>2</v>
      </c>
      <c r="N2" s="319"/>
      <c r="O2" s="319"/>
      <c r="P2" s="320"/>
      <c r="R2" t="s">
        <v>162</v>
      </c>
      <c r="Z2" s="27"/>
    </row>
    <row r="3" spans="2:52" ht="38.4" thickBot="1" x14ac:dyDescent="0.35">
      <c r="B3" s="315"/>
      <c r="C3" s="325"/>
      <c r="D3" s="326"/>
      <c r="E3" s="3" t="s">
        <v>77</v>
      </c>
      <c r="F3" s="3" t="s">
        <v>78</v>
      </c>
      <c r="G3" s="8" t="s">
        <v>89</v>
      </c>
      <c r="H3" s="32" t="s">
        <v>128</v>
      </c>
      <c r="I3" s="32" t="s">
        <v>177</v>
      </c>
      <c r="J3" s="3" t="s">
        <v>79</v>
      </c>
      <c r="K3" s="3" t="s">
        <v>80</v>
      </c>
      <c r="L3" s="32" t="s">
        <v>134</v>
      </c>
      <c r="M3" s="3" t="s">
        <v>4</v>
      </c>
      <c r="N3" s="3" t="s">
        <v>81</v>
      </c>
      <c r="O3" s="3" t="s">
        <v>5</v>
      </c>
      <c r="P3" s="3" t="s">
        <v>6</v>
      </c>
      <c r="R3" s="32" t="s">
        <v>151</v>
      </c>
      <c r="S3" s="32" t="s">
        <v>152</v>
      </c>
      <c r="T3" s="32" t="s">
        <v>130</v>
      </c>
      <c r="U3" s="24" t="s">
        <v>152</v>
      </c>
      <c r="V3" s="24" t="s">
        <v>130</v>
      </c>
      <c r="W3" s="133"/>
      <c r="X3" s="31" t="s">
        <v>127</v>
      </c>
      <c r="Y3" s="24"/>
      <c r="Z3" s="24"/>
      <c r="AA3" s="24"/>
      <c r="AB3" s="24"/>
      <c r="AQ3" t="s">
        <v>212</v>
      </c>
      <c r="AZ3" t="s">
        <v>214</v>
      </c>
    </row>
    <row r="4" spans="2:52" ht="64.5" customHeight="1" x14ac:dyDescent="0.3">
      <c r="B4" s="327" t="s">
        <v>13</v>
      </c>
      <c r="C4" s="78" t="s">
        <v>10</v>
      </c>
      <c r="D4" s="79" t="s">
        <v>7</v>
      </c>
      <c r="E4" s="80">
        <v>6187</v>
      </c>
      <c r="F4" s="80">
        <v>10174</v>
      </c>
      <c r="G4" s="81" t="s">
        <v>73</v>
      </c>
      <c r="H4">
        <v>1400</v>
      </c>
      <c r="I4">
        <v>1000</v>
      </c>
      <c r="J4" s="80">
        <v>1569</v>
      </c>
      <c r="K4" s="80">
        <v>5576</v>
      </c>
      <c r="L4" s="6" t="s">
        <v>133</v>
      </c>
      <c r="M4" s="80">
        <v>1600</v>
      </c>
      <c r="N4" s="82" t="s">
        <v>69</v>
      </c>
      <c r="O4" s="79" t="s">
        <v>29</v>
      </c>
      <c r="P4" s="83" t="str">
        <f>+N4</f>
        <v>1,600-5,576</v>
      </c>
      <c r="R4" s="57">
        <f t="shared" ref="R4:R10" si="0">M4</f>
        <v>1600</v>
      </c>
      <c r="S4">
        <f t="shared" ref="S4:S6" si="1">R4+((T4-R4)/2)</f>
        <v>2400</v>
      </c>
      <c r="T4">
        <f t="shared" ref="T4:T6" si="2">R4*2</f>
        <v>3200</v>
      </c>
      <c r="U4">
        <f>(R4+V4)/2</f>
        <v>3200</v>
      </c>
      <c r="V4">
        <f>R4*3</f>
        <v>4800</v>
      </c>
      <c r="W4" s="134">
        <f>T4/R4</f>
        <v>2</v>
      </c>
      <c r="X4" s="30" t="s">
        <v>118</v>
      </c>
      <c r="AB4" s="28"/>
      <c r="AQ4" s="160" t="s">
        <v>201</v>
      </c>
      <c r="AR4" s="27" t="s">
        <v>202</v>
      </c>
      <c r="AS4" s="161" t="s">
        <v>203</v>
      </c>
      <c r="AT4" s="162" t="s">
        <v>148</v>
      </c>
      <c r="AU4" s="161" t="s">
        <v>204</v>
      </c>
      <c r="AV4" s="161" t="s">
        <v>205</v>
      </c>
      <c r="AW4" s="162" t="s">
        <v>206</v>
      </c>
      <c r="AX4" s="162" t="s">
        <v>207</v>
      </c>
    </row>
    <row r="5" spans="2:52" ht="16.2" x14ac:dyDescent="0.3">
      <c r="B5" s="328"/>
      <c r="C5" s="84" t="s">
        <v>11</v>
      </c>
      <c r="D5" s="67" t="s">
        <v>7</v>
      </c>
      <c r="E5" s="4">
        <v>50</v>
      </c>
      <c r="F5" s="4">
        <f>7821+8499</f>
        <v>16320</v>
      </c>
      <c r="G5" s="73" t="s">
        <v>73</v>
      </c>
      <c r="H5">
        <v>1400</v>
      </c>
      <c r="I5">
        <v>1000</v>
      </c>
      <c r="J5" s="4">
        <f>515+1125</f>
        <v>1640</v>
      </c>
      <c r="K5" s="4">
        <f>2619+3269</f>
        <v>5888</v>
      </c>
      <c r="L5" s="6" t="s">
        <v>130</v>
      </c>
      <c r="M5" s="4">
        <v>1300</v>
      </c>
      <c r="N5" s="74" t="s">
        <v>30</v>
      </c>
      <c r="O5" s="67" t="s">
        <v>29</v>
      </c>
      <c r="P5" s="11" t="str">
        <f>+N5</f>
        <v>1,300-5,888</v>
      </c>
      <c r="R5" s="57">
        <f t="shared" si="0"/>
        <v>1300</v>
      </c>
      <c r="S5">
        <f t="shared" si="1"/>
        <v>1950</v>
      </c>
      <c r="T5">
        <f t="shared" si="2"/>
        <v>2600</v>
      </c>
      <c r="U5">
        <f t="shared" ref="U5:U21" si="3">(R5+V5)/2</f>
        <v>2600</v>
      </c>
      <c r="V5">
        <f t="shared" ref="V5:V21" si="4">R5*3</f>
        <v>3900</v>
      </c>
      <c r="W5" s="134">
        <f t="shared" ref="W5:W21" si="5">T5/R5</f>
        <v>2</v>
      </c>
      <c r="X5" s="30" t="s">
        <v>119</v>
      </c>
      <c r="AQ5" s="163" t="str">
        <f t="shared" ref="AQ5:AQ51" si="6">CONCATENATE(AR5, "-", AT5)</f>
        <v>chum-Washougal</v>
      </c>
      <c r="AR5" s="164" t="s">
        <v>208</v>
      </c>
      <c r="AS5" s="165" t="s">
        <v>21</v>
      </c>
      <c r="AT5" s="164" t="s">
        <v>209</v>
      </c>
      <c r="AU5" s="165" t="s">
        <v>215</v>
      </c>
      <c r="AV5" s="165">
        <v>1300</v>
      </c>
      <c r="AW5" s="164">
        <v>2002</v>
      </c>
      <c r="AX5" s="164">
        <v>3159.5736874999998</v>
      </c>
    </row>
    <row r="6" spans="2:52" ht="16.2" x14ac:dyDescent="0.3">
      <c r="B6" s="328"/>
      <c r="C6" s="84" t="s">
        <v>12</v>
      </c>
      <c r="D6" s="67" t="s">
        <v>7</v>
      </c>
      <c r="E6" s="4">
        <v>50</v>
      </c>
      <c r="F6" s="4">
        <f>1615+1878+3094</f>
        <v>6587</v>
      </c>
      <c r="G6" s="75" t="s">
        <v>74</v>
      </c>
      <c r="H6">
        <v>700</v>
      </c>
      <c r="I6">
        <v>1000</v>
      </c>
      <c r="J6" s="4">
        <f>121+182+300</f>
        <v>603</v>
      </c>
      <c r="K6" s="4">
        <f>624+619+886</f>
        <v>2129</v>
      </c>
      <c r="L6" s="6" t="s">
        <v>130</v>
      </c>
      <c r="M6" s="4">
        <v>1300</v>
      </c>
      <c r="N6" s="74" t="s">
        <v>31</v>
      </c>
      <c r="O6" s="67" t="s">
        <v>29</v>
      </c>
      <c r="P6" s="11" t="str">
        <f>+N6</f>
        <v>1,300-2,129</v>
      </c>
      <c r="R6" s="57">
        <f t="shared" si="0"/>
        <v>1300</v>
      </c>
      <c r="S6">
        <f t="shared" si="1"/>
        <v>1950</v>
      </c>
      <c r="T6">
        <f t="shared" si="2"/>
        <v>2600</v>
      </c>
      <c r="U6">
        <f t="shared" si="3"/>
        <v>2600</v>
      </c>
      <c r="V6">
        <f t="shared" si="4"/>
        <v>3900</v>
      </c>
      <c r="W6" s="134">
        <f t="shared" si="5"/>
        <v>2</v>
      </c>
      <c r="X6" s="30" t="s">
        <v>120</v>
      </c>
      <c r="AQ6" s="163" t="str">
        <f t="shared" si="6"/>
        <v>chum-Washougal</v>
      </c>
      <c r="AR6" s="164" t="s">
        <v>208</v>
      </c>
      <c r="AS6" s="165" t="s">
        <v>21</v>
      </c>
      <c r="AT6" s="164" t="s">
        <v>209</v>
      </c>
      <c r="AU6" s="165" t="s">
        <v>215</v>
      </c>
      <c r="AV6" s="165">
        <v>1300</v>
      </c>
      <c r="AW6" s="164">
        <v>2003</v>
      </c>
      <c r="AX6" s="164">
        <v>2865.5216249999999</v>
      </c>
    </row>
    <row r="7" spans="2:52" ht="25.5" customHeight="1" x14ac:dyDescent="0.3">
      <c r="B7" s="328"/>
      <c r="C7" s="84" t="s">
        <v>91</v>
      </c>
      <c r="D7" s="67" t="s">
        <v>7</v>
      </c>
      <c r="E7" s="69">
        <v>50</v>
      </c>
      <c r="F7" s="69"/>
      <c r="G7" s="69"/>
      <c r="H7"/>
      <c r="I7" s="57">
        <f>M7</f>
        <v>500</v>
      </c>
      <c r="J7" s="69"/>
      <c r="K7" s="69"/>
      <c r="L7" s="6" t="s">
        <v>132</v>
      </c>
      <c r="M7" s="69">
        <v>500</v>
      </c>
      <c r="N7" s="76"/>
      <c r="O7" s="67" t="s">
        <v>29</v>
      </c>
      <c r="P7" s="85"/>
      <c r="R7" s="57">
        <f t="shared" si="0"/>
        <v>500</v>
      </c>
      <c r="S7">
        <f>R7+((T7-R7)/2)</f>
        <v>750</v>
      </c>
      <c r="T7">
        <f>R7*2</f>
        <v>1000</v>
      </c>
      <c r="U7">
        <f t="shared" si="3"/>
        <v>1000</v>
      </c>
      <c r="V7">
        <f t="shared" si="4"/>
        <v>1500</v>
      </c>
      <c r="W7" s="134"/>
      <c r="X7" s="30" t="s">
        <v>121</v>
      </c>
      <c r="AQ7" s="163" t="str">
        <f t="shared" si="6"/>
        <v>chum-Washougal</v>
      </c>
      <c r="AR7" s="164" t="s">
        <v>208</v>
      </c>
      <c r="AS7" s="165" t="s">
        <v>21</v>
      </c>
      <c r="AT7" s="164" t="s">
        <v>209</v>
      </c>
      <c r="AU7" s="165" t="s">
        <v>215</v>
      </c>
      <c r="AV7" s="165">
        <v>1300</v>
      </c>
      <c r="AW7" s="164">
        <v>2004</v>
      </c>
      <c r="AX7" s="164">
        <v>2324.3789375000001</v>
      </c>
    </row>
    <row r="8" spans="2:52" ht="16.2" x14ac:dyDescent="0.3">
      <c r="B8" s="328"/>
      <c r="C8" s="84" t="s">
        <v>103</v>
      </c>
      <c r="D8" s="67" t="s">
        <v>7</v>
      </c>
      <c r="E8" s="69">
        <v>50</v>
      </c>
      <c r="F8" s="69"/>
      <c r="G8" s="69"/>
      <c r="H8"/>
      <c r="I8" s="57">
        <f>M8</f>
        <v>500</v>
      </c>
      <c r="J8" s="69"/>
      <c r="K8" s="69"/>
      <c r="L8" s="6" t="s">
        <v>132</v>
      </c>
      <c r="M8" s="69">
        <v>500</v>
      </c>
      <c r="N8" s="76"/>
      <c r="O8" s="67" t="s">
        <v>29</v>
      </c>
      <c r="P8" s="85"/>
      <c r="R8" s="57">
        <f t="shared" si="0"/>
        <v>500</v>
      </c>
      <c r="S8">
        <f t="shared" ref="S8:S10" si="7">R8+((T8-R8)/2)</f>
        <v>750</v>
      </c>
      <c r="T8">
        <f t="shared" ref="T8:T10" si="8">R8*2</f>
        <v>1000</v>
      </c>
      <c r="U8">
        <f t="shared" si="3"/>
        <v>1000</v>
      </c>
      <c r="V8">
        <f t="shared" si="4"/>
        <v>1500</v>
      </c>
      <c r="W8" s="134"/>
      <c r="X8" s="30" t="s">
        <v>122</v>
      </c>
      <c r="AQ8" s="163" t="str">
        <f t="shared" si="6"/>
        <v>chum-Washougal</v>
      </c>
      <c r="AR8" s="164" t="s">
        <v>208</v>
      </c>
      <c r="AS8" s="165" t="s">
        <v>21</v>
      </c>
      <c r="AT8" s="164" t="s">
        <v>209</v>
      </c>
      <c r="AU8" s="165" t="s">
        <v>215</v>
      </c>
      <c r="AV8" s="165">
        <v>1300</v>
      </c>
      <c r="AW8" s="164">
        <v>2005</v>
      </c>
      <c r="AX8" s="164">
        <v>923.22331250000002</v>
      </c>
    </row>
    <row r="9" spans="2:52" ht="16.2" x14ac:dyDescent="0.3">
      <c r="B9" s="328"/>
      <c r="C9" s="84" t="s">
        <v>92</v>
      </c>
      <c r="D9" s="67" t="s">
        <v>7</v>
      </c>
      <c r="E9" s="69">
        <v>50</v>
      </c>
      <c r="F9" s="69"/>
      <c r="G9" s="69"/>
      <c r="H9"/>
      <c r="I9" s="57">
        <f>M9</f>
        <v>1000</v>
      </c>
      <c r="J9" s="69"/>
      <c r="K9" s="69"/>
      <c r="L9" s="6" t="s">
        <v>130</v>
      </c>
      <c r="M9" s="69">
        <v>1000</v>
      </c>
      <c r="N9" s="76"/>
      <c r="O9" s="67" t="s">
        <v>29</v>
      </c>
      <c r="P9" s="85"/>
      <c r="R9" s="57">
        <f t="shared" si="0"/>
        <v>1000</v>
      </c>
      <c r="S9">
        <f t="shared" si="7"/>
        <v>1500</v>
      </c>
      <c r="T9">
        <f t="shared" si="8"/>
        <v>2000</v>
      </c>
      <c r="U9">
        <f t="shared" si="3"/>
        <v>2000</v>
      </c>
      <c r="V9">
        <f t="shared" si="4"/>
        <v>3000</v>
      </c>
      <c r="W9" s="134"/>
      <c r="X9" s="30" t="s">
        <v>123</v>
      </c>
      <c r="AQ9" s="163" t="str">
        <f t="shared" si="6"/>
        <v>chum-Washougal</v>
      </c>
      <c r="AR9" s="164" t="s">
        <v>208</v>
      </c>
      <c r="AS9" s="165" t="s">
        <v>21</v>
      </c>
      <c r="AT9" s="164" t="s">
        <v>209</v>
      </c>
      <c r="AU9" s="165" t="s">
        <v>215</v>
      </c>
      <c r="AV9" s="165">
        <v>1300</v>
      </c>
      <c r="AW9" s="164">
        <v>2006</v>
      </c>
      <c r="AX9" s="164">
        <v>869.03256250000004</v>
      </c>
    </row>
    <row r="10" spans="2:52" ht="16.2" x14ac:dyDescent="0.3">
      <c r="B10" s="328"/>
      <c r="C10" s="84" t="s">
        <v>93</v>
      </c>
      <c r="D10" s="67" t="s">
        <v>7</v>
      </c>
      <c r="E10" s="69">
        <v>50</v>
      </c>
      <c r="F10" s="69"/>
      <c r="G10" s="69"/>
      <c r="H10"/>
      <c r="I10" s="57">
        <f>M10</f>
        <v>1000</v>
      </c>
      <c r="J10" s="69"/>
      <c r="K10" s="69"/>
      <c r="L10" s="6" t="s">
        <v>130</v>
      </c>
      <c r="M10" s="69">
        <v>1000</v>
      </c>
      <c r="N10" s="76"/>
      <c r="O10" s="67" t="s">
        <v>29</v>
      </c>
      <c r="P10" s="85"/>
      <c r="R10" s="57">
        <f t="shared" si="0"/>
        <v>1000</v>
      </c>
      <c r="S10">
        <f t="shared" si="7"/>
        <v>1500</v>
      </c>
      <c r="T10">
        <f t="shared" si="8"/>
        <v>2000</v>
      </c>
      <c r="U10">
        <f t="shared" si="3"/>
        <v>2000</v>
      </c>
      <c r="V10">
        <f t="shared" si="4"/>
        <v>3000</v>
      </c>
      <c r="W10" s="134"/>
      <c r="X10" s="30" t="s">
        <v>124</v>
      </c>
      <c r="AQ10" s="163" t="str">
        <f t="shared" si="6"/>
        <v>chum-Washougal</v>
      </c>
      <c r="AR10" s="164" t="s">
        <v>208</v>
      </c>
      <c r="AS10" s="165" t="s">
        <v>21</v>
      </c>
      <c r="AT10" s="164" t="s">
        <v>209</v>
      </c>
      <c r="AU10" s="165" t="s">
        <v>215</v>
      </c>
      <c r="AV10" s="165">
        <v>1300</v>
      </c>
      <c r="AW10" s="164">
        <v>2007</v>
      </c>
      <c r="AX10" s="164">
        <v>576.09693749999997</v>
      </c>
    </row>
    <row r="11" spans="2:52" ht="25.5" customHeight="1" thickBot="1" x14ac:dyDescent="0.35">
      <c r="B11" s="328"/>
      <c r="C11" s="86" t="s">
        <v>70</v>
      </c>
      <c r="D11" s="68" t="s">
        <v>7</v>
      </c>
      <c r="E11" s="5">
        <f>+E4+E5+E6+E7+E8+E9+E10</f>
        <v>6487</v>
      </c>
      <c r="F11" s="5">
        <f>+F4+F5+F6+F7+F8+F9+F10</f>
        <v>33081</v>
      </c>
      <c r="G11" s="5" t="s">
        <v>85</v>
      </c>
      <c r="H11"/>
      <c r="I11"/>
      <c r="J11" s="5">
        <f>+J4+J5+J6+J7+J8+J9+J10</f>
        <v>3812</v>
      </c>
      <c r="K11" s="5">
        <f>+K4+K5+K6+K7+K8+K9+K10</f>
        <v>13593</v>
      </c>
      <c r="M11" s="5">
        <f>+M4+M5+M6+M7+M8+M9+M10</f>
        <v>7200</v>
      </c>
      <c r="N11" s="77" t="s">
        <v>32</v>
      </c>
      <c r="O11" s="68" t="s">
        <v>29</v>
      </c>
      <c r="P11" s="87" t="str">
        <f t="shared" ref="P11:P16" si="9">+N11</f>
        <v>4,200-13,593</v>
      </c>
      <c r="W11" s="134"/>
      <c r="X11" s="30" t="s">
        <v>125</v>
      </c>
      <c r="AQ11" s="163" t="str">
        <f t="shared" si="6"/>
        <v>chum-Washougal</v>
      </c>
      <c r="AR11" s="164" t="s">
        <v>208</v>
      </c>
      <c r="AS11" s="165" t="s">
        <v>21</v>
      </c>
      <c r="AT11" s="164" t="s">
        <v>209</v>
      </c>
      <c r="AU11" s="165" t="s">
        <v>215</v>
      </c>
      <c r="AV11" s="165">
        <v>1300</v>
      </c>
      <c r="AW11" s="164">
        <v>2008</v>
      </c>
      <c r="AX11" s="164">
        <v>643.69231249999996</v>
      </c>
    </row>
    <row r="12" spans="2:52" ht="16.2" x14ac:dyDescent="0.3">
      <c r="B12" s="327" t="s">
        <v>21</v>
      </c>
      <c r="C12" s="78" t="s">
        <v>22</v>
      </c>
      <c r="D12" s="79" t="s">
        <v>7</v>
      </c>
      <c r="E12" s="80">
        <v>50</v>
      </c>
      <c r="F12" s="80">
        <f>166140+3217+25984</f>
        <v>195341</v>
      </c>
      <c r="G12" s="81" t="s">
        <v>75</v>
      </c>
      <c r="H12">
        <v>2000</v>
      </c>
      <c r="I12">
        <v>1000</v>
      </c>
      <c r="J12" s="80">
        <f>6239+277+1376</f>
        <v>7892</v>
      </c>
      <c r="K12" s="91">
        <f>46130+932</f>
        <v>47062</v>
      </c>
      <c r="L12" s="6" t="s">
        <v>131</v>
      </c>
      <c r="M12" s="80">
        <v>900</v>
      </c>
      <c r="N12" s="82" t="s">
        <v>33</v>
      </c>
      <c r="O12" s="79" t="s">
        <v>29</v>
      </c>
      <c r="P12" s="83" t="str">
        <f t="shared" si="9"/>
        <v>900-47,062</v>
      </c>
      <c r="R12" s="57">
        <f>M12</f>
        <v>900</v>
      </c>
      <c r="S12">
        <f t="shared" ref="S12:S18" si="10">R12+((T12-R12)/2)</f>
        <v>1350</v>
      </c>
      <c r="T12">
        <f t="shared" ref="T12:T18" si="11">R12*2</f>
        <v>1800</v>
      </c>
      <c r="U12">
        <f t="shared" si="3"/>
        <v>1800</v>
      </c>
      <c r="V12">
        <f t="shared" si="4"/>
        <v>2700</v>
      </c>
      <c r="W12" s="134">
        <f t="shared" si="5"/>
        <v>2</v>
      </c>
      <c r="X12" s="30" t="s">
        <v>126</v>
      </c>
      <c r="AQ12" s="163" t="str">
        <f t="shared" si="6"/>
        <v>chum-Washougal</v>
      </c>
      <c r="AR12" s="164" t="s">
        <v>208</v>
      </c>
      <c r="AS12" s="165" t="s">
        <v>21</v>
      </c>
      <c r="AT12" s="164" t="s">
        <v>209</v>
      </c>
      <c r="AU12" s="165" t="s">
        <v>215</v>
      </c>
      <c r="AV12" s="165">
        <v>1300</v>
      </c>
      <c r="AW12" s="164">
        <v>2009</v>
      </c>
      <c r="AX12" s="164">
        <v>1154.1166874999999</v>
      </c>
    </row>
    <row r="13" spans="2:52" ht="25.5" customHeight="1" x14ac:dyDescent="0.3">
      <c r="B13" s="328"/>
      <c r="C13" s="84" t="s">
        <v>23</v>
      </c>
      <c r="D13" s="67" t="s">
        <v>7</v>
      </c>
      <c r="E13" s="4">
        <v>50</v>
      </c>
      <c r="F13" s="4">
        <v>20637</v>
      </c>
      <c r="G13" s="75" t="s">
        <v>74</v>
      </c>
      <c r="H13">
        <v>700</v>
      </c>
      <c r="I13">
        <v>1000</v>
      </c>
      <c r="J13" s="4">
        <v>1615</v>
      </c>
      <c r="K13" s="4">
        <v>6014</v>
      </c>
      <c r="L13" s="6" t="s">
        <v>131</v>
      </c>
      <c r="M13" s="4">
        <v>900</v>
      </c>
      <c r="N13" s="74" t="s">
        <v>34</v>
      </c>
      <c r="O13" s="67" t="s">
        <v>29</v>
      </c>
      <c r="P13" s="11" t="str">
        <f t="shared" si="9"/>
        <v>900-6,014</v>
      </c>
      <c r="R13" s="57">
        <f>M13</f>
        <v>900</v>
      </c>
      <c r="S13">
        <f t="shared" si="10"/>
        <v>1350</v>
      </c>
      <c r="T13">
        <f t="shared" si="11"/>
        <v>1800</v>
      </c>
      <c r="U13">
        <f t="shared" si="3"/>
        <v>1800</v>
      </c>
      <c r="V13">
        <f t="shared" si="4"/>
        <v>2700</v>
      </c>
      <c r="W13" s="134">
        <f t="shared" si="5"/>
        <v>2</v>
      </c>
      <c r="X13" s="30" t="s">
        <v>129</v>
      </c>
      <c r="AQ13" s="163" t="str">
        <f t="shared" si="6"/>
        <v>chum-Washougal</v>
      </c>
      <c r="AR13" s="164" t="s">
        <v>208</v>
      </c>
      <c r="AS13" s="165" t="s">
        <v>21</v>
      </c>
      <c r="AT13" s="164" t="s">
        <v>209</v>
      </c>
      <c r="AU13" s="165" t="s">
        <v>215</v>
      </c>
      <c r="AV13" s="165">
        <v>1300</v>
      </c>
      <c r="AW13" s="164">
        <v>2010</v>
      </c>
      <c r="AX13" s="164">
        <v>2147.95775</v>
      </c>
    </row>
    <row r="14" spans="2:52" x14ac:dyDescent="0.3">
      <c r="B14" s="328"/>
      <c r="C14" s="84" t="s">
        <v>24</v>
      </c>
      <c r="D14" s="67" t="s">
        <v>7</v>
      </c>
      <c r="E14" s="4">
        <v>50</v>
      </c>
      <c r="F14" s="4">
        <f>79061+45517</f>
        <v>124578</v>
      </c>
      <c r="G14" s="73" t="s">
        <v>75</v>
      </c>
      <c r="H14">
        <v>2000</v>
      </c>
      <c r="I14">
        <v>1000</v>
      </c>
      <c r="J14" s="4">
        <f>4418+4652</f>
        <v>9070</v>
      </c>
      <c r="K14" s="4">
        <f>13511+16540</f>
        <v>30051</v>
      </c>
      <c r="L14" s="6" t="s">
        <v>130</v>
      </c>
      <c r="M14" s="4">
        <v>1300</v>
      </c>
      <c r="N14" s="74" t="s">
        <v>35</v>
      </c>
      <c r="O14" s="67" t="s">
        <v>29</v>
      </c>
      <c r="P14" s="11" t="str">
        <f t="shared" si="9"/>
        <v>1,300-30,051</v>
      </c>
      <c r="R14" s="57">
        <f>M14</f>
        <v>1300</v>
      </c>
      <c r="S14">
        <f t="shared" si="10"/>
        <v>1950</v>
      </c>
      <c r="T14">
        <f t="shared" si="11"/>
        <v>2600</v>
      </c>
      <c r="U14">
        <f t="shared" si="3"/>
        <v>2600</v>
      </c>
      <c r="V14">
        <f t="shared" si="4"/>
        <v>3900</v>
      </c>
      <c r="W14" s="134">
        <f t="shared" si="5"/>
        <v>2</v>
      </c>
      <c r="X14" s="25"/>
      <c r="AQ14" s="163" t="str">
        <f t="shared" si="6"/>
        <v>chum-Washougal</v>
      </c>
      <c r="AR14" s="164" t="s">
        <v>208</v>
      </c>
      <c r="AS14" s="165" t="s">
        <v>21</v>
      </c>
      <c r="AT14" s="164" t="s">
        <v>209</v>
      </c>
      <c r="AU14" s="165" t="s">
        <v>215</v>
      </c>
      <c r="AV14" s="165">
        <v>1300</v>
      </c>
      <c r="AW14" s="164">
        <v>2011</v>
      </c>
      <c r="AX14" s="164">
        <v>4895.7346875000003</v>
      </c>
    </row>
    <row r="15" spans="2:52" x14ac:dyDescent="0.3">
      <c r="B15" s="328"/>
      <c r="C15" s="84" t="s">
        <v>25</v>
      </c>
      <c r="D15" s="67" t="s">
        <v>7</v>
      </c>
      <c r="E15" s="4">
        <v>50</v>
      </c>
      <c r="F15" s="4">
        <v>4482</v>
      </c>
      <c r="G15" s="75" t="s">
        <v>74</v>
      </c>
      <c r="H15">
        <v>700</v>
      </c>
      <c r="I15">
        <v>500</v>
      </c>
      <c r="J15" s="4">
        <v>0</v>
      </c>
      <c r="K15" s="4">
        <v>1789</v>
      </c>
      <c r="L15" s="6" t="s">
        <v>132</v>
      </c>
      <c r="M15" s="4">
        <v>0</v>
      </c>
      <c r="N15" s="74" t="s">
        <v>36</v>
      </c>
      <c r="O15" s="67" t="s">
        <v>29</v>
      </c>
      <c r="P15" s="11" t="str">
        <f t="shared" si="9"/>
        <v>0-1,789</v>
      </c>
      <c r="R15" s="57">
        <f>E15</f>
        <v>50</v>
      </c>
      <c r="S15">
        <f t="shared" si="10"/>
        <v>75</v>
      </c>
      <c r="T15">
        <f t="shared" si="11"/>
        <v>100</v>
      </c>
      <c r="U15">
        <f t="shared" si="3"/>
        <v>100</v>
      </c>
      <c r="V15">
        <f t="shared" si="4"/>
        <v>150</v>
      </c>
      <c r="W15" s="134">
        <f t="shared" si="5"/>
        <v>2</v>
      </c>
      <c r="X15" s="25"/>
      <c r="AQ15" s="163" t="str">
        <f t="shared" si="6"/>
        <v>chum-Washougal</v>
      </c>
      <c r="AR15" s="164" t="s">
        <v>208</v>
      </c>
      <c r="AS15" s="165" t="s">
        <v>21</v>
      </c>
      <c r="AT15" s="164" t="s">
        <v>209</v>
      </c>
      <c r="AU15" s="165" t="s">
        <v>215</v>
      </c>
      <c r="AV15" s="165">
        <v>1300</v>
      </c>
      <c r="AW15" s="164">
        <v>2012</v>
      </c>
      <c r="AX15" s="164">
        <v>2626.9856875</v>
      </c>
    </row>
    <row r="16" spans="2:52" ht="76.5" customHeight="1" x14ac:dyDescent="0.3">
      <c r="B16" s="328"/>
      <c r="C16" s="84" t="s">
        <v>82</v>
      </c>
      <c r="D16" s="67" t="s">
        <v>7</v>
      </c>
      <c r="E16" s="4">
        <v>1555</v>
      </c>
      <c r="F16" s="4">
        <v>18072</v>
      </c>
      <c r="G16" s="73" t="s">
        <v>86</v>
      </c>
      <c r="H16">
        <v>1400</v>
      </c>
      <c r="I16">
        <v>1000</v>
      </c>
      <c r="J16" s="4">
        <v>699</v>
      </c>
      <c r="K16" s="4">
        <v>3971</v>
      </c>
      <c r="L16" s="6" t="s">
        <v>135</v>
      </c>
      <c r="M16" s="4">
        <v>1300</v>
      </c>
      <c r="N16" s="74" t="s">
        <v>37</v>
      </c>
      <c r="O16" s="67" t="s">
        <v>29</v>
      </c>
      <c r="P16" s="11" t="str">
        <f t="shared" si="9"/>
        <v>1,300-3,971</v>
      </c>
      <c r="R16" s="57">
        <f>M16</f>
        <v>1300</v>
      </c>
      <c r="S16">
        <f t="shared" si="10"/>
        <v>1950</v>
      </c>
      <c r="T16">
        <f t="shared" si="11"/>
        <v>2600</v>
      </c>
      <c r="U16">
        <f t="shared" si="3"/>
        <v>2600</v>
      </c>
      <c r="V16">
        <f t="shared" si="4"/>
        <v>3900</v>
      </c>
      <c r="W16" s="134">
        <f t="shared" si="5"/>
        <v>2</v>
      </c>
      <c r="X16" s="25"/>
      <c r="AQ16" s="163" t="str">
        <f t="shared" si="6"/>
        <v>chum-Washougal</v>
      </c>
      <c r="AR16" s="164" t="s">
        <v>208</v>
      </c>
      <c r="AS16" s="165" t="s">
        <v>21</v>
      </c>
      <c r="AT16" s="164" t="s">
        <v>209</v>
      </c>
      <c r="AU16" s="165" t="s">
        <v>215</v>
      </c>
      <c r="AV16" s="165">
        <v>1300</v>
      </c>
      <c r="AW16" s="164">
        <v>2013</v>
      </c>
      <c r="AX16" s="164">
        <v>1499</v>
      </c>
    </row>
    <row r="17" spans="2:89" ht="183" customHeight="1" x14ac:dyDescent="0.3">
      <c r="B17" s="328"/>
      <c r="C17" s="84" t="s">
        <v>94</v>
      </c>
      <c r="D17" s="67" t="s">
        <v>7</v>
      </c>
      <c r="E17" s="69">
        <v>0</v>
      </c>
      <c r="F17" s="69"/>
      <c r="G17" s="88"/>
      <c r="H17"/>
      <c r="I17" s="57">
        <f>M17</f>
        <v>500</v>
      </c>
      <c r="J17" s="69"/>
      <c r="K17" s="69"/>
      <c r="L17" s="6" t="s">
        <v>131</v>
      </c>
      <c r="M17" s="69">
        <v>500</v>
      </c>
      <c r="N17" s="89"/>
      <c r="O17" s="67" t="s">
        <v>29</v>
      </c>
      <c r="P17" s="85"/>
      <c r="R17" s="57">
        <f>M17</f>
        <v>500</v>
      </c>
      <c r="S17">
        <f t="shared" si="10"/>
        <v>750</v>
      </c>
      <c r="T17">
        <f t="shared" si="11"/>
        <v>1000</v>
      </c>
      <c r="U17">
        <f t="shared" si="3"/>
        <v>1000</v>
      </c>
      <c r="V17">
        <f t="shared" si="4"/>
        <v>1500</v>
      </c>
      <c r="W17" s="134"/>
      <c r="X17" s="25"/>
      <c r="AQ17" s="163" t="str">
        <f t="shared" si="6"/>
        <v>chum-Washougal</v>
      </c>
      <c r="AR17" s="164" t="s">
        <v>208</v>
      </c>
      <c r="AS17" s="165" t="s">
        <v>21</v>
      </c>
      <c r="AT17" s="164" t="s">
        <v>209</v>
      </c>
      <c r="AU17" s="165" t="s">
        <v>215</v>
      </c>
      <c r="AV17" s="165">
        <v>1300</v>
      </c>
      <c r="AW17" s="164">
        <v>2014</v>
      </c>
      <c r="AX17" s="164">
        <v>1472.2394374999999</v>
      </c>
    </row>
    <row r="18" spans="2:89" x14ac:dyDescent="0.3">
      <c r="B18" s="328"/>
      <c r="C18" s="84" t="s">
        <v>95</v>
      </c>
      <c r="D18" s="67" t="s">
        <v>7</v>
      </c>
      <c r="E18" s="69">
        <v>50</v>
      </c>
      <c r="F18" s="69"/>
      <c r="G18" s="90"/>
      <c r="H18"/>
      <c r="I18" s="57">
        <f>M18</f>
        <v>1000</v>
      </c>
      <c r="J18" s="69"/>
      <c r="K18" s="69"/>
      <c r="L18" s="6" t="s">
        <v>130</v>
      </c>
      <c r="M18" s="69">
        <v>1000</v>
      </c>
      <c r="N18" s="89"/>
      <c r="O18" s="67" t="s">
        <v>29</v>
      </c>
      <c r="P18" s="85"/>
      <c r="R18" s="57">
        <f>M18</f>
        <v>1000</v>
      </c>
      <c r="S18">
        <f t="shared" si="10"/>
        <v>1500</v>
      </c>
      <c r="T18">
        <f t="shared" si="11"/>
        <v>2000</v>
      </c>
      <c r="U18">
        <f t="shared" si="3"/>
        <v>2000</v>
      </c>
      <c r="V18">
        <f t="shared" si="4"/>
        <v>3000</v>
      </c>
      <c r="W18" s="134"/>
      <c r="X18" s="25"/>
      <c r="AQ18" s="163" t="str">
        <f t="shared" si="6"/>
        <v>chum-Washougal</v>
      </c>
      <c r="AR18" s="164" t="s">
        <v>208</v>
      </c>
      <c r="AS18" s="165" t="s">
        <v>21</v>
      </c>
      <c r="AT18" s="164" t="s">
        <v>209</v>
      </c>
      <c r="AU18" s="165" t="s">
        <v>215</v>
      </c>
      <c r="AV18" s="165">
        <v>1300</v>
      </c>
      <c r="AW18" s="164">
        <v>2015</v>
      </c>
      <c r="AX18" s="164">
        <v>4756.5300625</v>
      </c>
    </row>
    <row r="19" spans="2:89" ht="15" thickBot="1" x14ac:dyDescent="0.35">
      <c r="B19" s="328"/>
      <c r="C19" s="86" t="s">
        <v>71</v>
      </c>
      <c r="D19" s="68" t="s">
        <v>7</v>
      </c>
      <c r="E19" s="5">
        <f>+E12+E13+E14+E15+E16+E17+E18</f>
        <v>1805</v>
      </c>
      <c r="F19" s="5">
        <f>+F12+F13+F14+F15+F16+F17+F18</f>
        <v>363110</v>
      </c>
      <c r="G19" s="5" t="s">
        <v>87</v>
      </c>
      <c r="H19"/>
      <c r="I19"/>
      <c r="J19" s="5">
        <f>+J12+J13+J14+J15+J16+J17+J18</f>
        <v>19276</v>
      </c>
      <c r="K19" s="5">
        <f>+K12+K13+K14+K15+K16+K17+K18</f>
        <v>88887</v>
      </c>
      <c r="M19" s="5">
        <f>+M12+M13+M14+M15+M16+M17+M18</f>
        <v>5900</v>
      </c>
      <c r="N19" s="77" t="s">
        <v>38</v>
      </c>
      <c r="O19" s="68" t="s">
        <v>29</v>
      </c>
      <c r="P19" s="87" t="str">
        <f>+N19</f>
        <v>4,400-88,887</v>
      </c>
      <c r="W19" s="134"/>
      <c r="X19" s="26"/>
      <c r="AQ19" s="163" t="str">
        <f t="shared" si="6"/>
        <v>chum-Washougal</v>
      </c>
      <c r="AR19" s="164" t="s">
        <v>208</v>
      </c>
      <c r="AS19" s="165" t="s">
        <v>21</v>
      </c>
      <c r="AT19" s="164" t="s">
        <v>209</v>
      </c>
      <c r="AU19" s="165" t="s">
        <v>215</v>
      </c>
      <c r="AV19" s="165">
        <v>1300</v>
      </c>
      <c r="AW19" s="164">
        <v>2016</v>
      </c>
      <c r="AX19" s="164">
        <v>5244.5549375000001</v>
      </c>
    </row>
    <row r="20" spans="2:89" x14ac:dyDescent="0.3">
      <c r="B20" s="327" t="s">
        <v>26</v>
      </c>
      <c r="C20" s="78" t="s">
        <v>83</v>
      </c>
      <c r="D20" s="79" t="s">
        <v>7</v>
      </c>
      <c r="E20" s="80">
        <v>1562</v>
      </c>
      <c r="F20" s="80">
        <v>5842</v>
      </c>
      <c r="G20" s="92" t="s">
        <v>74</v>
      </c>
      <c r="H20">
        <v>700</v>
      </c>
      <c r="I20">
        <v>1000</v>
      </c>
      <c r="J20" s="80">
        <v>797</v>
      </c>
      <c r="K20" s="80">
        <v>1943</v>
      </c>
      <c r="L20" s="6" t="s">
        <v>133</v>
      </c>
      <c r="M20" s="80">
        <v>2000</v>
      </c>
      <c r="N20" s="82" t="s">
        <v>39</v>
      </c>
      <c r="O20" s="79" t="s">
        <v>29</v>
      </c>
      <c r="P20" s="83" t="str">
        <f>+N20</f>
        <v>2,000-1,943</v>
      </c>
      <c r="R20" s="57">
        <f>M20</f>
        <v>2000</v>
      </c>
      <c r="S20">
        <f t="shared" ref="S20:S21" si="12">R20+((T20-R20)/2)</f>
        <v>3000</v>
      </c>
      <c r="T20">
        <f t="shared" ref="T20:T21" si="13">R20*2</f>
        <v>4000</v>
      </c>
      <c r="U20">
        <f t="shared" si="3"/>
        <v>4000</v>
      </c>
      <c r="V20">
        <f t="shared" si="4"/>
        <v>6000</v>
      </c>
      <c r="W20" s="134">
        <f t="shared" si="5"/>
        <v>2</v>
      </c>
      <c r="X20" s="25"/>
      <c r="AQ20" s="163"/>
      <c r="AR20" s="164"/>
      <c r="AS20" s="165"/>
      <c r="AT20" s="164"/>
      <c r="AU20" s="165"/>
      <c r="AV20" s="165"/>
      <c r="AW20" s="164" t="s">
        <v>213</v>
      </c>
      <c r="AX20" s="164">
        <f>GEOMEAN(AX10:AX19)</f>
        <v>1911.3947509156631</v>
      </c>
    </row>
    <row r="21" spans="2:89" ht="78.75" customHeight="1" x14ac:dyDescent="0.3">
      <c r="B21" s="328"/>
      <c r="C21" s="84" t="s">
        <v>84</v>
      </c>
      <c r="D21" s="67" t="s">
        <v>7</v>
      </c>
      <c r="E21" s="4">
        <v>109</v>
      </c>
      <c r="F21" s="4">
        <v>10886</v>
      </c>
      <c r="G21" s="75" t="s">
        <v>74</v>
      </c>
      <c r="H21">
        <v>700</v>
      </c>
      <c r="I21">
        <v>1000</v>
      </c>
      <c r="J21" s="4">
        <v>361</v>
      </c>
      <c r="K21" s="4">
        <v>2582</v>
      </c>
      <c r="L21" s="6" t="s">
        <v>131</v>
      </c>
      <c r="M21" s="4">
        <v>900</v>
      </c>
      <c r="N21" s="74" t="s">
        <v>90</v>
      </c>
      <c r="O21" s="67" t="s">
        <v>29</v>
      </c>
      <c r="P21" s="11" t="str">
        <f>+N21</f>
        <v>900-2,582</v>
      </c>
      <c r="R21" s="57">
        <f>M21</f>
        <v>900</v>
      </c>
      <c r="S21">
        <f t="shared" si="12"/>
        <v>1350</v>
      </c>
      <c r="T21">
        <f t="shared" si="13"/>
        <v>1800</v>
      </c>
      <c r="U21">
        <f t="shared" si="3"/>
        <v>1800</v>
      </c>
      <c r="V21">
        <f t="shared" si="4"/>
        <v>2700</v>
      </c>
      <c r="W21" s="134">
        <f t="shared" si="5"/>
        <v>2</v>
      </c>
      <c r="X21" s="25"/>
      <c r="AQ21" s="163" t="str">
        <f t="shared" si="6"/>
        <v>chum-Grays/Chinook</v>
      </c>
      <c r="AR21" s="164" t="s">
        <v>208</v>
      </c>
      <c r="AS21" s="165" t="s">
        <v>13</v>
      </c>
      <c r="AT21" s="164" t="s">
        <v>210</v>
      </c>
      <c r="AU21" s="165" t="s">
        <v>215</v>
      </c>
      <c r="AV21" s="165">
        <v>1600</v>
      </c>
      <c r="AW21" s="164">
        <v>2002</v>
      </c>
      <c r="AX21" s="164">
        <v>12041</v>
      </c>
    </row>
    <row r="22" spans="2:89" ht="78.75" customHeight="1" thickBot="1" x14ac:dyDescent="0.35">
      <c r="B22" s="328"/>
      <c r="C22" s="86" t="s">
        <v>72</v>
      </c>
      <c r="D22" s="68" t="s">
        <v>7</v>
      </c>
      <c r="E22" s="5">
        <f>+E20+E21</f>
        <v>1671</v>
      </c>
      <c r="F22" s="5">
        <f>+F20+F21</f>
        <v>16728</v>
      </c>
      <c r="G22" s="5" t="s">
        <v>86</v>
      </c>
      <c r="H22"/>
      <c r="I22"/>
      <c r="J22" s="5">
        <f>+J20+J21</f>
        <v>1158</v>
      </c>
      <c r="K22" s="5">
        <f>+K20+K21</f>
        <v>4525</v>
      </c>
      <c r="M22" s="5">
        <f>+M20+M21</f>
        <v>2900</v>
      </c>
      <c r="N22" s="77" t="s">
        <v>40</v>
      </c>
      <c r="O22" s="68" t="s">
        <v>29</v>
      </c>
      <c r="P22" s="87" t="str">
        <f>+N22</f>
        <v>2,900-4,525</v>
      </c>
      <c r="X22" s="26"/>
      <c r="AQ22" s="163" t="str">
        <f t="shared" si="6"/>
        <v>chum-Grays/Chinook</v>
      </c>
      <c r="AR22" s="164" t="s">
        <v>208</v>
      </c>
      <c r="AS22" s="165" t="s">
        <v>13</v>
      </c>
      <c r="AT22" s="164" t="s">
        <v>210</v>
      </c>
      <c r="AU22" s="165" t="s">
        <v>215</v>
      </c>
      <c r="AV22" s="165">
        <v>1600</v>
      </c>
      <c r="AW22" s="164">
        <v>2003</v>
      </c>
      <c r="AX22" s="164">
        <v>16974</v>
      </c>
    </row>
    <row r="23" spans="2:89" ht="78.75" customHeight="1" thickBot="1" x14ac:dyDescent="0.35">
      <c r="B23" s="93" t="s">
        <v>27</v>
      </c>
      <c r="C23" s="94" t="s">
        <v>27</v>
      </c>
      <c r="D23" s="95" t="s">
        <v>7</v>
      </c>
      <c r="E23" s="96">
        <f>+E22+E19+E11</f>
        <v>9963</v>
      </c>
      <c r="F23" s="96">
        <f>+F22+F19+F11</f>
        <v>412919</v>
      </c>
      <c r="G23" s="96" t="s">
        <v>88</v>
      </c>
      <c r="H23"/>
      <c r="I23"/>
      <c r="J23" s="96">
        <f>+J22+J19+J11</f>
        <v>24246</v>
      </c>
      <c r="K23" s="96">
        <f>+K22+K19+K11</f>
        <v>107005</v>
      </c>
      <c r="L23" s="6" t="s">
        <v>133</v>
      </c>
      <c r="M23" s="96">
        <f>+M22+M19+M11</f>
        <v>16000</v>
      </c>
      <c r="N23" s="97" t="s">
        <v>41</v>
      </c>
      <c r="O23" s="95" t="s">
        <v>29</v>
      </c>
      <c r="P23" s="98" t="str">
        <f>+N23</f>
        <v>11,500-107,005</v>
      </c>
      <c r="X23" s="26"/>
      <c r="AQ23" s="163" t="str">
        <f t="shared" si="6"/>
        <v>chum-Grays/Chinook</v>
      </c>
      <c r="AR23" s="164" t="s">
        <v>208</v>
      </c>
      <c r="AS23" s="165" t="s">
        <v>13</v>
      </c>
      <c r="AT23" s="164" t="s">
        <v>210</v>
      </c>
      <c r="AU23" s="165" t="s">
        <v>215</v>
      </c>
      <c r="AV23" s="165">
        <v>1600</v>
      </c>
      <c r="AW23" s="164">
        <v>2004</v>
      </c>
      <c r="AX23" s="164">
        <v>14020.398062499999</v>
      </c>
    </row>
    <row r="24" spans="2:89" x14ac:dyDescent="0.3">
      <c r="AQ24" s="163" t="str">
        <f t="shared" si="6"/>
        <v>chum-Grays/Chinook</v>
      </c>
      <c r="AR24" s="164" t="s">
        <v>208</v>
      </c>
      <c r="AS24" s="165" t="s">
        <v>13</v>
      </c>
      <c r="AT24" s="164" t="s">
        <v>210</v>
      </c>
      <c r="AU24" s="165" t="s">
        <v>215</v>
      </c>
      <c r="AV24" s="165">
        <v>1600</v>
      </c>
      <c r="AW24" s="164">
        <v>2005</v>
      </c>
      <c r="AX24" s="164">
        <v>4335.9200624999994</v>
      </c>
    </row>
    <row r="25" spans="2:89" x14ac:dyDescent="0.3">
      <c r="AQ25" s="163" t="str">
        <f t="shared" si="6"/>
        <v>chum-Grays/Chinook</v>
      </c>
      <c r="AR25" s="164" t="s">
        <v>208</v>
      </c>
      <c r="AS25" s="165" t="s">
        <v>13</v>
      </c>
      <c r="AT25" s="164" t="s">
        <v>210</v>
      </c>
      <c r="AU25" s="165" t="s">
        <v>215</v>
      </c>
      <c r="AV25" s="165">
        <v>1600</v>
      </c>
      <c r="AW25" s="164">
        <v>2006</v>
      </c>
      <c r="AX25" s="164">
        <v>6721.9769999999999</v>
      </c>
    </row>
    <row r="26" spans="2:89" x14ac:dyDescent="0.3">
      <c r="B26" s="324" t="s">
        <v>13</v>
      </c>
      <c r="C26" t="s">
        <v>10</v>
      </c>
      <c r="D26" s="67" t="s">
        <v>8</v>
      </c>
      <c r="E26" s="4">
        <v>6557</v>
      </c>
      <c r="F26" s="4"/>
      <c r="G26" s="4">
        <f>E26-E4</f>
        <v>370</v>
      </c>
      <c r="H26" s="142">
        <f>G26/E26</f>
        <v>5.6428244624065885E-2</v>
      </c>
      <c r="I26" s="4"/>
      <c r="J26" s="4"/>
      <c r="K26" s="4"/>
      <c r="M26" s="4"/>
      <c r="N26" s="67"/>
      <c r="O26" s="67"/>
      <c r="P26" s="67"/>
      <c r="AQ26" s="163" t="str">
        <f t="shared" si="6"/>
        <v>chum-Grays/Chinook</v>
      </c>
      <c r="AR26" s="164" t="s">
        <v>208</v>
      </c>
      <c r="AS26" s="165" t="s">
        <v>13</v>
      </c>
      <c r="AT26" s="164" t="s">
        <v>210</v>
      </c>
      <c r="AU26" s="165" t="s">
        <v>215</v>
      </c>
      <c r="AV26" s="165">
        <v>1600</v>
      </c>
      <c r="AW26" s="164">
        <v>2007</v>
      </c>
      <c r="AX26" s="164">
        <v>4133.0923750000002</v>
      </c>
    </row>
    <row r="27" spans="2:89" x14ac:dyDescent="0.3">
      <c r="B27" s="324"/>
      <c r="C27" t="s">
        <v>11</v>
      </c>
      <c r="D27" s="67" t="s">
        <v>8</v>
      </c>
      <c r="E27" s="4">
        <v>50</v>
      </c>
      <c r="F27" s="4"/>
      <c r="G27" s="4"/>
      <c r="H27" s="4"/>
      <c r="I27" s="4"/>
      <c r="J27" s="4"/>
      <c r="K27" s="4"/>
      <c r="M27" s="4"/>
      <c r="N27" s="67"/>
      <c r="O27" s="67"/>
      <c r="P27" s="67"/>
      <c r="AQ27" s="163" t="str">
        <f t="shared" si="6"/>
        <v>chum-Grays/Chinook</v>
      </c>
      <c r="AR27" s="164" t="s">
        <v>208</v>
      </c>
      <c r="AS27" s="165" t="s">
        <v>13</v>
      </c>
      <c r="AT27" s="164" t="s">
        <v>210</v>
      </c>
      <c r="AU27" s="165" t="s">
        <v>215</v>
      </c>
      <c r="AV27" s="165">
        <v>1600</v>
      </c>
      <c r="AW27" s="164">
        <v>2008</v>
      </c>
      <c r="AX27" s="164">
        <v>2694.8244999999997</v>
      </c>
    </row>
    <row r="28" spans="2:89" ht="15" thickBot="1" x14ac:dyDescent="0.35">
      <c r="B28" s="324"/>
      <c r="C28" t="s">
        <v>12</v>
      </c>
      <c r="D28" s="67" t="s">
        <v>8</v>
      </c>
      <c r="E28" s="4">
        <v>50</v>
      </c>
      <c r="F28" s="4"/>
      <c r="G28" s="4"/>
      <c r="H28" s="4"/>
      <c r="I28" s="4"/>
      <c r="J28" s="4"/>
      <c r="K28" s="4"/>
      <c r="M28" s="4"/>
      <c r="N28" s="67"/>
      <c r="O28" s="67"/>
      <c r="P28" s="67"/>
      <c r="AQ28" s="163" t="str">
        <f t="shared" si="6"/>
        <v>chum-Grays/Chinook</v>
      </c>
      <c r="AR28" s="164" t="s">
        <v>208</v>
      </c>
      <c r="AS28" s="165" t="s">
        <v>13</v>
      </c>
      <c r="AT28" s="164" t="s">
        <v>210</v>
      </c>
      <c r="AU28" s="165" t="s">
        <v>215</v>
      </c>
      <c r="AV28" s="165">
        <v>1600</v>
      </c>
      <c r="AW28" s="164">
        <v>2009</v>
      </c>
      <c r="AX28" s="164">
        <v>2984.123</v>
      </c>
    </row>
    <row r="29" spans="2:89" ht="15" thickBot="1" x14ac:dyDescent="0.35">
      <c r="B29" s="324"/>
      <c r="C29" t="s">
        <v>91</v>
      </c>
      <c r="D29" s="67" t="s">
        <v>8</v>
      </c>
      <c r="E29" s="4"/>
      <c r="F29" s="4"/>
      <c r="G29" s="4"/>
      <c r="H29" s="4"/>
      <c r="I29" s="4"/>
      <c r="J29" s="4"/>
      <c r="K29" s="4"/>
      <c r="M29" s="4"/>
      <c r="N29" s="67"/>
      <c r="O29" s="67"/>
      <c r="P29" s="67"/>
      <c r="AQ29" s="163" t="str">
        <f t="shared" si="6"/>
        <v>chum-Grays/Chinook</v>
      </c>
      <c r="AR29" s="164" t="s">
        <v>208</v>
      </c>
      <c r="AS29" s="165" t="s">
        <v>13</v>
      </c>
      <c r="AT29" s="164" t="s">
        <v>210</v>
      </c>
      <c r="AU29" s="165" t="s">
        <v>215</v>
      </c>
      <c r="AV29" s="165">
        <v>1600</v>
      </c>
      <c r="AW29" s="164">
        <v>2010</v>
      </c>
      <c r="AX29" s="164">
        <v>6666.560125</v>
      </c>
      <c r="BW29" s="312" t="s">
        <v>0</v>
      </c>
      <c r="BX29" s="313"/>
      <c r="BY29" s="314"/>
      <c r="BZ29" s="318" t="s">
        <v>76</v>
      </c>
      <c r="CA29" s="319"/>
      <c r="CB29" s="320"/>
      <c r="CC29" s="318" t="s">
        <v>1</v>
      </c>
      <c r="CD29" s="319"/>
      <c r="CE29" s="320"/>
      <c r="CF29" s="321" t="s">
        <v>2</v>
      </c>
      <c r="CG29" s="302"/>
      <c r="CH29" s="302"/>
      <c r="CI29" s="322" t="s">
        <v>81</v>
      </c>
      <c r="CJ29" s="302" t="s">
        <v>2</v>
      </c>
      <c r="CK29" s="303"/>
    </row>
    <row r="30" spans="2:89" ht="38.4" thickBot="1" x14ac:dyDescent="0.35">
      <c r="B30" s="324"/>
      <c r="C30" t="s">
        <v>103</v>
      </c>
      <c r="D30" s="67" t="s">
        <v>8</v>
      </c>
      <c r="E30" s="4"/>
      <c r="F30" s="4"/>
      <c r="G30" s="4"/>
      <c r="H30" s="4"/>
      <c r="I30" s="4"/>
      <c r="J30" s="4"/>
      <c r="K30" s="4"/>
      <c r="M30" s="4"/>
      <c r="N30" s="67"/>
      <c r="O30" s="67"/>
      <c r="P30" s="67"/>
      <c r="AQ30" s="163" t="str">
        <f t="shared" si="6"/>
        <v>chum-Grays/Chinook</v>
      </c>
      <c r="AR30" s="164" t="s">
        <v>208</v>
      </c>
      <c r="AS30" s="165" t="s">
        <v>13</v>
      </c>
      <c r="AT30" s="164" t="s">
        <v>210</v>
      </c>
      <c r="AU30" s="165" t="s">
        <v>215</v>
      </c>
      <c r="AV30" s="165">
        <v>1600</v>
      </c>
      <c r="AW30" s="164">
        <v>2011</v>
      </c>
      <c r="AX30" s="164">
        <v>11103.9661875</v>
      </c>
      <c r="BW30" s="315"/>
      <c r="BX30" s="316"/>
      <c r="BY30" s="317"/>
      <c r="BZ30" s="182" t="s">
        <v>245</v>
      </c>
      <c r="CA30" s="3" t="s">
        <v>246</v>
      </c>
      <c r="CB30" s="183" t="s">
        <v>150</v>
      </c>
      <c r="CC30" s="8" t="s">
        <v>247</v>
      </c>
      <c r="CD30" s="3" t="s">
        <v>79</v>
      </c>
      <c r="CE30" s="182" t="s">
        <v>80</v>
      </c>
      <c r="CF30" s="183" t="s">
        <v>248</v>
      </c>
      <c r="CG30" s="183" t="s">
        <v>249</v>
      </c>
      <c r="CH30" s="184" t="s">
        <v>250</v>
      </c>
      <c r="CI30" s="323"/>
      <c r="CJ30" s="182" t="s">
        <v>5</v>
      </c>
      <c r="CK30" s="182" t="s">
        <v>6</v>
      </c>
    </row>
    <row r="31" spans="2:89" ht="24.6" thickBot="1" x14ac:dyDescent="0.35">
      <c r="B31" s="324"/>
      <c r="C31" t="s">
        <v>92</v>
      </c>
      <c r="D31" s="67" t="s">
        <v>8</v>
      </c>
      <c r="E31" s="4"/>
      <c r="F31" s="4"/>
      <c r="G31" s="4"/>
      <c r="H31" s="4"/>
      <c r="I31" s="4"/>
      <c r="J31" s="4"/>
      <c r="K31" s="4"/>
      <c r="M31" s="4"/>
      <c r="N31" s="67"/>
      <c r="O31" s="67"/>
      <c r="P31" s="67"/>
      <c r="AQ31" s="163" t="str">
        <f t="shared" si="6"/>
        <v>chum-Grays/Chinook</v>
      </c>
      <c r="AR31" s="164" t="s">
        <v>208</v>
      </c>
      <c r="AS31" s="165" t="s">
        <v>13</v>
      </c>
      <c r="AT31" s="164" t="s">
        <v>210</v>
      </c>
      <c r="AU31" s="165" t="s">
        <v>215</v>
      </c>
      <c r="AV31" s="165">
        <v>1600</v>
      </c>
      <c r="AW31" s="164">
        <v>2012</v>
      </c>
      <c r="AX31" s="164">
        <v>8228.8086249999997</v>
      </c>
      <c r="BW31" s="304" t="s">
        <v>13</v>
      </c>
      <c r="BX31" s="307" t="s">
        <v>10</v>
      </c>
      <c r="BY31" s="185" t="s">
        <v>7</v>
      </c>
      <c r="BZ31" s="186">
        <v>6187</v>
      </c>
      <c r="CA31" s="187">
        <v>10174</v>
      </c>
      <c r="CB31" s="188">
        <v>10000</v>
      </c>
      <c r="CC31" s="189" t="s">
        <v>73</v>
      </c>
      <c r="CD31" s="190">
        <v>1569</v>
      </c>
      <c r="CE31" s="186">
        <v>5576</v>
      </c>
      <c r="CF31" s="191" t="s">
        <v>215</v>
      </c>
      <c r="CG31" s="192" t="s">
        <v>133</v>
      </c>
      <c r="CH31" s="186">
        <v>1600</v>
      </c>
      <c r="CI31" s="193" t="s">
        <v>69</v>
      </c>
      <c r="CJ31" s="185" t="s">
        <v>29</v>
      </c>
      <c r="CK31" s="185" t="str">
        <f>+CI31</f>
        <v>1,600-5,576</v>
      </c>
    </row>
    <row r="32" spans="2:89" ht="24.6" thickBot="1" x14ac:dyDescent="0.35">
      <c r="B32" s="324"/>
      <c r="C32" t="s">
        <v>93</v>
      </c>
      <c r="D32" s="67" t="s">
        <v>8</v>
      </c>
      <c r="E32" s="4"/>
      <c r="F32" s="4"/>
      <c r="G32" s="4"/>
      <c r="H32" s="4"/>
      <c r="I32" s="4"/>
      <c r="J32" s="4"/>
      <c r="K32" s="4"/>
      <c r="M32" s="4"/>
      <c r="N32" s="67"/>
      <c r="O32" s="67"/>
      <c r="P32" s="67"/>
      <c r="AQ32" s="163" t="str">
        <f t="shared" si="6"/>
        <v>chum-Grays/Chinook</v>
      </c>
      <c r="AR32" s="164" t="s">
        <v>208</v>
      </c>
      <c r="AS32" s="165" t="s">
        <v>13</v>
      </c>
      <c r="AT32" s="164" t="s">
        <v>210</v>
      </c>
      <c r="AU32" s="165" t="s">
        <v>215</v>
      </c>
      <c r="AV32" s="165">
        <v>1600</v>
      </c>
      <c r="AW32" s="164">
        <v>2013</v>
      </c>
      <c r="AX32" s="164">
        <v>5384.0365625000004</v>
      </c>
      <c r="BW32" s="305"/>
      <c r="BX32" s="308"/>
      <c r="BY32" s="11" t="s">
        <v>8</v>
      </c>
      <c r="BZ32" s="194">
        <v>6557</v>
      </c>
      <c r="CA32" s="4"/>
      <c r="CB32" s="188"/>
      <c r="CC32" s="195"/>
      <c r="CD32" s="194"/>
      <c r="CE32" s="194"/>
      <c r="CF32" s="192"/>
      <c r="CG32" s="192"/>
      <c r="CH32" s="194"/>
      <c r="CI32" s="11"/>
      <c r="CJ32" s="11"/>
      <c r="CK32" s="11"/>
    </row>
    <row r="33" spans="2:89" ht="24.6" thickBot="1" x14ac:dyDescent="0.35">
      <c r="B33" s="324"/>
      <c r="C33" t="s">
        <v>70</v>
      </c>
      <c r="D33" s="68" t="s">
        <v>8</v>
      </c>
      <c r="E33" s="5">
        <f>+E26+E27+E28+E29+E30+E31+E32</f>
        <v>6657</v>
      </c>
      <c r="F33" s="5" t="s">
        <v>194</v>
      </c>
      <c r="G33" s="5"/>
      <c r="H33" s="5"/>
      <c r="I33" s="5"/>
      <c r="J33" s="5"/>
      <c r="K33" s="5"/>
      <c r="M33" s="5"/>
      <c r="N33" s="68"/>
      <c r="O33" s="68"/>
      <c r="P33" s="68"/>
      <c r="AQ33" s="163" t="str">
        <f t="shared" si="6"/>
        <v>chum-Grays/Chinook</v>
      </c>
      <c r="AR33" s="164" t="s">
        <v>208</v>
      </c>
      <c r="AS33" s="165" t="s">
        <v>13</v>
      </c>
      <c r="AT33" s="164" t="s">
        <v>210</v>
      </c>
      <c r="AU33" s="165" t="s">
        <v>215</v>
      </c>
      <c r="AV33" s="165">
        <v>1600</v>
      </c>
      <c r="AW33" s="164">
        <v>2014</v>
      </c>
      <c r="AX33" s="164">
        <v>5038.3306874999998</v>
      </c>
      <c r="BW33" s="305"/>
      <c r="BX33" s="307" t="s">
        <v>11</v>
      </c>
      <c r="BY33" s="196" t="s">
        <v>7</v>
      </c>
      <c r="BZ33" s="190">
        <v>50</v>
      </c>
      <c r="CA33" s="187">
        <f>7821+8499</f>
        <v>16320</v>
      </c>
      <c r="CB33" s="188">
        <v>16000</v>
      </c>
      <c r="CC33" s="189" t="s">
        <v>73</v>
      </c>
      <c r="CD33" s="190">
        <f>515+1125</f>
        <v>1640</v>
      </c>
      <c r="CE33" s="190">
        <f>2619+3269</f>
        <v>5888</v>
      </c>
      <c r="CF33" s="197" t="s">
        <v>215</v>
      </c>
      <c r="CG33" s="197" t="s">
        <v>130</v>
      </c>
      <c r="CH33" s="190">
        <v>1300</v>
      </c>
      <c r="CI33" s="198" t="s">
        <v>30</v>
      </c>
      <c r="CJ33" s="199" t="s">
        <v>29</v>
      </c>
      <c r="CK33" s="199" t="str">
        <f>+CI33</f>
        <v>1,300-5,888</v>
      </c>
    </row>
    <row r="34" spans="2:89" ht="24.6" thickBot="1" x14ac:dyDescent="0.35">
      <c r="B34" s="324" t="s">
        <v>21</v>
      </c>
      <c r="C34" t="s">
        <v>22</v>
      </c>
      <c r="D34" s="67" t="s">
        <v>8</v>
      </c>
      <c r="E34" s="4">
        <v>50</v>
      </c>
      <c r="F34" s="4"/>
      <c r="G34" s="4"/>
      <c r="H34" s="4"/>
      <c r="I34" s="4"/>
      <c r="J34" s="4"/>
      <c r="K34" s="4"/>
      <c r="M34" s="4"/>
      <c r="N34" s="67"/>
      <c r="O34" s="67"/>
      <c r="P34" s="67"/>
      <c r="AQ34" s="163" t="str">
        <f t="shared" si="6"/>
        <v>chum-Grays/Chinook</v>
      </c>
      <c r="AR34" s="164" t="s">
        <v>208</v>
      </c>
      <c r="AS34" s="165" t="s">
        <v>13</v>
      </c>
      <c r="AT34" s="164" t="s">
        <v>210</v>
      </c>
      <c r="AU34" s="165" t="s">
        <v>215</v>
      </c>
      <c r="AV34" s="165">
        <v>1600</v>
      </c>
      <c r="AW34" s="164">
        <v>2015</v>
      </c>
      <c r="AX34" s="164">
        <v>11708.194687499999</v>
      </c>
      <c r="BW34" s="305"/>
      <c r="BX34" s="309"/>
      <c r="BY34" s="185" t="s">
        <v>8</v>
      </c>
      <c r="BZ34" s="186">
        <v>50</v>
      </c>
      <c r="CA34" s="4"/>
      <c r="CB34" s="188"/>
      <c r="CC34" s="195"/>
      <c r="CD34" s="194"/>
      <c r="CE34" s="186"/>
      <c r="CF34" s="191"/>
      <c r="CG34" s="191"/>
      <c r="CH34" s="186"/>
      <c r="CI34" s="185"/>
      <c r="CJ34" s="185"/>
      <c r="CK34" s="185"/>
    </row>
    <row r="35" spans="2:89" ht="24.6" thickBot="1" x14ac:dyDescent="0.35">
      <c r="B35" s="324"/>
      <c r="C35" t="s">
        <v>23</v>
      </c>
      <c r="D35" s="67" t="s">
        <v>8</v>
      </c>
      <c r="E35" s="4">
        <v>50</v>
      </c>
      <c r="F35" s="4"/>
      <c r="G35" s="4"/>
      <c r="H35" s="4"/>
      <c r="I35" s="4"/>
      <c r="J35" s="4"/>
      <c r="K35" s="4"/>
      <c r="M35" s="4"/>
      <c r="N35" s="67"/>
      <c r="O35" s="67"/>
      <c r="P35" s="67"/>
      <c r="AQ35" s="163" t="str">
        <f t="shared" si="6"/>
        <v>chum-Grays/Chinook</v>
      </c>
      <c r="AR35" s="164" t="s">
        <v>208</v>
      </c>
      <c r="AS35" s="165" t="s">
        <v>13</v>
      </c>
      <c r="AT35" s="164" t="s">
        <v>210</v>
      </c>
      <c r="AU35" s="165" t="s">
        <v>215</v>
      </c>
      <c r="AV35" s="165">
        <v>1600</v>
      </c>
      <c r="AW35" s="164">
        <v>2016</v>
      </c>
      <c r="AX35" s="164">
        <v>31266.179479166698</v>
      </c>
      <c r="BW35" s="305"/>
      <c r="BX35" s="307" t="s">
        <v>12</v>
      </c>
      <c r="BY35" s="185" t="s">
        <v>7</v>
      </c>
      <c r="BZ35" s="186">
        <v>50</v>
      </c>
      <c r="CA35" s="187">
        <f>1615+1878+3094</f>
        <v>6587</v>
      </c>
      <c r="CB35" s="188">
        <v>7000</v>
      </c>
      <c r="CC35" s="200" t="s">
        <v>74</v>
      </c>
      <c r="CD35" s="190">
        <f>121+182+300</f>
        <v>603</v>
      </c>
      <c r="CE35" s="186">
        <f>624+619+886</f>
        <v>2129</v>
      </c>
      <c r="CF35" s="191" t="s">
        <v>215</v>
      </c>
      <c r="CG35" s="191" t="s">
        <v>130</v>
      </c>
      <c r="CH35" s="186">
        <v>1300</v>
      </c>
      <c r="CI35" s="193" t="s">
        <v>31</v>
      </c>
      <c r="CJ35" s="185" t="s">
        <v>29</v>
      </c>
      <c r="CK35" s="185" t="str">
        <f>+CI35</f>
        <v>1,300-2,129</v>
      </c>
    </row>
    <row r="36" spans="2:89" ht="24.6" thickBot="1" x14ac:dyDescent="0.35">
      <c r="B36" s="324"/>
      <c r="C36" t="s">
        <v>24</v>
      </c>
      <c r="D36" s="67" t="s">
        <v>8</v>
      </c>
      <c r="E36" s="4">
        <v>50</v>
      </c>
      <c r="F36" s="4"/>
      <c r="G36" s="4"/>
      <c r="H36" s="4"/>
      <c r="I36" s="4"/>
      <c r="J36" s="4"/>
      <c r="K36" s="4"/>
      <c r="M36" s="4"/>
      <c r="N36" s="67"/>
      <c r="O36" s="67"/>
      <c r="P36" s="67"/>
      <c r="AQ36" s="163"/>
      <c r="AR36" s="164"/>
      <c r="AS36" s="165"/>
      <c r="AT36" s="164"/>
      <c r="AU36" s="165"/>
      <c r="AV36" s="165"/>
      <c r="AW36" s="164" t="s">
        <v>213</v>
      </c>
      <c r="AX36" s="164">
        <f>GEOMEAN(AX26:AX35)</f>
        <v>6765.9668143085901</v>
      </c>
      <c r="BW36" s="305"/>
      <c r="BX36" s="309"/>
      <c r="BY36" s="185" t="s">
        <v>8</v>
      </c>
      <c r="BZ36" s="186">
        <v>50</v>
      </c>
      <c r="CA36" s="4"/>
      <c r="CB36" s="188"/>
      <c r="CC36" s="195"/>
      <c r="CD36" s="194"/>
      <c r="CE36" s="186"/>
      <c r="CF36" s="191"/>
      <c r="CG36" s="191"/>
      <c r="CH36" s="186"/>
      <c r="CI36" s="185"/>
      <c r="CJ36" s="185"/>
      <c r="CK36" s="185"/>
    </row>
    <row r="37" spans="2:89" ht="24.6" thickBot="1" x14ac:dyDescent="0.35">
      <c r="B37" s="324"/>
      <c r="C37" t="s">
        <v>25</v>
      </c>
      <c r="D37" s="67" t="s">
        <v>8</v>
      </c>
      <c r="E37" s="4">
        <v>50</v>
      </c>
      <c r="F37" s="4"/>
      <c r="G37" s="4"/>
      <c r="H37" s="4"/>
      <c r="I37" s="4"/>
      <c r="J37" s="4"/>
      <c r="K37" s="4"/>
      <c r="M37" s="4"/>
      <c r="N37" s="67"/>
      <c r="O37" s="67"/>
      <c r="P37" s="67"/>
      <c r="AQ37" s="163" t="str">
        <f t="shared" si="6"/>
        <v>chum-L Gorge</v>
      </c>
      <c r="AR37" s="164" t="s">
        <v>208</v>
      </c>
      <c r="AS37" s="165" t="s">
        <v>26</v>
      </c>
      <c r="AT37" s="164" t="s">
        <v>211</v>
      </c>
      <c r="AU37" s="165" t="s">
        <v>215</v>
      </c>
      <c r="AV37" s="165">
        <v>2000</v>
      </c>
      <c r="AW37" s="164">
        <v>2002</v>
      </c>
      <c r="AX37" s="164">
        <v>8120.7070624999997</v>
      </c>
      <c r="BW37" s="305"/>
      <c r="BX37" s="201" t="s">
        <v>91</v>
      </c>
      <c r="BY37" s="185" t="s">
        <v>7</v>
      </c>
      <c r="BZ37" s="202">
        <v>15</v>
      </c>
      <c r="CA37" s="187" t="s">
        <v>251</v>
      </c>
      <c r="CB37" s="188" t="s">
        <v>252</v>
      </c>
      <c r="CC37" s="202" t="s">
        <v>253</v>
      </c>
      <c r="CD37" s="190"/>
      <c r="CE37" s="190"/>
      <c r="CF37" s="191" t="s">
        <v>254</v>
      </c>
      <c r="CG37" s="191" t="s">
        <v>132</v>
      </c>
      <c r="CH37" s="186">
        <v>500</v>
      </c>
      <c r="CI37" s="199"/>
      <c r="CJ37" s="185" t="s">
        <v>29</v>
      </c>
      <c r="CK37" s="199"/>
    </row>
    <row r="38" spans="2:89" ht="24.6" thickBot="1" x14ac:dyDescent="0.35">
      <c r="B38" s="324"/>
      <c r="C38" t="s">
        <v>173</v>
      </c>
      <c r="D38" s="67" t="s">
        <v>8</v>
      </c>
      <c r="E38" s="4">
        <v>1560</v>
      </c>
      <c r="F38" s="4"/>
      <c r="G38" s="4">
        <f>E38-E16</f>
        <v>5</v>
      </c>
      <c r="H38" s="4"/>
      <c r="I38" s="4"/>
      <c r="J38" s="4"/>
      <c r="K38" s="4"/>
      <c r="M38" s="4"/>
      <c r="N38" s="67"/>
      <c r="O38" s="67"/>
      <c r="P38" s="67"/>
      <c r="AQ38" s="163" t="str">
        <f t="shared" si="6"/>
        <v>chum-L Gorge</v>
      </c>
      <c r="AR38" s="164" t="s">
        <v>208</v>
      </c>
      <c r="AS38" s="165" t="s">
        <v>26</v>
      </c>
      <c r="AT38" s="164" t="s">
        <v>211</v>
      </c>
      <c r="AU38" s="165" t="s">
        <v>215</v>
      </c>
      <c r="AV38" s="165">
        <v>2000</v>
      </c>
      <c r="AW38" s="164">
        <v>2003</v>
      </c>
      <c r="AX38" s="164">
        <v>3455.4219374999998</v>
      </c>
      <c r="BW38" s="305"/>
      <c r="BX38" s="203"/>
      <c r="BY38" s="185" t="s">
        <v>8</v>
      </c>
      <c r="BZ38" s="186">
        <v>15</v>
      </c>
      <c r="CA38" s="204"/>
      <c r="CB38" s="188"/>
      <c r="CC38" s="205"/>
      <c r="CD38" s="186"/>
      <c r="CE38" s="186"/>
      <c r="CF38" s="191"/>
      <c r="CG38" s="191"/>
      <c r="CH38" s="186"/>
      <c r="CI38" s="185"/>
      <c r="CJ38" s="185"/>
      <c r="CK38" s="185"/>
    </row>
    <row r="39" spans="2:89" ht="24.75" customHeight="1" thickBot="1" x14ac:dyDescent="0.35">
      <c r="B39" s="324"/>
      <c r="C39" t="s">
        <v>94</v>
      </c>
      <c r="D39" s="67" t="s">
        <v>8</v>
      </c>
      <c r="E39" s="69"/>
      <c r="F39" s="4"/>
      <c r="G39" s="4"/>
      <c r="H39" s="4"/>
      <c r="I39" s="4"/>
      <c r="J39" s="4"/>
      <c r="K39" s="4"/>
      <c r="M39" s="4"/>
      <c r="N39" s="67"/>
      <c r="O39" s="67"/>
      <c r="P39" s="67"/>
      <c r="AQ39" s="163" t="str">
        <f t="shared" si="6"/>
        <v>chum-L Gorge</v>
      </c>
      <c r="AR39" s="164" t="s">
        <v>208</v>
      </c>
      <c r="AS39" s="165" t="s">
        <v>26</v>
      </c>
      <c r="AT39" s="164" t="s">
        <v>211</v>
      </c>
      <c r="AU39" s="165" t="s">
        <v>215</v>
      </c>
      <c r="AV39" s="165">
        <v>2000</v>
      </c>
      <c r="AW39" s="164">
        <v>2004</v>
      </c>
      <c r="AX39" s="164">
        <v>2103.5017499999999</v>
      </c>
      <c r="BW39" s="305"/>
      <c r="BX39" s="201" t="s">
        <v>103</v>
      </c>
      <c r="BY39" s="185" t="s">
        <v>7</v>
      </c>
      <c r="BZ39" s="202">
        <v>299</v>
      </c>
      <c r="CA39" s="187" t="s">
        <v>255</v>
      </c>
      <c r="CB39" s="188" t="s">
        <v>252</v>
      </c>
      <c r="CC39" s="202" t="s">
        <v>256</v>
      </c>
      <c r="CD39" s="190"/>
      <c r="CE39" s="190"/>
      <c r="CF39" s="191" t="s">
        <v>254</v>
      </c>
      <c r="CG39" s="191" t="s">
        <v>132</v>
      </c>
      <c r="CH39" s="186">
        <v>500</v>
      </c>
      <c r="CI39" s="199"/>
      <c r="CJ39" s="185" t="s">
        <v>29</v>
      </c>
      <c r="CK39" s="199"/>
    </row>
    <row r="40" spans="2:89" ht="24.75" customHeight="1" thickBot="1" x14ac:dyDescent="0.35">
      <c r="B40" s="324"/>
      <c r="C40" t="s">
        <v>95</v>
      </c>
      <c r="D40" s="67" t="s">
        <v>8</v>
      </c>
      <c r="E40" s="69"/>
      <c r="F40" s="4"/>
      <c r="G40" s="4"/>
      <c r="H40" s="4"/>
      <c r="I40" s="4"/>
      <c r="J40" s="4"/>
      <c r="K40" s="4"/>
      <c r="M40" s="4"/>
      <c r="N40" s="67"/>
      <c r="O40" s="67"/>
      <c r="P40" s="67"/>
      <c r="AQ40" s="163" t="str">
        <f t="shared" si="6"/>
        <v>chum-L Gorge</v>
      </c>
      <c r="AR40" s="164" t="s">
        <v>208</v>
      </c>
      <c r="AS40" s="165" t="s">
        <v>26</v>
      </c>
      <c r="AT40" s="164" t="s">
        <v>211</v>
      </c>
      <c r="AU40" s="165" t="s">
        <v>215</v>
      </c>
      <c r="AV40" s="165">
        <v>2000</v>
      </c>
      <c r="AW40" s="164">
        <v>2005</v>
      </c>
      <c r="AX40" s="164">
        <v>959.40243750000002</v>
      </c>
      <c r="BW40" s="305"/>
      <c r="BX40" s="203"/>
      <c r="BY40" s="185" t="s">
        <v>8</v>
      </c>
      <c r="BZ40" s="186">
        <v>299</v>
      </c>
      <c r="CA40" s="204"/>
      <c r="CB40" s="188"/>
      <c r="CC40" s="205"/>
      <c r="CD40" s="186"/>
      <c r="CE40" s="186"/>
      <c r="CF40" s="191"/>
      <c r="CG40" s="191"/>
      <c r="CH40" s="186"/>
      <c r="CI40" s="185"/>
      <c r="CJ40" s="185"/>
      <c r="CK40" s="185"/>
    </row>
    <row r="41" spans="2:89" ht="24.6" thickBot="1" x14ac:dyDescent="0.35">
      <c r="B41" s="324"/>
      <c r="C41" t="s">
        <v>71</v>
      </c>
      <c r="D41" s="68" t="s">
        <v>8</v>
      </c>
      <c r="E41" s="5">
        <f>+E34+E35+E36+E37+E38+E39+E40</f>
        <v>1760</v>
      </c>
      <c r="F41" s="5"/>
      <c r="G41" s="5"/>
      <c r="H41" s="5"/>
      <c r="I41" s="5"/>
      <c r="J41" s="5"/>
      <c r="K41" s="5"/>
      <c r="M41" s="5"/>
      <c r="N41" s="68"/>
      <c r="O41" s="68"/>
      <c r="P41" s="68"/>
      <c r="AQ41" s="163" t="str">
        <f t="shared" si="6"/>
        <v>chum-L Gorge</v>
      </c>
      <c r="AR41" s="164" t="s">
        <v>208</v>
      </c>
      <c r="AS41" s="165" t="s">
        <v>26</v>
      </c>
      <c r="AT41" s="164" t="s">
        <v>211</v>
      </c>
      <c r="AU41" s="165" t="s">
        <v>215</v>
      </c>
      <c r="AV41" s="165">
        <v>2000</v>
      </c>
      <c r="AW41" s="164">
        <v>2006</v>
      </c>
      <c r="AX41" s="164">
        <v>1661.6081250000002</v>
      </c>
      <c r="BW41" s="305"/>
      <c r="BX41" s="201" t="s">
        <v>92</v>
      </c>
      <c r="BY41" s="185" t="s">
        <v>7</v>
      </c>
      <c r="BZ41" s="202">
        <v>3</v>
      </c>
      <c r="CA41" s="187" t="s">
        <v>257</v>
      </c>
      <c r="CB41" s="188" t="s">
        <v>252</v>
      </c>
      <c r="CC41" s="202" t="s">
        <v>258</v>
      </c>
      <c r="CD41" s="190"/>
      <c r="CE41" s="190"/>
      <c r="CF41" s="191" t="s">
        <v>215</v>
      </c>
      <c r="CG41" s="191" t="s">
        <v>130</v>
      </c>
      <c r="CH41" s="186">
        <v>1000</v>
      </c>
      <c r="CI41" s="199"/>
      <c r="CJ41" s="185" t="s">
        <v>29</v>
      </c>
      <c r="CK41" s="199"/>
    </row>
    <row r="42" spans="2:89" ht="24.6" thickBot="1" x14ac:dyDescent="0.35">
      <c r="B42" s="324" t="s">
        <v>26</v>
      </c>
      <c r="C42" t="s">
        <v>174</v>
      </c>
      <c r="D42" s="67" t="s">
        <v>8</v>
      </c>
      <c r="E42" s="4">
        <v>1578</v>
      </c>
      <c r="F42" s="4"/>
      <c r="G42" s="4"/>
      <c r="H42" s="4"/>
      <c r="I42" s="4"/>
      <c r="J42" s="4"/>
      <c r="K42" s="4"/>
      <c r="M42" s="4"/>
      <c r="N42" s="67"/>
      <c r="O42" s="67"/>
      <c r="P42" s="67"/>
      <c r="AQ42" s="163" t="str">
        <f t="shared" si="6"/>
        <v>chum-L Gorge</v>
      </c>
      <c r="AR42" s="164" t="s">
        <v>208</v>
      </c>
      <c r="AS42" s="165" t="s">
        <v>26</v>
      </c>
      <c r="AT42" s="164" t="s">
        <v>211</v>
      </c>
      <c r="AU42" s="165" t="s">
        <v>215</v>
      </c>
      <c r="AV42" s="165">
        <v>2000</v>
      </c>
      <c r="AW42" s="164">
        <v>2007</v>
      </c>
      <c r="AX42" s="164">
        <v>510.23081250000001</v>
      </c>
      <c r="BW42" s="305"/>
      <c r="BX42" s="203"/>
      <c r="BY42" s="185" t="s">
        <v>8</v>
      </c>
      <c r="BZ42" s="186">
        <v>3</v>
      </c>
      <c r="CA42" s="187"/>
      <c r="CB42" s="188"/>
      <c r="CC42" s="205"/>
      <c r="CD42" s="186"/>
      <c r="CE42" s="186"/>
      <c r="CF42" s="191"/>
      <c r="CG42" s="191"/>
      <c r="CH42" s="186"/>
      <c r="CI42" s="185"/>
      <c r="CJ42" s="185"/>
      <c r="CK42" s="185"/>
    </row>
    <row r="43" spans="2:89" ht="24.6" thickBot="1" x14ac:dyDescent="0.35">
      <c r="B43" s="324"/>
      <c r="C43" t="s">
        <v>175</v>
      </c>
      <c r="D43" s="67" t="s">
        <v>8</v>
      </c>
      <c r="E43" s="4">
        <v>109</v>
      </c>
      <c r="F43" s="4"/>
      <c r="G43" s="4"/>
      <c r="H43" s="4"/>
      <c r="I43" s="4"/>
      <c r="J43" s="4"/>
      <c r="K43" s="4"/>
      <c r="M43" s="4"/>
      <c r="N43" s="67"/>
      <c r="O43" s="67"/>
      <c r="P43" s="67"/>
      <c r="AQ43" s="163" t="str">
        <f t="shared" si="6"/>
        <v>chum-L Gorge</v>
      </c>
      <c r="AR43" s="164" t="s">
        <v>208</v>
      </c>
      <c r="AS43" s="165" t="s">
        <v>26</v>
      </c>
      <c r="AT43" s="164" t="s">
        <v>211</v>
      </c>
      <c r="AU43" s="165" t="s">
        <v>215</v>
      </c>
      <c r="AV43" s="165">
        <v>2000</v>
      </c>
      <c r="AW43" s="164">
        <v>2008</v>
      </c>
      <c r="AX43" s="164">
        <v>600.49712499999998</v>
      </c>
      <c r="BW43" s="305"/>
      <c r="BX43" s="201" t="s">
        <v>93</v>
      </c>
      <c r="BY43" s="185" t="s">
        <v>7</v>
      </c>
      <c r="BZ43" s="202">
        <v>0</v>
      </c>
      <c r="CA43" s="187" t="s">
        <v>259</v>
      </c>
      <c r="CB43" s="188" t="s">
        <v>252</v>
      </c>
      <c r="CC43" s="202">
        <v>1100</v>
      </c>
      <c r="CD43" s="190"/>
      <c r="CE43" s="190"/>
      <c r="CF43" s="191" t="s">
        <v>215</v>
      </c>
      <c r="CG43" s="191" t="s">
        <v>130</v>
      </c>
      <c r="CH43" s="186">
        <v>1000</v>
      </c>
      <c r="CI43" s="199"/>
      <c r="CJ43" s="185" t="s">
        <v>29</v>
      </c>
      <c r="CK43" s="199"/>
    </row>
    <row r="44" spans="2:89" ht="24.6" thickBot="1" x14ac:dyDescent="0.35">
      <c r="B44" s="324"/>
      <c r="C44" t="s">
        <v>72</v>
      </c>
      <c r="D44" s="68" t="s">
        <v>8</v>
      </c>
      <c r="E44" s="5">
        <f>+E42+E43</f>
        <v>1687</v>
      </c>
      <c r="F44" s="5"/>
      <c r="G44" s="5">
        <f>E44-E22</f>
        <v>16</v>
      </c>
      <c r="H44" s="143">
        <f>G44/E44</f>
        <v>9.4842916419679898E-3</v>
      </c>
      <c r="I44" s="5"/>
      <c r="J44" s="5"/>
      <c r="K44" s="5"/>
      <c r="M44" s="5"/>
      <c r="N44" s="68"/>
      <c r="O44" s="68"/>
      <c r="P44" s="68"/>
      <c r="AQ44" s="163" t="str">
        <f t="shared" si="6"/>
        <v>chum-L Gorge</v>
      </c>
      <c r="AR44" s="164" t="s">
        <v>208</v>
      </c>
      <c r="AS44" s="165" t="s">
        <v>26</v>
      </c>
      <c r="AT44" s="164" t="s">
        <v>211</v>
      </c>
      <c r="AU44" s="165" t="s">
        <v>215</v>
      </c>
      <c r="AV44" s="165">
        <v>2000</v>
      </c>
      <c r="AW44" s="164">
        <v>2009</v>
      </c>
      <c r="AX44" s="164">
        <v>618.64468749999992</v>
      </c>
      <c r="BW44" s="305"/>
      <c r="BX44" s="203"/>
      <c r="BY44" s="185" t="s">
        <v>8</v>
      </c>
      <c r="BZ44" s="186">
        <v>0</v>
      </c>
      <c r="CA44" s="187"/>
      <c r="CB44" s="188"/>
      <c r="CC44" s="205"/>
      <c r="CD44" s="186"/>
      <c r="CE44" s="186"/>
      <c r="CF44" s="191"/>
      <c r="CG44" s="191"/>
      <c r="CH44" s="186"/>
      <c r="CI44" s="185"/>
      <c r="CJ44" s="185"/>
      <c r="CK44" s="185"/>
    </row>
    <row r="45" spans="2:89" ht="24.6" thickBot="1" x14ac:dyDescent="0.35">
      <c r="B45" s="70" t="s">
        <v>176</v>
      </c>
      <c r="C45" t="s">
        <v>27</v>
      </c>
      <c r="D45" s="71" t="s">
        <v>8</v>
      </c>
      <c r="E45" s="72">
        <f>+E44+E41+E33</f>
        <v>10104</v>
      </c>
      <c r="F45" s="72"/>
      <c r="G45" s="72">
        <f>G44+G38+G26</f>
        <v>391</v>
      </c>
      <c r="H45" s="144">
        <f>G45/E45</f>
        <v>3.8697545526524151E-2</v>
      </c>
      <c r="I45" s="72"/>
      <c r="J45" s="72"/>
      <c r="K45" s="72"/>
      <c r="M45" s="72"/>
      <c r="N45" s="71"/>
      <c r="O45" s="71"/>
      <c r="P45" s="71"/>
      <c r="AQ45" s="163" t="str">
        <f t="shared" si="6"/>
        <v>chum-L Gorge</v>
      </c>
      <c r="AR45" s="164" t="s">
        <v>208</v>
      </c>
      <c r="AS45" s="165" t="s">
        <v>26</v>
      </c>
      <c r="AT45" s="164" t="s">
        <v>211</v>
      </c>
      <c r="AU45" s="165" t="s">
        <v>215</v>
      </c>
      <c r="AV45" s="165">
        <v>2000</v>
      </c>
      <c r="AW45" s="164">
        <v>2010</v>
      </c>
      <c r="AX45" s="164">
        <v>2601.0748750000002</v>
      </c>
      <c r="BW45" s="305"/>
      <c r="BX45" s="310" t="s">
        <v>70</v>
      </c>
      <c r="BY45" s="206" t="s">
        <v>7</v>
      </c>
      <c r="BZ45" s="207">
        <f>+BZ31+BZ33+BZ35+BZ37+BZ39+BZ41+BZ43</f>
        <v>6604</v>
      </c>
      <c r="CA45" s="207" t="e">
        <f>+CA31+CA33+CA35+CA37+CA39+CA41+CA43</f>
        <v>#VALUE!</v>
      </c>
      <c r="CB45" s="188"/>
      <c r="CC45" s="208" t="s">
        <v>85</v>
      </c>
      <c r="CD45" s="207">
        <f>+CD31+CD33+CD35+CD37+CD39+CD41+CD43</f>
        <v>3812</v>
      </c>
      <c r="CE45" s="207">
        <f>+CE31+CE33+CE35+CE37+CE39+CE41+CE43</f>
        <v>13593</v>
      </c>
      <c r="CF45" s="191"/>
      <c r="CG45" s="191"/>
      <c r="CH45" s="207">
        <f>+CH31+CH33+CH35+CH37+CH39+CH41+CH43</f>
        <v>7200</v>
      </c>
      <c r="CI45" s="209" t="s">
        <v>32</v>
      </c>
      <c r="CJ45" s="206" t="s">
        <v>29</v>
      </c>
      <c r="CK45" s="206" t="str">
        <f>+CI45</f>
        <v>4,200-13,593</v>
      </c>
    </row>
    <row r="46" spans="2:89" ht="24.6" thickBot="1" x14ac:dyDescent="0.35">
      <c r="AQ46" s="163" t="str">
        <f t="shared" si="6"/>
        <v>chum-L Gorge</v>
      </c>
      <c r="AR46" s="164" t="s">
        <v>208</v>
      </c>
      <c r="AS46" s="165" t="s">
        <v>26</v>
      </c>
      <c r="AT46" s="164" t="s">
        <v>211</v>
      </c>
      <c r="AU46" s="165" t="s">
        <v>215</v>
      </c>
      <c r="AV46" s="165">
        <v>2000</v>
      </c>
      <c r="AW46" s="164">
        <v>2011</v>
      </c>
      <c r="AX46" s="164">
        <v>3166.5092499999996</v>
      </c>
      <c r="BW46" s="306"/>
      <c r="BX46" s="311"/>
      <c r="BY46" s="206" t="s">
        <v>8</v>
      </c>
      <c r="BZ46" s="207">
        <f>+BZ32+BZ34+BZ36+BZ38+BZ40+BZ42+BZ44</f>
        <v>6974</v>
      </c>
      <c r="CA46" s="5"/>
      <c r="CB46" s="188"/>
      <c r="CC46" s="210"/>
      <c r="CD46" s="211"/>
      <c r="CE46" s="207"/>
      <c r="CF46" s="191"/>
      <c r="CG46" s="191"/>
      <c r="CH46" s="207"/>
      <c r="CI46" s="206"/>
      <c r="CJ46" s="206"/>
      <c r="CK46" s="206"/>
    </row>
    <row r="47" spans="2:89" x14ac:dyDescent="0.3">
      <c r="AQ47" s="163" t="str">
        <f t="shared" si="6"/>
        <v>chum-L Gorge</v>
      </c>
      <c r="AR47" s="164" t="s">
        <v>208</v>
      </c>
      <c r="AS47" s="165" t="s">
        <v>26</v>
      </c>
      <c r="AT47" s="164" t="s">
        <v>211</v>
      </c>
      <c r="AU47" s="165" t="s">
        <v>215</v>
      </c>
      <c r="AV47" s="165">
        <v>2000</v>
      </c>
      <c r="AW47" s="164">
        <v>2012</v>
      </c>
      <c r="AX47" s="164">
        <v>1844.2002500000001</v>
      </c>
    </row>
    <row r="48" spans="2:89" x14ac:dyDescent="0.3">
      <c r="AQ48" s="163" t="str">
        <f t="shared" si="6"/>
        <v>chum-L Gorge</v>
      </c>
      <c r="AR48" s="164" t="s">
        <v>208</v>
      </c>
      <c r="AS48" s="165" t="s">
        <v>26</v>
      </c>
      <c r="AT48" s="164" t="s">
        <v>211</v>
      </c>
      <c r="AU48" s="165" t="s">
        <v>215</v>
      </c>
      <c r="AV48" s="165">
        <v>2000</v>
      </c>
      <c r="AW48" s="164">
        <v>2013</v>
      </c>
      <c r="AX48" s="164">
        <v>1577.5805</v>
      </c>
    </row>
    <row r="49" spans="43:50" x14ac:dyDescent="0.3">
      <c r="AQ49" s="163" t="str">
        <f t="shared" si="6"/>
        <v>chum-L Gorge</v>
      </c>
      <c r="AR49" s="164" t="s">
        <v>208</v>
      </c>
      <c r="AS49" s="165" t="s">
        <v>26</v>
      </c>
      <c r="AT49" s="164" t="s">
        <v>211</v>
      </c>
      <c r="AU49" s="165" t="s">
        <v>215</v>
      </c>
      <c r="AV49" s="165">
        <v>2000</v>
      </c>
      <c r="AW49" s="164">
        <v>2014</v>
      </c>
      <c r="AX49" s="164">
        <v>2371.3393124999998</v>
      </c>
    </row>
    <row r="50" spans="43:50" x14ac:dyDescent="0.3">
      <c r="AQ50" s="163" t="str">
        <f t="shared" si="6"/>
        <v>chum-L Gorge</v>
      </c>
      <c r="AR50" s="164" t="s">
        <v>208</v>
      </c>
      <c r="AS50" s="165" t="s">
        <v>26</v>
      </c>
      <c r="AT50" s="164" t="s">
        <v>211</v>
      </c>
      <c r="AU50" s="165" t="s">
        <v>215</v>
      </c>
      <c r="AV50" s="165">
        <v>2000</v>
      </c>
      <c r="AW50" s="164">
        <v>2015</v>
      </c>
      <c r="AX50" s="164">
        <v>5377.2128749999993</v>
      </c>
    </row>
    <row r="51" spans="43:50" x14ac:dyDescent="0.3">
      <c r="AQ51" s="163" t="str">
        <f t="shared" si="6"/>
        <v>chum-L Gorge</v>
      </c>
      <c r="AR51" s="164" t="s">
        <v>208</v>
      </c>
      <c r="AS51" s="165" t="s">
        <v>26</v>
      </c>
      <c r="AT51" s="164" t="s">
        <v>211</v>
      </c>
      <c r="AU51" s="165" t="s">
        <v>215</v>
      </c>
      <c r="AV51" s="165">
        <v>2000</v>
      </c>
      <c r="AW51" s="164">
        <v>2016</v>
      </c>
      <c r="AX51" s="164">
        <v>5719.1177500000003</v>
      </c>
    </row>
    <row r="52" spans="43:50" x14ac:dyDescent="0.3">
      <c r="AW52" t="s">
        <v>213</v>
      </c>
      <c r="AX52">
        <f>GEOMEAN(AX42:AX51)</f>
        <v>1786.5419124453822</v>
      </c>
    </row>
    <row r="53" spans="43:50" x14ac:dyDescent="0.3">
      <c r="AQ53" t="s">
        <v>280</v>
      </c>
    </row>
    <row r="54" spans="43:50" x14ac:dyDescent="0.3">
      <c r="AQ54" t="s">
        <v>163</v>
      </c>
      <c r="AR54" t="s">
        <v>202</v>
      </c>
      <c r="AS54" s="213" t="s">
        <v>223</v>
      </c>
      <c r="AT54" s="166" t="s">
        <v>281</v>
      </c>
      <c r="AU54" s="212" t="s">
        <v>282</v>
      </c>
    </row>
    <row r="55" spans="43:50" x14ac:dyDescent="0.3">
      <c r="AQ55" t="s">
        <v>284</v>
      </c>
      <c r="AR55" t="s">
        <v>283</v>
      </c>
      <c r="AS55" t="s">
        <v>274</v>
      </c>
      <c r="AT55">
        <v>2008</v>
      </c>
      <c r="AU55">
        <v>75</v>
      </c>
    </row>
    <row r="56" spans="43:50" ht="15" customHeight="1" x14ac:dyDescent="0.3">
      <c r="AQ56" t="s">
        <v>284</v>
      </c>
      <c r="AR56" t="s">
        <v>283</v>
      </c>
      <c r="AS56" t="s">
        <v>274</v>
      </c>
      <c r="AT56">
        <v>2009</v>
      </c>
      <c r="AU56">
        <v>109</v>
      </c>
    </row>
    <row r="57" spans="43:50" x14ac:dyDescent="0.3">
      <c r="AQ57" t="s">
        <v>284</v>
      </c>
      <c r="AR57" t="s">
        <v>283</v>
      </c>
      <c r="AS57" t="s">
        <v>274</v>
      </c>
      <c r="AT57">
        <v>2010</v>
      </c>
      <c r="AU57">
        <v>124</v>
      </c>
    </row>
    <row r="58" spans="43:50" x14ac:dyDescent="0.3">
      <c r="AQ58" t="s">
        <v>284</v>
      </c>
      <c r="AR58" t="s">
        <v>283</v>
      </c>
      <c r="AS58" t="s">
        <v>274</v>
      </c>
      <c r="AT58">
        <v>2011</v>
      </c>
      <c r="AU58">
        <v>50</v>
      </c>
    </row>
    <row r="59" spans="43:50" x14ac:dyDescent="0.3">
      <c r="AQ59" t="s">
        <v>284</v>
      </c>
      <c r="AR59" t="s">
        <v>283</v>
      </c>
      <c r="AS59" t="s">
        <v>274</v>
      </c>
      <c r="AT59">
        <v>2012</v>
      </c>
      <c r="AU59">
        <v>65</v>
      </c>
    </row>
    <row r="60" spans="43:50" x14ac:dyDescent="0.3">
      <c r="AQ60" t="s">
        <v>284</v>
      </c>
      <c r="AR60" t="s">
        <v>283</v>
      </c>
      <c r="AS60" t="s">
        <v>274</v>
      </c>
      <c r="AT60">
        <v>2013</v>
      </c>
      <c r="AU60">
        <v>167</v>
      </c>
    </row>
    <row r="61" spans="43:50" x14ac:dyDescent="0.3">
      <c r="AQ61" t="s">
        <v>284</v>
      </c>
      <c r="AR61" t="s">
        <v>283</v>
      </c>
      <c r="AS61" t="s">
        <v>274</v>
      </c>
      <c r="AT61">
        <v>2014</v>
      </c>
      <c r="AU61">
        <v>122</v>
      </c>
    </row>
    <row r="62" spans="43:50" ht="15" customHeight="1" x14ac:dyDescent="0.3">
      <c r="AQ62" t="s">
        <v>284</v>
      </c>
      <c r="AR62" t="s">
        <v>283</v>
      </c>
      <c r="AS62" t="s">
        <v>274</v>
      </c>
      <c r="AT62">
        <v>2015</v>
      </c>
      <c r="AU62">
        <v>176</v>
      </c>
    </row>
    <row r="63" spans="43:50" x14ac:dyDescent="0.3">
      <c r="AQ63" t="s">
        <v>284</v>
      </c>
      <c r="AR63" t="s">
        <v>283</v>
      </c>
      <c r="AS63" t="s">
        <v>274</v>
      </c>
      <c r="AT63">
        <v>2016</v>
      </c>
      <c r="AU63">
        <v>47</v>
      </c>
    </row>
    <row r="64" spans="43:50" ht="15" customHeight="1" x14ac:dyDescent="0.3">
      <c r="AQ64" t="s">
        <v>284</v>
      </c>
      <c r="AR64" t="s">
        <v>283</v>
      </c>
      <c r="AS64" t="s">
        <v>274</v>
      </c>
      <c r="AT64">
        <v>2017</v>
      </c>
      <c r="AU64">
        <v>21</v>
      </c>
    </row>
    <row r="65" spans="43:47" x14ac:dyDescent="0.3">
      <c r="AQ65" t="s">
        <v>284</v>
      </c>
      <c r="AR65" t="s">
        <v>283</v>
      </c>
      <c r="AS65" t="s">
        <v>274</v>
      </c>
      <c r="AT65" t="s">
        <v>213</v>
      </c>
      <c r="AU65">
        <f>GEOMEAN(AU55:AU64)</f>
        <v>80.662168443092014</v>
      </c>
    </row>
  </sheetData>
  <mergeCells count="21">
    <mergeCell ref="G2:K2"/>
    <mergeCell ref="M2:P2"/>
    <mergeCell ref="B4:B11"/>
    <mergeCell ref="B12:B19"/>
    <mergeCell ref="B20:B22"/>
    <mergeCell ref="B42:B44"/>
    <mergeCell ref="B34:B41"/>
    <mergeCell ref="B26:B33"/>
    <mergeCell ref="B2:D3"/>
    <mergeCell ref="E2:F2"/>
    <mergeCell ref="CJ29:CK29"/>
    <mergeCell ref="BW31:BW46"/>
    <mergeCell ref="BX31:BX32"/>
    <mergeCell ref="BX33:BX34"/>
    <mergeCell ref="BX35:BX36"/>
    <mergeCell ref="BX45:BX46"/>
    <mergeCell ref="BW29:BY30"/>
    <mergeCell ref="BZ29:CB29"/>
    <mergeCell ref="CC29:CE29"/>
    <mergeCell ref="CF29:CH29"/>
    <mergeCell ref="CI29:CI30"/>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S25"/>
  <sheetViews>
    <sheetView zoomScale="80" zoomScaleNormal="80" workbookViewId="0"/>
  </sheetViews>
  <sheetFormatPr defaultRowHeight="14.4" x14ac:dyDescent="0.3"/>
  <cols>
    <col min="3" max="3" width="14.6640625" customWidth="1"/>
    <col min="4" max="4" width="20.6640625" customWidth="1"/>
    <col min="6" max="6" width="9.88671875" bestFit="1" customWidth="1"/>
    <col min="7" max="7" width="10.5546875" customWidth="1"/>
    <col min="8" max="8" width="9.88671875" customWidth="1"/>
    <col min="9" max="9" width="10.44140625" customWidth="1"/>
  </cols>
  <sheetData>
    <row r="3" spans="2:17" ht="15" thickBot="1" x14ac:dyDescent="0.35"/>
    <row r="4" spans="2:17" ht="15" thickBot="1" x14ac:dyDescent="0.35">
      <c r="B4" s="332" t="s">
        <v>0</v>
      </c>
      <c r="C4" s="333"/>
      <c r="D4" s="334"/>
      <c r="E4" s="338" t="s">
        <v>42</v>
      </c>
      <c r="F4" s="339"/>
      <c r="G4" s="338" t="s">
        <v>1</v>
      </c>
      <c r="H4" s="340"/>
      <c r="I4" s="339"/>
      <c r="J4" s="338" t="s">
        <v>2</v>
      </c>
      <c r="K4" s="340"/>
      <c r="L4" s="340"/>
      <c r="M4" s="339"/>
    </row>
    <row r="5" spans="2:17" ht="31.2" thickBot="1" x14ac:dyDescent="0.35">
      <c r="B5" s="335"/>
      <c r="C5" s="336"/>
      <c r="D5" s="337"/>
      <c r="E5" s="1" t="s">
        <v>3</v>
      </c>
      <c r="F5" s="1" t="s">
        <v>112</v>
      </c>
      <c r="G5" s="1" t="s">
        <v>113</v>
      </c>
      <c r="H5" s="1" t="s">
        <v>43</v>
      </c>
      <c r="I5" s="1" t="s">
        <v>44</v>
      </c>
      <c r="J5" s="1" t="s">
        <v>45</v>
      </c>
      <c r="K5" s="1" t="s">
        <v>46</v>
      </c>
      <c r="L5" s="1" t="s">
        <v>47</v>
      </c>
      <c r="M5" s="1" t="s">
        <v>5</v>
      </c>
      <c r="Q5" s="34" t="s">
        <v>127</v>
      </c>
    </row>
    <row r="6" spans="2:17" ht="16.8" thickBot="1" x14ac:dyDescent="0.35">
      <c r="B6" s="329" t="s">
        <v>114</v>
      </c>
      <c r="C6" s="341" t="s">
        <v>9</v>
      </c>
      <c r="D6" s="2" t="s">
        <v>48</v>
      </c>
      <c r="E6" s="15">
        <v>0</v>
      </c>
      <c r="F6" s="19" t="s">
        <v>101</v>
      </c>
      <c r="G6" s="15">
        <v>0</v>
      </c>
      <c r="H6" s="22"/>
      <c r="I6" s="20" t="str">
        <f>+F6</f>
        <v>48%-70%</v>
      </c>
      <c r="J6" s="19" t="s">
        <v>29</v>
      </c>
      <c r="K6" s="19" t="s">
        <v>29</v>
      </c>
      <c r="L6" s="19" t="s">
        <v>29</v>
      </c>
      <c r="M6" s="19" t="s">
        <v>29</v>
      </c>
      <c r="Q6" s="30" t="s">
        <v>136</v>
      </c>
    </row>
    <row r="7" spans="2:17" ht="16.8" thickBot="1" x14ac:dyDescent="0.35">
      <c r="B7" s="330"/>
      <c r="C7" s="342"/>
      <c r="D7" s="2" t="s">
        <v>49</v>
      </c>
      <c r="E7" s="15">
        <v>0</v>
      </c>
      <c r="F7" s="15">
        <v>0</v>
      </c>
      <c r="G7" s="15">
        <v>0</v>
      </c>
      <c r="H7" s="22"/>
      <c r="I7" s="20" t="s">
        <v>102</v>
      </c>
      <c r="J7" s="19" t="s">
        <v>29</v>
      </c>
      <c r="K7" s="19" t="s">
        <v>29</v>
      </c>
      <c r="L7" s="19" t="s">
        <v>29</v>
      </c>
      <c r="M7" s="19" t="s">
        <v>29</v>
      </c>
      <c r="Q7" s="30" t="s">
        <v>137</v>
      </c>
    </row>
    <row r="8" spans="2:17" ht="16.8" thickBot="1" x14ac:dyDescent="0.35">
      <c r="B8" s="330"/>
      <c r="C8" s="342"/>
      <c r="D8" s="2" t="s">
        <v>50</v>
      </c>
      <c r="E8" s="15">
        <v>0.02</v>
      </c>
      <c r="F8" s="15" t="str">
        <f>+F6</f>
        <v>48%-70%</v>
      </c>
      <c r="G8" s="19" t="s">
        <v>105</v>
      </c>
      <c r="H8" s="22"/>
      <c r="I8" s="20" t="str">
        <f>+I6</f>
        <v>48%-70%</v>
      </c>
      <c r="J8" s="19" t="s">
        <v>29</v>
      </c>
      <c r="K8" s="19" t="s">
        <v>29</v>
      </c>
      <c r="L8" s="19" t="s">
        <v>29</v>
      </c>
      <c r="M8" s="19" t="s">
        <v>29</v>
      </c>
      <c r="Q8" s="30" t="s">
        <v>138</v>
      </c>
    </row>
    <row r="9" spans="2:17" ht="16.8" thickBot="1" x14ac:dyDescent="0.35">
      <c r="B9" s="331"/>
      <c r="C9" s="343"/>
      <c r="D9" s="2" t="s">
        <v>51</v>
      </c>
      <c r="E9" s="15">
        <v>0.02</v>
      </c>
      <c r="F9" s="15">
        <f>+F7</f>
        <v>0</v>
      </c>
      <c r="G9" s="15" t="str">
        <f>+G8</f>
        <v>&lt;9%</v>
      </c>
      <c r="H9" s="22"/>
      <c r="I9" s="20" t="str">
        <f>+I7</f>
        <v>&gt;60%</v>
      </c>
      <c r="J9" s="19" t="s">
        <v>29</v>
      </c>
      <c r="K9" s="19" t="s">
        <v>29</v>
      </c>
      <c r="L9" s="19" t="s">
        <v>29</v>
      </c>
      <c r="M9" s="19" t="s">
        <v>29</v>
      </c>
      <c r="Q9" s="33" t="s">
        <v>139</v>
      </c>
    </row>
    <row r="10" spans="2:17" ht="16.8" thickBot="1" x14ac:dyDescent="0.35">
      <c r="B10" s="329" t="s">
        <v>115</v>
      </c>
      <c r="C10" s="2" t="s">
        <v>52</v>
      </c>
      <c r="D10" s="16" t="s">
        <v>50</v>
      </c>
      <c r="E10" s="15">
        <v>0</v>
      </c>
      <c r="F10" s="19" t="s">
        <v>29</v>
      </c>
      <c r="G10" s="19" t="s">
        <v>29</v>
      </c>
      <c r="H10" s="19" t="s">
        <v>29</v>
      </c>
      <c r="I10" s="19" t="s">
        <v>29</v>
      </c>
      <c r="J10" s="19" t="s">
        <v>29</v>
      </c>
      <c r="K10" s="19" t="s">
        <v>29</v>
      </c>
      <c r="L10" s="19" t="s">
        <v>29</v>
      </c>
      <c r="M10" s="19" t="s">
        <v>29</v>
      </c>
      <c r="P10" s="21"/>
      <c r="Q10" s="33" t="s">
        <v>140</v>
      </c>
    </row>
    <row r="11" spans="2:17" ht="16.8" thickBot="1" x14ac:dyDescent="0.35">
      <c r="B11" s="330"/>
      <c r="C11" s="2"/>
      <c r="D11" s="17" t="s">
        <v>51</v>
      </c>
      <c r="E11" s="15">
        <v>0</v>
      </c>
      <c r="F11" s="19" t="s">
        <v>29</v>
      </c>
      <c r="G11" s="19" t="s">
        <v>29</v>
      </c>
      <c r="H11" s="19" t="s">
        <v>29</v>
      </c>
      <c r="I11" s="19" t="s">
        <v>29</v>
      </c>
      <c r="J11" s="19" t="s">
        <v>29</v>
      </c>
      <c r="K11" s="19" t="s">
        <v>29</v>
      </c>
      <c r="L11" s="19" t="s">
        <v>29</v>
      </c>
      <c r="M11" s="19" t="s">
        <v>29</v>
      </c>
      <c r="Q11" s="33" t="s">
        <v>141</v>
      </c>
    </row>
    <row r="12" spans="2:17" ht="16.8" thickBot="1" x14ac:dyDescent="0.35">
      <c r="B12" s="330"/>
      <c r="C12" s="2" t="s">
        <v>53</v>
      </c>
      <c r="D12" s="16" t="s">
        <v>50</v>
      </c>
      <c r="E12" s="15">
        <v>0</v>
      </c>
      <c r="F12" s="15">
        <v>0</v>
      </c>
      <c r="G12" s="19" t="s">
        <v>104</v>
      </c>
      <c r="H12" s="23"/>
      <c r="I12" s="23"/>
      <c r="J12" s="19" t="s">
        <v>29</v>
      </c>
      <c r="K12" s="19" t="s">
        <v>29</v>
      </c>
      <c r="L12" s="19" t="s">
        <v>29</v>
      </c>
      <c r="M12" s="19" t="s">
        <v>29</v>
      </c>
      <c r="Q12" s="33" t="s">
        <v>142</v>
      </c>
    </row>
    <row r="13" spans="2:17" ht="15" thickBot="1" x14ac:dyDescent="0.35">
      <c r="B13" s="330"/>
      <c r="C13" s="2"/>
      <c r="D13" s="17" t="s">
        <v>51</v>
      </c>
      <c r="E13" s="15">
        <v>0</v>
      </c>
      <c r="F13" s="15">
        <v>0</v>
      </c>
      <c r="G13" s="15" t="str">
        <f>+G12</f>
        <v>&lt;4%</v>
      </c>
      <c r="H13" s="23"/>
      <c r="I13" s="23"/>
      <c r="J13" s="19" t="s">
        <v>29</v>
      </c>
      <c r="K13" s="19" t="s">
        <v>29</v>
      </c>
      <c r="L13" s="19" t="s">
        <v>29</v>
      </c>
      <c r="M13" s="19" t="s">
        <v>29</v>
      </c>
    </row>
    <row r="14" spans="2:17" ht="15" thickBot="1" x14ac:dyDescent="0.35">
      <c r="B14" s="330"/>
      <c r="C14" s="2" t="s">
        <v>54</v>
      </c>
      <c r="D14" s="16" t="s">
        <v>50</v>
      </c>
      <c r="E14" s="15">
        <v>0</v>
      </c>
      <c r="F14" s="19" t="s">
        <v>29</v>
      </c>
      <c r="G14" s="19" t="s">
        <v>29</v>
      </c>
      <c r="H14" s="19" t="s">
        <v>29</v>
      </c>
      <c r="I14" s="19" t="s">
        <v>29</v>
      </c>
      <c r="J14" s="19" t="s">
        <v>29</v>
      </c>
      <c r="K14" s="19" t="s">
        <v>29</v>
      </c>
      <c r="L14" s="19" t="s">
        <v>29</v>
      </c>
      <c r="M14" s="19" t="s">
        <v>29</v>
      </c>
    </row>
    <row r="15" spans="2:17" ht="15" thickBot="1" x14ac:dyDescent="0.35">
      <c r="B15" s="330"/>
      <c r="C15" s="2"/>
      <c r="D15" s="17" t="s">
        <v>51</v>
      </c>
      <c r="E15" s="15">
        <v>0</v>
      </c>
      <c r="F15" s="19" t="s">
        <v>29</v>
      </c>
      <c r="G15" s="19" t="s">
        <v>29</v>
      </c>
      <c r="H15" s="19" t="s">
        <v>29</v>
      </c>
      <c r="I15" s="19" t="s">
        <v>29</v>
      </c>
      <c r="J15" s="19" t="s">
        <v>29</v>
      </c>
      <c r="K15" s="19" t="s">
        <v>29</v>
      </c>
      <c r="L15" s="19" t="s">
        <v>29</v>
      </c>
      <c r="M15" s="19" t="s">
        <v>29</v>
      </c>
    </row>
    <row r="16" spans="2:17" ht="15" thickBot="1" x14ac:dyDescent="0.35">
      <c r="B16" s="330"/>
      <c r="C16" s="2" t="s">
        <v>55</v>
      </c>
      <c r="D16" s="16" t="s">
        <v>50</v>
      </c>
      <c r="E16" s="15">
        <v>0</v>
      </c>
      <c r="F16" s="15">
        <v>0</v>
      </c>
      <c r="G16" s="15">
        <v>0</v>
      </c>
      <c r="H16" s="15">
        <v>0</v>
      </c>
      <c r="I16" s="15">
        <v>0</v>
      </c>
      <c r="J16" s="15">
        <v>0</v>
      </c>
      <c r="K16" s="15">
        <v>0</v>
      </c>
      <c r="L16" s="15">
        <v>0</v>
      </c>
      <c r="M16" s="19" t="s">
        <v>29</v>
      </c>
    </row>
    <row r="17" spans="2:19" ht="15" thickBot="1" x14ac:dyDescent="0.35">
      <c r="B17" s="330"/>
      <c r="C17" s="2"/>
      <c r="D17" s="17" t="s">
        <v>51</v>
      </c>
      <c r="E17" s="15">
        <v>0</v>
      </c>
      <c r="F17" s="15">
        <v>0</v>
      </c>
      <c r="G17" s="15">
        <v>0</v>
      </c>
      <c r="H17" s="15">
        <v>0</v>
      </c>
      <c r="I17" s="15">
        <v>0</v>
      </c>
      <c r="J17" s="15">
        <v>0</v>
      </c>
      <c r="K17" s="15">
        <v>0</v>
      </c>
      <c r="L17" s="15">
        <v>0</v>
      </c>
      <c r="M17" s="19" t="s">
        <v>29</v>
      </c>
    </row>
    <row r="18" spans="2:19" ht="15" thickBot="1" x14ac:dyDescent="0.35">
      <c r="B18" s="330"/>
      <c r="C18" s="2" t="s">
        <v>56</v>
      </c>
      <c r="D18" s="16" t="s">
        <v>50</v>
      </c>
      <c r="E18" s="15">
        <v>0.02</v>
      </c>
      <c r="F18" s="15" t="str">
        <f>+F6</f>
        <v>48%-70%</v>
      </c>
      <c r="G18" s="19" t="s">
        <v>100</v>
      </c>
      <c r="H18" s="23"/>
      <c r="I18" s="23"/>
      <c r="J18" s="23"/>
      <c r="K18" s="23"/>
      <c r="L18" s="23"/>
      <c r="M18" s="19" t="s">
        <v>29</v>
      </c>
    </row>
    <row r="19" spans="2:19" ht="15" thickBot="1" x14ac:dyDescent="0.35">
      <c r="B19" s="330"/>
      <c r="C19" s="2"/>
      <c r="D19" s="17" t="s">
        <v>51</v>
      </c>
      <c r="E19" s="15">
        <v>0.02</v>
      </c>
      <c r="F19" s="15" t="str">
        <f>+F6</f>
        <v>48%-70%</v>
      </c>
      <c r="G19" s="15" t="str">
        <f>+G18</f>
        <v>&lt;5%</v>
      </c>
      <c r="H19" s="23"/>
      <c r="I19" s="23"/>
      <c r="J19" s="23"/>
      <c r="K19" s="23"/>
      <c r="L19" s="23"/>
      <c r="M19" s="19" t="s">
        <v>29</v>
      </c>
    </row>
    <row r="20" spans="2:19" ht="15" thickBot="1" x14ac:dyDescent="0.35">
      <c r="B20" s="330"/>
      <c r="C20" s="2" t="s">
        <v>57</v>
      </c>
      <c r="D20" s="16" t="s">
        <v>50</v>
      </c>
      <c r="E20" s="15">
        <v>0</v>
      </c>
      <c r="F20" s="15">
        <v>0</v>
      </c>
      <c r="G20" s="19">
        <v>0</v>
      </c>
      <c r="H20" s="23"/>
      <c r="I20" s="23"/>
      <c r="J20" s="23"/>
      <c r="K20" s="23"/>
      <c r="L20" s="23"/>
      <c r="M20" s="19" t="s">
        <v>29</v>
      </c>
    </row>
    <row r="21" spans="2:19" ht="15" thickBot="1" x14ac:dyDescent="0.35">
      <c r="B21" s="330"/>
      <c r="C21" s="2"/>
      <c r="D21" s="17" t="s">
        <v>51</v>
      </c>
      <c r="E21" s="15">
        <v>0</v>
      </c>
      <c r="F21" s="15">
        <v>0</v>
      </c>
      <c r="G21" s="15">
        <f>+G20</f>
        <v>0</v>
      </c>
      <c r="H21" s="23"/>
      <c r="I21" s="23"/>
      <c r="J21" s="23"/>
      <c r="K21" s="23"/>
      <c r="L21" s="23"/>
      <c r="M21" s="19" t="s">
        <v>29</v>
      </c>
    </row>
    <row r="22" spans="2:19" ht="15" thickBot="1" x14ac:dyDescent="0.35">
      <c r="B22" s="330"/>
      <c r="C22" s="2" t="s">
        <v>58</v>
      </c>
      <c r="D22" s="16" t="s">
        <v>50</v>
      </c>
      <c r="E22" s="15">
        <v>0</v>
      </c>
      <c r="F22" s="15">
        <v>0</v>
      </c>
      <c r="G22" s="15">
        <v>0</v>
      </c>
      <c r="H22" s="15">
        <v>0</v>
      </c>
      <c r="I22" s="15">
        <v>0</v>
      </c>
      <c r="J22" s="15">
        <v>0</v>
      </c>
      <c r="K22" s="15">
        <v>0</v>
      </c>
      <c r="L22" s="15">
        <v>0</v>
      </c>
      <c r="M22" s="19" t="s">
        <v>29</v>
      </c>
    </row>
    <row r="23" spans="2:19" ht="15" thickBot="1" x14ac:dyDescent="0.35">
      <c r="B23" s="330"/>
      <c r="C23" s="18"/>
      <c r="D23" s="17" t="s">
        <v>51</v>
      </c>
      <c r="E23" s="15">
        <v>0</v>
      </c>
      <c r="F23" s="15">
        <v>0</v>
      </c>
      <c r="G23" s="15">
        <v>0</v>
      </c>
      <c r="H23" s="15">
        <v>0</v>
      </c>
      <c r="I23" s="15">
        <v>0</v>
      </c>
      <c r="J23" s="15">
        <v>0</v>
      </c>
      <c r="K23" s="15">
        <v>0</v>
      </c>
      <c r="L23" s="15">
        <v>0</v>
      </c>
      <c r="M23" s="19" t="s">
        <v>29</v>
      </c>
      <c r="Q23" t="s">
        <v>172</v>
      </c>
      <c r="S23">
        <v>0.02</v>
      </c>
    </row>
    <row r="24" spans="2:19" ht="15" thickBot="1" x14ac:dyDescent="0.35">
      <c r="B24" s="330"/>
      <c r="C24" s="18" t="s">
        <v>59</v>
      </c>
      <c r="D24" s="16" t="s">
        <v>50</v>
      </c>
      <c r="E24" s="15">
        <v>0</v>
      </c>
      <c r="F24" s="15">
        <v>0</v>
      </c>
      <c r="G24" s="15">
        <v>0</v>
      </c>
      <c r="H24" s="15">
        <v>0</v>
      </c>
      <c r="I24" s="15">
        <v>0</v>
      </c>
      <c r="J24" s="15">
        <v>0</v>
      </c>
      <c r="K24" s="15">
        <v>0</v>
      </c>
      <c r="L24" s="15">
        <v>0</v>
      </c>
      <c r="M24" s="19" t="s">
        <v>29</v>
      </c>
    </row>
    <row r="25" spans="2:19" ht="15" thickBot="1" x14ac:dyDescent="0.35">
      <c r="B25" s="331"/>
      <c r="C25" s="18"/>
      <c r="D25" s="17" t="s">
        <v>51</v>
      </c>
      <c r="E25" s="15">
        <v>0</v>
      </c>
      <c r="F25" s="15">
        <v>0</v>
      </c>
      <c r="G25" s="15">
        <v>0</v>
      </c>
      <c r="H25" s="15">
        <v>0</v>
      </c>
      <c r="I25" s="15">
        <v>0</v>
      </c>
      <c r="J25" s="15">
        <v>0</v>
      </c>
      <c r="K25" s="15">
        <v>0</v>
      </c>
      <c r="L25" s="15">
        <v>0</v>
      </c>
      <c r="M25" s="19" t="s">
        <v>29</v>
      </c>
    </row>
  </sheetData>
  <mergeCells count="7">
    <mergeCell ref="B10:B25"/>
    <mergeCell ref="B4:D5"/>
    <mergeCell ref="E4:F4"/>
    <mergeCell ref="G4:I4"/>
    <mergeCell ref="J4:M4"/>
    <mergeCell ref="B6:B9"/>
    <mergeCell ref="C6:C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7"/>
  <sheetViews>
    <sheetView zoomScaleNormal="100" workbookViewId="0"/>
  </sheetViews>
  <sheetFormatPr defaultRowHeight="14.4" x14ac:dyDescent="0.3"/>
  <cols>
    <col min="2" max="2" width="14.33203125" customWidth="1"/>
    <col min="3" max="3" width="11" customWidth="1"/>
    <col min="4" max="4" width="12" bestFit="1" customWidth="1"/>
    <col min="5" max="5" width="13.5546875" customWidth="1"/>
    <col min="6" max="6" width="16.109375" customWidth="1"/>
    <col min="8" max="8" width="10.88671875" customWidth="1"/>
    <col min="11" max="11" width="12.6640625" customWidth="1"/>
  </cols>
  <sheetData>
    <row r="1" spans="1:11" ht="15" thickBot="1" x14ac:dyDescent="0.35"/>
    <row r="2" spans="1:11" ht="15" thickBot="1" x14ac:dyDescent="0.35">
      <c r="B2" s="333"/>
      <c r="C2" s="334"/>
      <c r="D2" s="338" t="s">
        <v>42</v>
      </c>
      <c r="E2" s="339"/>
      <c r="F2" s="338" t="s">
        <v>2</v>
      </c>
      <c r="G2" s="340"/>
      <c r="H2" s="340"/>
      <c r="I2" s="13"/>
      <c r="J2" s="13"/>
      <c r="K2" s="14"/>
    </row>
    <row r="3" spans="1:11" ht="16.8" thickBot="1" x14ac:dyDescent="0.35">
      <c r="B3" s="336"/>
      <c r="C3" s="337"/>
      <c r="D3" s="1" t="s">
        <v>116</v>
      </c>
      <c r="E3" s="1" t="s">
        <v>109</v>
      </c>
      <c r="F3" s="1" t="s">
        <v>106</v>
      </c>
      <c r="G3" s="1" t="s">
        <v>60</v>
      </c>
      <c r="H3" s="1" t="s">
        <v>61</v>
      </c>
      <c r="I3" s="12" t="s">
        <v>96</v>
      </c>
      <c r="J3" s="7" t="s">
        <v>97</v>
      </c>
      <c r="K3" s="12" t="s">
        <v>98</v>
      </c>
    </row>
    <row r="4" spans="1:11" ht="15" customHeight="1" thickBot="1" x14ac:dyDescent="0.35">
      <c r="B4" s="341" t="s">
        <v>62</v>
      </c>
      <c r="C4" s="2" t="s">
        <v>63</v>
      </c>
      <c r="D4" s="10">
        <f>+Escape!E23/(1-'T2 Fishery'!E8)</f>
        <v>10166.326530612245</v>
      </c>
      <c r="E4" s="9" t="s">
        <v>110</v>
      </c>
      <c r="F4" s="2"/>
      <c r="G4" s="9"/>
      <c r="H4" s="2"/>
      <c r="I4" s="2"/>
      <c r="J4" s="2"/>
      <c r="K4" s="2"/>
    </row>
    <row r="5" spans="1:11" ht="15" thickBot="1" x14ac:dyDescent="0.35">
      <c r="A5" t="s">
        <v>195</v>
      </c>
      <c r="B5" s="343"/>
      <c r="C5" s="2" t="s">
        <v>64</v>
      </c>
      <c r="D5" s="10">
        <f>(D22+D23+D24+D25)/(1-'T2 Fishery'!E9)</f>
        <v>252.49112183097338</v>
      </c>
      <c r="E5" s="2">
        <v>0</v>
      </c>
      <c r="F5" s="9" t="s">
        <v>107</v>
      </c>
      <c r="G5" s="9" t="s">
        <v>29</v>
      </c>
      <c r="H5" s="2">
        <f>+H10+H11+H12+H13</f>
        <v>335</v>
      </c>
      <c r="I5" s="2"/>
      <c r="J5" s="2"/>
      <c r="K5" s="2"/>
    </row>
    <row r="6" spans="1:11" ht="15" thickBot="1" x14ac:dyDescent="0.35">
      <c r="B6" s="341" t="s">
        <v>65</v>
      </c>
      <c r="C6" s="2" t="s">
        <v>63</v>
      </c>
      <c r="D6" s="9" t="s">
        <v>29</v>
      </c>
      <c r="E6" s="9" t="s">
        <v>29</v>
      </c>
      <c r="F6" s="2"/>
      <c r="G6" s="9"/>
      <c r="H6" s="2"/>
      <c r="I6" s="2"/>
      <c r="J6" s="2"/>
      <c r="K6" s="2"/>
    </row>
    <row r="7" spans="1:11" ht="15" thickBot="1" x14ac:dyDescent="0.35">
      <c r="B7" s="343"/>
      <c r="C7" s="138" t="s">
        <v>64</v>
      </c>
      <c r="D7" s="139" t="s">
        <v>29</v>
      </c>
      <c r="E7" s="139" t="s">
        <v>29</v>
      </c>
      <c r="F7" s="138"/>
      <c r="G7" s="139"/>
      <c r="H7" s="138"/>
      <c r="I7" s="138"/>
      <c r="J7" s="138"/>
      <c r="K7" s="138"/>
    </row>
    <row r="8" spans="1:11" x14ac:dyDescent="0.3">
      <c r="B8" s="140"/>
      <c r="C8" s="140"/>
      <c r="D8" s="141">
        <f>D5/D4</f>
        <v>2.4836023225369257E-2</v>
      </c>
      <c r="E8" s="141"/>
      <c r="F8" s="140"/>
      <c r="G8" s="141"/>
      <c r="H8" s="140"/>
      <c r="I8" s="140"/>
      <c r="J8" s="140"/>
      <c r="K8" s="140"/>
    </row>
    <row r="9" spans="1:11" x14ac:dyDescent="0.3">
      <c r="B9" s="140"/>
      <c r="C9" s="140"/>
      <c r="D9" s="141"/>
      <c r="E9" s="141"/>
      <c r="F9" s="140"/>
      <c r="G9" s="141"/>
      <c r="H9" s="140"/>
      <c r="I9" s="140"/>
      <c r="J9" s="140"/>
      <c r="K9" s="140"/>
    </row>
    <row r="10" spans="1:11" x14ac:dyDescent="0.3">
      <c r="A10" t="s">
        <v>64</v>
      </c>
      <c r="B10" t="s">
        <v>10</v>
      </c>
      <c r="C10" s="140" t="s">
        <v>66</v>
      </c>
      <c r="D10" s="145">
        <v>154786.92250052025</v>
      </c>
      <c r="E10" s="140">
        <v>0</v>
      </c>
      <c r="F10" s="141" t="s">
        <v>108</v>
      </c>
      <c r="G10" s="141" t="s">
        <v>29</v>
      </c>
      <c r="H10" s="140">
        <v>150</v>
      </c>
      <c r="I10" s="140">
        <v>1</v>
      </c>
      <c r="J10" s="140">
        <v>150</v>
      </c>
      <c r="K10" s="141" t="s">
        <v>99</v>
      </c>
    </row>
    <row r="11" spans="1:11" x14ac:dyDescent="0.3">
      <c r="B11" t="s">
        <v>192</v>
      </c>
      <c r="C11" s="140" t="s">
        <v>66</v>
      </c>
      <c r="D11" s="146"/>
      <c r="E11" s="140">
        <v>0</v>
      </c>
      <c r="F11" s="147"/>
      <c r="G11" s="147"/>
      <c r="H11" s="147"/>
      <c r="I11" s="146"/>
      <c r="J11" s="146"/>
      <c r="K11" s="146"/>
    </row>
    <row r="12" spans="1:11" x14ac:dyDescent="0.3">
      <c r="B12" t="s">
        <v>193</v>
      </c>
      <c r="C12" s="140" t="s">
        <v>66</v>
      </c>
      <c r="D12" s="145">
        <v>105783.8656695812</v>
      </c>
      <c r="E12" s="140">
        <v>0</v>
      </c>
      <c r="F12" s="148">
        <v>110</v>
      </c>
      <c r="G12" s="141" t="s">
        <v>29</v>
      </c>
      <c r="H12" s="140">
        <v>85</v>
      </c>
      <c r="I12" s="140">
        <v>1</v>
      </c>
      <c r="J12" s="140">
        <v>85</v>
      </c>
      <c r="K12" s="141" t="s">
        <v>99</v>
      </c>
    </row>
    <row r="13" spans="1:11" x14ac:dyDescent="0.3">
      <c r="B13" t="s">
        <v>68</v>
      </c>
      <c r="C13" s="140" t="s">
        <v>66</v>
      </c>
      <c r="D13" s="145">
        <v>61528.446067538491</v>
      </c>
      <c r="E13" s="140">
        <v>0</v>
      </c>
      <c r="F13" s="141" t="s">
        <v>111</v>
      </c>
      <c r="G13" s="141" t="s">
        <v>29</v>
      </c>
      <c r="H13" s="140">
        <v>100</v>
      </c>
      <c r="I13" s="140">
        <v>1</v>
      </c>
      <c r="J13" s="140">
        <v>100</v>
      </c>
      <c r="K13" s="141" t="s">
        <v>99</v>
      </c>
    </row>
    <row r="14" spans="1:11" x14ac:dyDescent="0.3">
      <c r="C14" s="140"/>
      <c r="D14" s="149">
        <f>SUM(D10:D13)</f>
        <v>322099.23423763993</v>
      </c>
      <c r="E14" s="140"/>
      <c r="F14" s="141"/>
      <c r="G14" s="141"/>
      <c r="H14" s="140"/>
      <c r="I14" s="140"/>
      <c r="J14" s="140"/>
      <c r="K14" s="141"/>
    </row>
    <row r="16" spans="1:11" x14ac:dyDescent="0.3">
      <c r="B16" t="s">
        <v>10</v>
      </c>
      <c r="C16" s="140" t="s">
        <v>61</v>
      </c>
      <c r="D16" s="145">
        <v>178</v>
      </c>
      <c r="E16" s="140">
        <v>0</v>
      </c>
      <c r="F16" s="140"/>
      <c r="G16" s="141"/>
      <c r="H16" s="140"/>
      <c r="I16" s="140"/>
      <c r="J16" s="140"/>
      <c r="K16" s="140"/>
    </row>
    <row r="17" spans="2:11" x14ac:dyDescent="0.3">
      <c r="B17" t="s">
        <v>192</v>
      </c>
      <c r="C17" s="140" t="s">
        <v>61</v>
      </c>
      <c r="D17" s="146"/>
      <c r="E17" s="140">
        <v>0</v>
      </c>
      <c r="F17" s="140"/>
      <c r="G17" s="141"/>
      <c r="H17" s="140"/>
      <c r="I17" s="140"/>
      <c r="J17" s="140"/>
      <c r="K17" s="140"/>
    </row>
    <row r="18" spans="2:11" x14ac:dyDescent="0.3">
      <c r="B18" t="s">
        <v>193</v>
      </c>
      <c r="C18" s="140" t="s">
        <v>61</v>
      </c>
      <c r="D18" s="145">
        <v>88.08827335556191</v>
      </c>
      <c r="E18" s="140">
        <v>0</v>
      </c>
      <c r="F18" s="140"/>
      <c r="G18" s="141"/>
      <c r="H18" s="140"/>
      <c r="I18" s="140"/>
      <c r="J18" s="140"/>
      <c r="K18" s="140"/>
    </row>
    <row r="19" spans="2:11" x14ac:dyDescent="0.3">
      <c r="B19" t="s">
        <v>68</v>
      </c>
      <c r="C19" s="140" t="s">
        <v>61</v>
      </c>
      <c r="D19" s="145">
        <v>53.670798842002455</v>
      </c>
      <c r="E19" s="140">
        <v>0</v>
      </c>
      <c r="F19" s="140"/>
      <c r="G19" s="141"/>
      <c r="H19" s="140"/>
      <c r="I19" s="140"/>
      <c r="J19" s="140"/>
      <c r="K19" s="140"/>
    </row>
    <row r="20" spans="2:11" x14ac:dyDescent="0.3">
      <c r="D20" s="149">
        <f>SUM(D16:D19)</f>
        <v>319.75907219756436</v>
      </c>
    </row>
    <row r="22" spans="2:11" x14ac:dyDescent="0.3">
      <c r="B22" t="s">
        <v>10</v>
      </c>
      <c r="C22" s="140" t="s">
        <v>67</v>
      </c>
      <c r="D22" s="145">
        <v>215.239082907582</v>
      </c>
      <c r="E22" s="140">
        <v>0</v>
      </c>
      <c r="F22" s="140"/>
      <c r="G22" s="141"/>
      <c r="H22" s="140"/>
      <c r="I22" s="140"/>
      <c r="J22" s="140"/>
      <c r="K22" s="140"/>
    </row>
    <row r="23" spans="2:11" x14ac:dyDescent="0.3">
      <c r="B23" t="s">
        <v>192</v>
      </c>
      <c r="C23" s="140" t="s">
        <v>67</v>
      </c>
      <c r="D23" s="146"/>
      <c r="E23" s="140">
        <v>0</v>
      </c>
      <c r="F23" s="140"/>
      <c r="G23" s="141"/>
      <c r="H23" s="140"/>
      <c r="I23" s="140"/>
      <c r="J23" s="140"/>
      <c r="K23" s="140"/>
    </row>
    <row r="24" spans="2:11" x14ac:dyDescent="0.3">
      <c r="B24" t="s">
        <v>193</v>
      </c>
      <c r="C24" s="140" t="s">
        <v>67</v>
      </c>
      <c r="D24" s="145">
        <v>22</v>
      </c>
      <c r="E24" s="140">
        <v>0</v>
      </c>
      <c r="F24" s="140"/>
      <c r="G24" s="141"/>
      <c r="H24" s="140"/>
      <c r="I24" s="140"/>
      <c r="J24" s="140"/>
      <c r="K24" s="140"/>
    </row>
    <row r="25" spans="2:11" x14ac:dyDescent="0.3">
      <c r="B25" t="s">
        <v>68</v>
      </c>
      <c r="C25" s="140" t="s">
        <v>67</v>
      </c>
      <c r="D25" s="145">
        <v>10.202216486771906</v>
      </c>
      <c r="E25" s="140">
        <v>0</v>
      </c>
      <c r="F25" s="140"/>
      <c r="G25" s="141"/>
      <c r="H25" s="140"/>
      <c r="I25" s="140"/>
      <c r="J25" s="140"/>
      <c r="K25" s="140"/>
    </row>
    <row r="26" spans="2:11" x14ac:dyDescent="0.3">
      <c r="D26" s="149">
        <f>SUM(D22:D25)</f>
        <v>247.4412993943539</v>
      </c>
    </row>
    <row r="30" spans="2:11" x14ac:dyDescent="0.3">
      <c r="C30" t="s">
        <v>197</v>
      </c>
      <c r="D30">
        <v>600000</v>
      </c>
      <c r="F30" t="s">
        <v>198</v>
      </c>
      <c r="G30">
        <v>2E-3</v>
      </c>
    </row>
    <row r="31" spans="2:11" x14ac:dyDescent="0.3">
      <c r="C31" t="s">
        <v>198</v>
      </c>
      <c r="D31" t="s">
        <v>199</v>
      </c>
      <c r="F31" t="s">
        <v>197</v>
      </c>
      <c r="G31" t="s">
        <v>200</v>
      </c>
    </row>
    <row r="32" spans="2:11" x14ac:dyDescent="0.3">
      <c r="C32">
        <v>2E-3</v>
      </c>
      <c r="D32">
        <f>C32*D30</f>
        <v>1200</v>
      </c>
      <c r="F32" s="57">
        <v>150000</v>
      </c>
      <c r="G32">
        <f>F32*G$30</f>
        <v>300</v>
      </c>
    </row>
    <row r="33" spans="3:7" x14ac:dyDescent="0.3">
      <c r="C33">
        <v>2.0000000000000001E-4</v>
      </c>
      <c r="D33">
        <f>D30*C33</f>
        <v>120</v>
      </c>
      <c r="F33" s="57">
        <v>300000</v>
      </c>
      <c r="G33">
        <f t="shared" ref="G33:G34" si="0">F33*G$30</f>
        <v>600</v>
      </c>
    </row>
    <row r="34" spans="3:7" x14ac:dyDescent="0.3">
      <c r="F34" s="57">
        <v>600000</v>
      </c>
      <c r="G34">
        <f t="shared" si="0"/>
        <v>1200</v>
      </c>
    </row>
    <row r="116" spans="14:15" x14ac:dyDescent="0.3">
      <c r="N116" s="166"/>
      <c r="O116" s="166"/>
    </row>
    <row r="117" spans="14:15" x14ac:dyDescent="0.3">
      <c r="O117" s="57"/>
    </row>
    <row r="118" spans="14:15" x14ac:dyDescent="0.3">
      <c r="O118" s="57"/>
    </row>
    <row r="119" spans="14:15" x14ac:dyDescent="0.3">
      <c r="O119" s="57"/>
    </row>
    <row r="120" spans="14:15" x14ac:dyDescent="0.3">
      <c r="O120" s="57"/>
    </row>
    <row r="121" spans="14:15" x14ac:dyDescent="0.3">
      <c r="O121" s="57"/>
    </row>
    <row r="122" spans="14:15" x14ac:dyDescent="0.3">
      <c r="O122" s="57"/>
    </row>
    <row r="123" spans="14:15" x14ac:dyDescent="0.3">
      <c r="O123" s="57"/>
    </row>
    <row r="124" spans="14:15" x14ac:dyDescent="0.3">
      <c r="O124" s="57"/>
    </row>
    <row r="125" spans="14:15" x14ac:dyDescent="0.3">
      <c r="O125" s="57"/>
    </row>
    <row r="126" spans="14:15" x14ac:dyDescent="0.3">
      <c r="O126" s="57"/>
    </row>
    <row r="127" spans="14:15" x14ac:dyDescent="0.3">
      <c r="O127" s="57"/>
    </row>
  </sheetData>
  <mergeCells count="5">
    <mergeCell ref="B2:C3"/>
    <mergeCell ref="D2:E2"/>
    <mergeCell ref="F2:H2"/>
    <mergeCell ref="B4:B5"/>
    <mergeCell ref="B6:B7"/>
  </mergeCells>
  <pageMargins left="0.7" right="0.7" top="0.75" bottom="0.75" header="0.3" footer="0.3"/>
  <pageSetup orientation="portrait" horizontalDpi="4294967293" verticalDpi="4294967293"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E4"/>
  <sheetViews>
    <sheetView workbookViewId="0"/>
  </sheetViews>
  <sheetFormatPr defaultRowHeight="14.4" x14ac:dyDescent="0.3"/>
  <cols>
    <col min="2" max="2" width="17.44140625" customWidth="1"/>
    <col min="3" max="3" width="30.33203125" customWidth="1"/>
  </cols>
  <sheetData>
    <row r="2" spans="2:5" x14ac:dyDescent="0.3">
      <c r="B2" t="s">
        <v>20</v>
      </c>
      <c r="C2" t="s">
        <v>16</v>
      </c>
      <c r="D2" t="s">
        <v>18</v>
      </c>
      <c r="E2" t="s">
        <v>14</v>
      </c>
    </row>
    <row r="3" spans="2:5" x14ac:dyDescent="0.3">
      <c r="B3" t="s">
        <v>15</v>
      </c>
      <c r="C3" t="s">
        <v>17</v>
      </c>
      <c r="D3" t="s">
        <v>19</v>
      </c>
    </row>
    <row r="4" spans="2:5" x14ac:dyDescent="0.3">
      <c r="B4" t="s">
        <v>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X83"/>
  <sheetViews>
    <sheetView tabSelected="1" workbookViewId="0">
      <selection activeCell="S25" sqref="S25"/>
    </sheetView>
  </sheetViews>
  <sheetFormatPr defaultRowHeight="14.4" x14ac:dyDescent="0.3"/>
  <cols>
    <col min="1" max="1" width="5" customWidth="1"/>
    <col min="2" max="2" width="8.88671875" style="6"/>
    <col min="4" max="4" width="3.21875" customWidth="1"/>
    <col min="17" max="17" width="6.6640625" customWidth="1"/>
    <col min="18" max="18" width="12.5546875" customWidth="1"/>
    <col min="19" max="19" width="11.88671875" customWidth="1"/>
    <col min="20" max="20" width="10.88671875" customWidth="1"/>
    <col min="21" max="21" width="12" customWidth="1"/>
    <col min="23" max="23" width="6.6640625" customWidth="1"/>
    <col min="24" max="24" width="14" customWidth="1"/>
    <col min="25" max="25" width="11.44140625" customWidth="1"/>
    <col min="26" max="26" width="13" customWidth="1"/>
    <col min="27" max="27" width="15.6640625" customWidth="1"/>
    <col min="28" max="28" width="11.33203125" customWidth="1"/>
    <col min="29" max="29" width="10.109375" customWidth="1"/>
    <col min="30" max="32" width="11" customWidth="1"/>
    <col min="33" max="33" width="7.109375" customWidth="1"/>
    <col min="34" max="34" width="11" customWidth="1"/>
    <col min="35" max="35" width="6" customWidth="1"/>
    <col min="36" max="36" width="8.44140625" customWidth="1"/>
    <col min="37" max="37" width="7.6640625" customWidth="1"/>
    <col min="38" max="38" width="6.33203125" customWidth="1"/>
    <col min="39" max="39" width="7.6640625" customWidth="1"/>
    <col min="40" max="40" width="9.109375" customWidth="1"/>
    <col min="41" max="41" width="13" customWidth="1"/>
    <col min="42" max="42" width="6.6640625" customWidth="1"/>
    <col min="43" max="44" width="12.44140625" customWidth="1"/>
    <col min="45" max="45" width="14.88671875" customWidth="1"/>
    <col min="46" max="46" width="10" customWidth="1"/>
    <col min="47" max="47" width="10.88671875" customWidth="1"/>
    <col min="50" max="51" width="17.33203125" customWidth="1"/>
    <col min="52" max="52" width="9.109375" customWidth="1"/>
    <col min="57" max="57" width="17.109375" customWidth="1"/>
    <col min="58" max="58" width="16.88671875" customWidth="1"/>
    <col min="59" max="59" width="12" customWidth="1"/>
    <col min="61" max="61" width="10" customWidth="1"/>
    <col min="62" max="62" width="19.88671875" customWidth="1"/>
    <col min="63" max="63" width="17" customWidth="1"/>
    <col min="64" max="64" width="10.88671875" customWidth="1"/>
    <col min="65" max="65" width="12.44140625" customWidth="1"/>
    <col min="66" max="66" width="15.109375" style="6" customWidth="1"/>
    <col min="67" max="68" width="12.44140625" style="6" customWidth="1"/>
    <col min="69" max="69" width="10.5546875" customWidth="1"/>
    <col min="70" max="70" width="11.109375" customWidth="1"/>
    <col min="71" max="71" width="10.88671875" style="6" customWidth="1"/>
    <col min="72" max="72" width="6.6640625" customWidth="1"/>
    <col min="73" max="73" width="14.109375" customWidth="1"/>
    <col min="74" max="74" width="7.5546875" customWidth="1"/>
    <col min="75" max="75" width="15" customWidth="1"/>
    <col min="80" max="81" width="9.5546875" customWidth="1"/>
    <col min="82" max="82" width="9.5546875" style="132" customWidth="1"/>
    <col min="83" max="83" width="11.44140625" customWidth="1"/>
    <col min="87" max="87" width="12.44140625" customWidth="1"/>
  </cols>
  <sheetData>
    <row r="2" spans="2:102" x14ac:dyDescent="0.3">
      <c r="C2" t="s">
        <v>402</v>
      </c>
    </row>
    <row r="3" spans="2:102" ht="15" thickBot="1" x14ac:dyDescent="0.35">
      <c r="E3" t="s">
        <v>10</v>
      </c>
      <c r="BI3" s="29" t="s">
        <v>117</v>
      </c>
    </row>
    <row r="4" spans="2:102" ht="15" thickBot="1" x14ac:dyDescent="0.35">
      <c r="B4" s="59">
        <v>1938</v>
      </c>
      <c r="C4" s="61">
        <v>157</v>
      </c>
      <c r="D4" s="61"/>
      <c r="E4" s="61" t="s">
        <v>403</v>
      </c>
      <c r="F4" s="61"/>
      <c r="BI4" s="312" t="s">
        <v>0</v>
      </c>
      <c r="BJ4" s="313"/>
      <c r="BK4" s="314"/>
      <c r="BL4" s="318" t="s">
        <v>76</v>
      </c>
      <c r="BM4" s="320"/>
      <c r="BN4" s="318" t="s">
        <v>1</v>
      </c>
      <c r="BO4" s="319"/>
      <c r="BP4" s="319"/>
      <c r="BQ4" s="319"/>
      <c r="BR4" s="320"/>
      <c r="BT4" s="318" t="s">
        <v>2</v>
      </c>
      <c r="BU4" s="319"/>
      <c r="BV4" s="319"/>
      <c r="BW4" s="320"/>
      <c r="BY4" t="s">
        <v>162</v>
      </c>
      <c r="CG4" s="27"/>
    </row>
    <row r="5" spans="2:102" ht="38.4" thickBot="1" x14ac:dyDescent="0.35">
      <c r="B5" s="59">
        <v>1939</v>
      </c>
      <c r="C5" s="61">
        <v>96.3</v>
      </c>
      <c r="D5" s="61"/>
      <c r="E5" s="61"/>
      <c r="F5" s="61"/>
      <c r="Q5" s="351" t="s">
        <v>368</v>
      </c>
      <c r="R5" s="351"/>
      <c r="S5" s="351"/>
      <c r="T5" s="351"/>
      <c r="U5" s="351"/>
      <c r="W5" s="344" t="s">
        <v>348</v>
      </c>
      <c r="X5" s="344"/>
      <c r="Y5" s="344"/>
      <c r="Z5" s="344"/>
      <c r="AA5" s="344"/>
      <c r="AB5" s="344"/>
      <c r="AC5" s="344"/>
      <c r="AD5" s="344"/>
      <c r="AE5" s="344"/>
      <c r="AF5" s="344"/>
      <c r="AG5" s="344"/>
      <c r="AH5" s="344"/>
      <c r="AI5" s="344"/>
      <c r="AJ5" s="344"/>
      <c r="AK5" s="344"/>
      <c r="AL5" s="344"/>
      <c r="AM5" s="344"/>
      <c r="AN5" s="219"/>
      <c r="AP5" s="353" t="s">
        <v>360</v>
      </c>
      <c r="AQ5" s="353"/>
      <c r="AR5" s="353"/>
      <c r="AS5" s="353"/>
      <c r="AT5" s="353"/>
      <c r="AU5" s="353"/>
      <c r="AX5" s="344" t="s">
        <v>346</v>
      </c>
      <c r="AY5" s="344"/>
      <c r="AZ5" s="344"/>
      <c r="BA5" s="344"/>
      <c r="BB5" s="344"/>
      <c r="BD5" s="344" t="s">
        <v>345</v>
      </c>
      <c r="BE5" s="344"/>
      <c r="BF5" s="344"/>
      <c r="BG5" s="344"/>
      <c r="BI5" s="315"/>
      <c r="BJ5" s="325"/>
      <c r="BK5" s="326"/>
      <c r="BL5" s="3" t="s">
        <v>77</v>
      </c>
      <c r="BM5" s="3" t="s">
        <v>78</v>
      </c>
      <c r="BN5" s="8" t="s">
        <v>89</v>
      </c>
      <c r="BO5" s="32" t="s">
        <v>128</v>
      </c>
      <c r="BP5" s="32" t="s">
        <v>177</v>
      </c>
      <c r="BQ5" s="3" t="s">
        <v>79</v>
      </c>
      <c r="BR5" s="3" t="s">
        <v>80</v>
      </c>
      <c r="BS5" s="32" t="s">
        <v>134</v>
      </c>
      <c r="BT5" s="3" t="s">
        <v>4</v>
      </c>
      <c r="BU5" s="3" t="s">
        <v>81</v>
      </c>
      <c r="BV5" s="3" t="s">
        <v>5</v>
      </c>
      <c r="BW5" s="3" t="s">
        <v>6</v>
      </c>
      <c r="BY5" s="32" t="s">
        <v>151</v>
      </c>
      <c r="BZ5" s="32" t="s">
        <v>152</v>
      </c>
      <c r="CA5" s="32" t="s">
        <v>130</v>
      </c>
      <c r="CB5" s="24" t="s">
        <v>152</v>
      </c>
      <c r="CC5" s="24" t="s">
        <v>130</v>
      </c>
      <c r="CD5" s="133"/>
      <c r="CE5" s="31" t="s">
        <v>127</v>
      </c>
      <c r="CF5" s="24"/>
      <c r="CG5" s="24"/>
      <c r="CH5" s="24"/>
      <c r="CI5" s="24"/>
      <c r="CX5" t="s">
        <v>361</v>
      </c>
    </row>
    <row r="6" spans="2:102" ht="16.8" thickBot="1" x14ac:dyDescent="0.35">
      <c r="B6" s="59">
        <v>1940</v>
      </c>
      <c r="C6" s="61">
        <v>102.8</v>
      </c>
      <c r="D6" s="61"/>
      <c r="E6" s="61"/>
      <c r="F6" s="61"/>
      <c r="Q6" s="348" t="s">
        <v>367</v>
      </c>
      <c r="R6" s="349"/>
      <c r="S6" s="349"/>
      <c r="T6" s="349"/>
      <c r="U6" s="350"/>
      <c r="W6" s="345" t="s">
        <v>351</v>
      </c>
      <c r="X6" s="346"/>
      <c r="Y6" s="346"/>
      <c r="Z6" s="346"/>
      <c r="AA6" s="346"/>
      <c r="AB6" s="346"/>
      <c r="AC6" s="346"/>
      <c r="AD6" s="346"/>
      <c r="AE6" s="346"/>
      <c r="AF6" s="346"/>
      <c r="AG6" s="346"/>
      <c r="AH6" s="346"/>
      <c r="AI6" s="346"/>
      <c r="AJ6" s="346"/>
      <c r="AK6" s="346"/>
      <c r="AL6" s="346"/>
      <c r="AM6" s="346"/>
      <c r="AN6" s="347"/>
      <c r="AP6" s="345" t="s">
        <v>359</v>
      </c>
      <c r="AQ6" s="346"/>
      <c r="AR6" s="346"/>
      <c r="AS6" s="346"/>
      <c r="AT6" s="346"/>
      <c r="AU6" s="347"/>
      <c r="BG6" s="166" t="s">
        <v>3</v>
      </c>
      <c r="BI6" s="327" t="s">
        <v>13</v>
      </c>
      <c r="BJ6" s="78" t="s">
        <v>10</v>
      </c>
      <c r="BK6" s="79" t="s">
        <v>7</v>
      </c>
      <c r="BL6" s="80">
        <v>6187</v>
      </c>
      <c r="BM6" s="80">
        <v>10174</v>
      </c>
      <c r="BN6" s="81" t="s">
        <v>73</v>
      </c>
      <c r="BO6">
        <v>1400</v>
      </c>
      <c r="BP6">
        <v>1000</v>
      </c>
      <c r="BQ6" s="80">
        <v>1569</v>
      </c>
      <c r="BR6" s="80">
        <v>5576</v>
      </c>
      <c r="BS6" s="6" t="s">
        <v>133</v>
      </c>
      <c r="BT6" s="80">
        <v>1600</v>
      </c>
      <c r="BU6" s="82" t="s">
        <v>69</v>
      </c>
      <c r="BV6" s="79" t="s">
        <v>29</v>
      </c>
      <c r="BW6" s="83" t="str">
        <f>+BU6</f>
        <v>1,600-5,576</v>
      </c>
      <c r="BY6" s="57">
        <f t="shared" ref="BY6:BY12" si="0">BT6</f>
        <v>1600</v>
      </c>
      <c r="BZ6">
        <f t="shared" ref="BZ6:BZ8" si="1">BY6+((CA6-BY6)/2)</f>
        <v>2400</v>
      </c>
      <c r="CA6">
        <f t="shared" ref="CA6:CA8" si="2">BY6*2</f>
        <v>3200</v>
      </c>
      <c r="CB6">
        <f>(BY6+CC6)/2</f>
        <v>3200</v>
      </c>
      <c r="CC6">
        <f>BY6*3</f>
        <v>4800</v>
      </c>
      <c r="CD6" s="134">
        <f>CA6/BY6</f>
        <v>2</v>
      </c>
      <c r="CE6" s="30" t="s">
        <v>118</v>
      </c>
      <c r="CI6" s="28"/>
    </row>
    <row r="7" spans="2:102" ht="15.75" customHeight="1" x14ac:dyDescent="0.3">
      <c r="B7" s="59">
        <v>1941</v>
      </c>
      <c r="C7" s="61">
        <v>340.1</v>
      </c>
      <c r="D7" s="61"/>
      <c r="E7" s="61"/>
      <c r="F7" s="61"/>
      <c r="R7" s="166" t="s">
        <v>63</v>
      </c>
      <c r="S7" s="166" t="s">
        <v>363</v>
      </c>
      <c r="T7" s="166" t="s">
        <v>364</v>
      </c>
      <c r="U7" s="166" t="s">
        <v>353</v>
      </c>
      <c r="W7" s="157" t="s">
        <v>206</v>
      </c>
      <c r="X7" s="218" t="s">
        <v>210</v>
      </c>
      <c r="Y7" s="218" t="s">
        <v>209</v>
      </c>
      <c r="Z7" s="218" t="s">
        <v>273</v>
      </c>
      <c r="AA7" s="220" t="s">
        <v>284</v>
      </c>
      <c r="AB7" s="218" t="s">
        <v>91</v>
      </c>
      <c r="AC7" s="218" t="s">
        <v>347</v>
      </c>
      <c r="AD7" s="218" t="s">
        <v>92</v>
      </c>
      <c r="AE7" s="218" t="s">
        <v>93</v>
      </c>
      <c r="AF7" s="218" t="s">
        <v>94</v>
      </c>
      <c r="AG7" s="218" t="s">
        <v>95</v>
      </c>
      <c r="AH7" s="218" t="s">
        <v>11</v>
      </c>
      <c r="AI7" s="218" t="s">
        <v>12</v>
      </c>
      <c r="AJ7" s="218" t="s">
        <v>22</v>
      </c>
      <c r="AK7" s="218" t="s">
        <v>23</v>
      </c>
      <c r="AL7" s="218" t="s">
        <v>24</v>
      </c>
      <c r="AM7" s="218" t="s">
        <v>25</v>
      </c>
      <c r="AN7" s="218" t="s">
        <v>9</v>
      </c>
      <c r="AO7" s="166"/>
      <c r="AR7" s="166" t="s">
        <v>352</v>
      </c>
      <c r="AS7" s="166" t="s">
        <v>353</v>
      </c>
      <c r="AT7" s="166" t="s">
        <v>283</v>
      </c>
      <c r="AU7" s="166" t="s">
        <v>9</v>
      </c>
      <c r="AX7" s="162" t="s">
        <v>148</v>
      </c>
      <c r="AY7" s="161" t="s">
        <v>204</v>
      </c>
      <c r="AZ7" s="162" t="s">
        <v>206</v>
      </c>
      <c r="BA7" s="162" t="s">
        <v>207</v>
      </c>
      <c r="BB7" s="162" t="s">
        <v>342</v>
      </c>
      <c r="BD7" s="58" t="s">
        <v>0</v>
      </c>
      <c r="BE7" s="58" t="s">
        <v>148</v>
      </c>
      <c r="BF7" s="58" t="s">
        <v>343</v>
      </c>
      <c r="BG7" s="218" t="s">
        <v>145</v>
      </c>
      <c r="BI7" s="328"/>
      <c r="BJ7" s="84" t="s">
        <v>11</v>
      </c>
      <c r="BK7" s="67" t="s">
        <v>7</v>
      </c>
      <c r="BL7" s="4">
        <v>50</v>
      </c>
      <c r="BM7" s="4">
        <f>7821+8499</f>
        <v>16320</v>
      </c>
      <c r="BN7" s="73" t="s">
        <v>73</v>
      </c>
      <c r="BO7">
        <v>1400</v>
      </c>
      <c r="BP7">
        <v>1000</v>
      </c>
      <c r="BQ7" s="4">
        <f>515+1125</f>
        <v>1640</v>
      </c>
      <c r="BR7" s="4">
        <f>2619+3269</f>
        <v>5888</v>
      </c>
      <c r="BS7" s="6" t="s">
        <v>130</v>
      </c>
      <c r="BT7" s="4">
        <v>1300</v>
      </c>
      <c r="BU7" s="74" t="s">
        <v>30</v>
      </c>
      <c r="BV7" s="67" t="s">
        <v>29</v>
      </c>
      <c r="BW7" s="11" t="str">
        <f>+BU7</f>
        <v>1,300-5,888</v>
      </c>
      <c r="BY7" s="57">
        <f t="shared" si="0"/>
        <v>1300</v>
      </c>
      <c r="BZ7">
        <f t="shared" si="1"/>
        <v>1950</v>
      </c>
      <c r="CA7">
        <f t="shared" si="2"/>
        <v>2600</v>
      </c>
      <c r="CB7">
        <f t="shared" ref="CB7:CB23" si="3">(BY7+CC7)/2</f>
        <v>2600</v>
      </c>
      <c r="CC7">
        <f t="shared" ref="CC7:CC23" si="4">BY7*3</f>
        <v>3900</v>
      </c>
      <c r="CD7" s="134">
        <f t="shared" ref="CD7:CD23" si="5">CA7/BY7</f>
        <v>2</v>
      </c>
      <c r="CE7" s="30" t="s">
        <v>119</v>
      </c>
    </row>
    <row r="8" spans="2:102" ht="16.2" x14ac:dyDescent="0.3">
      <c r="B8" s="59">
        <v>1942</v>
      </c>
      <c r="C8" s="61">
        <v>425.5</v>
      </c>
      <c r="D8" s="61"/>
      <c r="E8" s="61"/>
      <c r="F8" s="61"/>
      <c r="Q8" s="157" t="s">
        <v>206</v>
      </c>
      <c r="R8" s="218" t="s">
        <v>350</v>
      </c>
      <c r="S8" s="218" t="s">
        <v>358</v>
      </c>
      <c r="T8" s="218" t="s">
        <v>365</v>
      </c>
      <c r="U8" s="157" t="s">
        <v>366</v>
      </c>
      <c r="W8" s="6">
        <v>2007</v>
      </c>
      <c r="X8" s="57">
        <f t="shared" ref="X8:X17" si="6">BA28</f>
        <v>4133.0923750000002</v>
      </c>
      <c r="Y8" s="57">
        <f t="shared" ref="Y8:Y17" si="7">BA13</f>
        <v>576.09693749999997</v>
      </c>
      <c r="Z8" s="57">
        <f t="shared" ref="Z8:Z17" si="8">BA43</f>
        <v>510.23081250000001</v>
      </c>
      <c r="AA8" s="57">
        <v>142</v>
      </c>
      <c r="AB8" s="57">
        <v>15</v>
      </c>
      <c r="AC8" s="57">
        <v>299</v>
      </c>
      <c r="AD8" s="57">
        <v>3</v>
      </c>
      <c r="AE8" s="57">
        <v>0</v>
      </c>
      <c r="AF8" s="57">
        <v>0</v>
      </c>
      <c r="AG8" s="57">
        <v>0</v>
      </c>
      <c r="AH8" s="57">
        <v>50</v>
      </c>
      <c r="AI8" s="57">
        <v>50</v>
      </c>
      <c r="AJ8" s="57">
        <v>50</v>
      </c>
      <c r="AK8" s="57">
        <v>50</v>
      </c>
      <c r="AL8" s="57">
        <v>50</v>
      </c>
      <c r="AM8" s="57">
        <v>50</v>
      </c>
      <c r="AN8" s="57">
        <f>SUM(X8:AM8)</f>
        <v>5978.4201250000006</v>
      </c>
      <c r="AO8" s="57"/>
      <c r="AP8" s="157" t="s">
        <v>206</v>
      </c>
      <c r="AQ8" s="58" t="s">
        <v>350</v>
      </c>
      <c r="AR8" s="218" t="s">
        <v>182</v>
      </c>
      <c r="AS8" s="218" t="s">
        <v>354</v>
      </c>
      <c r="AT8" s="218" t="s">
        <v>356</v>
      </c>
      <c r="AU8" s="218" t="s">
        <v>358</v>
      </c>
      <c r="AX8" t="s">
        <v>209</v>
      </c>
      <c r="AY8" t="s">
        <v>215</v>
      </c>
      <c r="AZ8">
        <v>2002</v>
      </c>
      <c r="BA8">
        <v>3159.5736874999998</v>
      </c>
      <c r="BD8" t="s">
        <v>13</v>
      </c>
      <c r="BE8" t="s">
        <v>10</v>
      </c>
      <c r="BF8" t="s">
        <v>7</v>
      </c>
      <c r="BG8">
        <v>6187</v>
      </c>
      <c r="BI8" s="328"/>
      <c r="BJ8" s="84" t="s">
        <v>12</v>
      </c>
      <c r="BK8" s="67" t="s">
        <v>7</v>
      </c>
      <c r="BL8" s="4">
        <v>50</v>
      </c>
      <c r="BM8" s="4">
        <f>1615+1878+3094</f>
        <v>6587</v>
      </c>
      <c r="BN8" s="75" t="s">
        <v>74</v>
      </c>
      <c r="BO8">
        <v>700</v>
      </c>
      <c r="BP8">
        <v>1000</v>
      </c>
      <c r="BQ8" s="4">
        <f>121+182+300</f>
        <v>603</v>
      </c>
      <c r="BR8" s="4">
        <f>624+619+886</f>
        <v>2129</v>
      </c>
      <c r="BS8" s="6" t="s">
        <v>130</v>
      </c>
      <c r="BT8" s="4">
        <v>1300</v>
      </c>
      <c r="BU8" s="74" t="s">
        <v>31</v>
      </c>
      <c r="BV8" s="67" t="s">
        <v>29</v>
      </c>
      <c r="BW8" s="11" t="str">
        <f>+BU8</f>
        <v>1,300-2,129</v>
      </c>
      <c r="BY8" s="57">
        <f t="shared" si="0"/>
        <v>1300</v>
      </c>
      <c r="BZ8">
        <f t="shared" si="1"/>
        <v>1950</v>
      </c>
      <c r="CA8">
        <f t="shared" si="2"/>
        <v>2600</v>
      </c>
      <c r="CB8">
        <f t="shared" si="3"/>
        <v>2600</v>
      </c>
      <c r="CC8">
        <f t="shared" si="4"/>
        <v>3900</v>
      </c>
      <c r="CD8" s="134">
        <f t="shared" si="5"/>
        <v>2</v>
      </c>
      <c r="CE8" s="30" t="s">
        <v>120</v>
      </c>
    </row>
    <row r="9" spans="2:102" ht="15" customHeight="1" x14ac:dyDescent="0.3">
      <c r="B9" s="59">
        <v>1943</v>
      </c>
      <c r="C9" s="61">
        <v>78.7</v>
      </c>
      <c r="D9" s="61"/>
      <c r="E9" s="61"/>
      <c r="F9" s="61"/>
      <c r="Q9" s="6">
        <v>2007</v>
      </c>
      <c r="R9" s="64">
        <f>AN8</f>
        <v>5978.4201250000006</v>
      </c>
      <c r="S9" s="166">
        <f>AU9</f>
        <v>38</v>
      </c>
      <c r="T9" s="64">
        <f>S9+R9</f>
        <v>6016.4201250000006</v>
      </c>
      <c r="U9" s="224">
        <f>S9/T9</f>
        <v>6.3160482829479926E-3</v>
      </c>
      <c r="W9" s="6">
        <v>2008</v>
      </c>
      <c r="X9" s="57">
        <f t="shared" si="6"/>
        <v>2694.8244999999997</v>
      </c>
      <c r="Y9" s="57">
        <f t="shared" si="7"/>
        <v>643.69231249999996</v>
      </c>
      <c r="Z9" s="57">
        <f t="shared" si="8"/>
        <v>600.49712499999998</v>
      </c>
      <c r="AA9" s="57">
        <v>75</v>
      </c>
      <c r="AB9" s="57">
        <v>15</v>
      </c>
      <c r="AC9" s="57">
        <v>299</v>
      </c>
      <c r="AD9" s="57">
        <v>3</v>
      </c>
      <c r="AE9" s="57">
        <v>0</v>
      </c>
      <c r="AF9" s="57">
        <v>0</v>
      </c>
      <c r="AG9" s="57">
        <v>0</v>
      </c>
      <c r="AH9" s="57">
        <v>50</v>
      </c>
      <c r="AI9" s="57">
        <v>50</v>
      </c>
      <c r="AJ9" s="57">
        <v>50</v>
      </c>
      <c r="AK9" s="57">
        <v>50</v>
      </c>
      <c r="AL9" s="57">
        <v>50</v>
      </c>
      <c r="AM9" s="57">
        <v>50</v>
      </c>
      <c r="AN9" s="57">
        <f t="shared" ref="AN9:AN17" si="9">SUM(X9:AM9)</f>
        <v>4631.0139374999999</v>
      </c>
      <c r="AO9" s="57"/>
      <c r="AP9" s="6">
        <v>2007</v>
      </c>
      <c r="AQ9" s="57">
        <v>5978.4201250000006</v>
      </c>
      <c r="AR9">
        <v>38</v>
      </c>
      <c r="AS9" s="221">
        <f t="shared" ref="AS9:AS15" si="10">AR9/AQ9</f>
        <v>6.3561943131254925E-3</v>
      </c>
      <c r="AU9">
        <f t="shared" ref="AU9:AU15" si="11">AR9</f>
        <v>38</v>
      </c>
      <c r="AX9" t="s">
        <v>209</v>
      </c>
      <c r="AY9" t="s">
        <v>215</v>
      </c>
      <c r="AZ9">
        <v>2003</v>
      </c>
      <c r="BA9">
        <v>2865.5216249999999</v>
      </c>
      <c r="BF9" t="s">
        <v>8</v>
      </c>
      <c r="BG9">
        <v>6557</v>
      </c>
      <c r="BI9" s="328"/>
      <c r="BJ9" s="84" t="s">
        <v>91</v>
      </c>
      <c r="BK9" s="67" t="s">
        <v>7</v>
      </c>
      <c r="BL9" s="69">
        <v>50</v>
      </c>
      <c r="BM9" s="69"/>
      <c r="BN9" s="69"/>
      <c r="BO9"/>
      <c r="BP9" s="57">
        <f>BT9</f>
        <v>500</v>
      </c>
      <c r="BQ9" s="69"/>
      <c r="BR9" s="69"/>
      <c r="BS9" s="6" t="s">
        <v>132</v>
      </c>
      <c r="BT9" s="69">
        <v>500</v>
      </c>
      <c r="BU9" s="76"/>
      <c r="BV9" s="67" t="s">
        <v>29</v>
      </c>
      <c r="BW9" s="85"/>
      <c r="BY9" s="57">
        <f t="shared" si="0"/>
        <v>500</v>
      </c>
      <c r="BZ9">
        <f>BY9+((CA9-BY9)/2)</f>
        <v>750</v>
      </c>
      <c r="CA9">
        <f>BY9*2</f>
        <v>1000</v>
      </c>
      <c r="CB9">
        <f t="shared" si="3"/>
        <v>1000</v>
      </c>
      <c r="CC9">
        <f t="shared" si="4"/>
        <v>1500</v>
      </c>
      <c r="CD9" s="134"/>
      <c r="CE9" s="30" t="s">
        <v>121</v>
      </c>
    </row>
    <row r="10" spans="2:102" ht="16.2" x14ac:dyDescent="0.3">
      <c r="B10" s="59">
        <v>1944</v>
      </c>
      <c r="C10" s="61">
        <v>22.6</v>
      </c>
      <c r="D10" s="61"/>
      <c r="E10" s="61"/>
      <c r="F10" s="61"/>
      <c r="Q10" s="6">
        <v>2008</v>
      </c>
      <c r="R10" s="64">
        <f t="shared" ref="R10:R18" si="12">AN9</f>
        <v>4631.0139374999999</v>
      </c>
      <c r="S10" s="166">
        <f t="shared" ref="S10:S18" si="13">AU10</f>
        <v>22</v>
      </c>
      <c r="T10" s="64">
        <f t="shared" ref="T10:T18" si="14">S10+R10</f>
        <v>4653.0139374999999</v>
      </c>
      <c r="U10" s="224">
        <f t="shared" ref="U10:U18" si="15">S10/T10</f>
        <v>4.7281182251992775E-3</v>
      </c>
      <c r="W10" s="6">
        <v>2009</v>
      </c>
      <c r="X10" s="57">
        <f t="shared" si="6"/>
        <v>2984.123</v>
      </c>
      <c r="Y10" s="57">
        <f t="shared" si="7"/>
        <v>1154.1166874999999</v>
      </c>
      <c r="Z10" s="57">
        <f t="shared" si="8"/>
        <v>618.64468749999992</v>
      </c>
      <c r="AA10" s="57">
        <v>109</v>
      </c>
      <c r="AB10" s="57">
        <v>15</v>
      </c>
      <c r="AC10" s="57">
        <v>299</v>
      </c>
      <c r="AD10" s="57">
        <v>3</v>
      </c>
      <c r="AE10" s="57">
        <v>0</v>
      </c>
      <c r="AF10" s="57">
        <v>0</v>
      </c>
      <c r="AG10" s="57">
        <v>0</v>
      </c>
      <c r="AH10" s="57">
        <v>50</v>
      </c>
      <c r="AI10" s="57">
        <v>50</v>
      </c>
      <c r="AJ10" s="57">
        <v>50</v>
      </c>
      <c r="AK10" s="57">
        <v>50</v>
      </c>
      <c r="AL10" s="57">
        <v>50</v>
      </c>
      <c r="AM10" s="57">
        <v>50</v>
      </c>
      <c r="AN10" s="57">
        <f t="shared" si="9"/>
        <v>5482.8843749999996</v>
      </c>
      <c r="AO10" s="57"/>
      <c r="AP10" s="6">
        <v>2008</v>
      </c>
      <c r="AQ10" s="57">
        <v>4631.0139374999999</v>
      </c>
      <c r="AR10">
        <v>22</v>
      </c>
      <c r="AS10" s="221">
        <f t="shared" si="10"/>
        <v>4.7505795268403895E-3</v>
      </c>
      <c r="AU10">
        <f t="shared" si="11"/>
        <v>22</v>
      </c>
      <c r="AX10" t="s">
        <v>209</v>
      </c>
      <c r="AY10" t="s">
        <v>215</v>
      </c>
      <c r="AZ10">
        <v>2004</v>
      </c>
      <c r="BA10">
        <v>2324.3789375000001</v>
      </c>
      <c r="BE10" t="s">
        <v>11</v>
      </c>
      <c r="BF10" t="s">
        <v>7</v>
      </c>
      <c r="BG10">
        <v>50</v>
      </c>
      <c r="BI10" s="328"/>
      <c r="BJ10" s="84" t="s">
        <v>103</v>
      </c>
      <c r="BK10" s="67" t="s">
        <v>7</v>
      </c>
      <c r="BL10" s="69">
        <v>50</v>
      </c>
      <c r="BM10" s="69"/>
      <c r="BN10" s="69"/>
      <c r="BO10"/>
      <c r="BP10" s="57">
        <f>BT10</f>
        <v>500</v>
      </c>
      <c r="BQ10" s="69"/>
      <c r="BR10" s="69"/>
      <c r="BS10" s="6" t="s">
        <v>132</v>
      </c>
      <c r="BT10" s="69">
        <v>500</v>
      </c>
      <c r="BU10" s="76"/>
      <c r="BV10" s="67" t="s">
        <v>29</v>
      </c>
      <c r="BW10" s="85"/>
      <c r="BY10" s="57">
        <f t="shared" si="0"/>
        <v>500</v>
      </c>
      <c r="BZ10">
        <f t="shared" ref="BZ10:BZ12" si="16">BY10+((CA10-BY10)/2)</f>
        <v>750</v>
      </c>
      <c r="CA10">
        <f t="shared" ref="CA10:CA12" si="17">BY10*2</f>
        <v>1000</v>
      </c>
      <c r="CB10">
        <f t="shared" si="3"/>
        <v>1000</v>
      </c>
      <c r="CC10">
        <f t="shared" si="4"/>
        <v>1500</v>
      </c>
      <c r="CD10" s="134"/>
      <c r="CE10" s="30" t="s">
        <v>122</v>
      </c>
    </row>
    <row r="11" spans="2:102" ht="15.75" customHeight="1" x14ac:dyDescent="0.3">
      <c r="B11" s="59">
        <v>1945</v>
      </c>
      <c r="C11" s="61">
        <v>48.3</v>
      </c>
      <c r="D11" s="61"/>
      <c r="E11" s="61"/>
      <c r="F11" s="61"/>
      <c r="Q11" s="6">
        <v>2009</v>
      </c>
      <c r="R11" s="64">
        <f t="shared" si="12"/>
        <v>5482.8843749999996</v>
      </c>
      <c r="S11" s="166">
        <f t="shared" si="13"/>
        <v>29</v>
      </c>
      <c r="T11" s="64">
        <f t="shared" si="14"/>
        <v>5511.8843749999996</v>
      </c>
      <c r="U11" s="224">
        <f t="shared" si="15"/>
        <v>5.2613585530810417E-3</v>
      </c>
      <c r="W11" s="6">
        <v>2010</v>
      </c>
      <c r="X11" s="57">
        <f t="shared" si="6"/>
        <v>6666.560125</v>
      </c>
      <c r="Y11" s="57">
        <f t="shared" si="7"/>
        <v>2147.95775</v>
      </c>
      <c r="Z11" s="57">
        <f t="shared" si="8"/>
        <v>2601.0748750000002</v>
      </c>
      <c r="AA11" s="57">
        <v>124</v>
      </c>
      <c r="AB11" s="57">
        <v>15</v>
      </c>
      <c r="AC11" s="57">
        <v>299</v>
      </c>
      <c r="AD11" s="57">
        <v>3</v>
      </c>
      <c r="AE11" s="57">
        <v>0</v>
      </c>
      <c r="AF11" s="57">
        <v>0</v>
      </c>
      <c r="AG11" s="57">
        <v>0</v>
      </c>
      <c r="AH11" s="57">
        <v>50</v>
      </c>
      <c r="AI11" s="57">
        <v>50</v>
      </c>
      <c r="AJ11" s="57">
        <v>50</v>
      </c>
      <c r="AK11" s="57">
        <v>50</v>
      </c>
      <c r="AL11" s="57">
        <v>50</v>
      </c>
      <c r="AM11" s="57">
        <v>50</v>
      </c>
      <c r="AN11" s="57">
        <f t="shared" si="9"/>
        <v>12156.59275</v>
      </c>
      <c r="AO11" s="57"/>
      <c r="AP11" s="6">
        <v>2009</v>
      </c>
      <c r="AQ11" s="57">
        <v>5482.8843749999996</v>
      </c>
      <c r="AR11">
        <v>29</v>
      </c>
      <c r="AS11" s="221">
        <f t="shared" si="10"/>
        <v>5.2891868616142396E-3</v>
      </c>
      <c r="AU11">
        <f t="shared" si="11"/>
        <v>29</v>
      </c>
      <c r="AX11" t="s">
        <v>209</v>
      </c>
      <c r="AY11" t="s">
        <v>215</v>
      </c>
      <c r="AZ11">
        <v>2005</v>
      </c>
      <c r="BA11">
        <v>923.22331250000002</v>
      </c>
      <c r="BF11" t="s">
        <v>8</v>
      </c>
      <c r="BG11">
        <v>50</v>
      </c>
      <c r="BI11" s="328"/>
      <c r="BJ11" s="84" t="s">
        <v>92</v>
      </c>
      <c r="BK11" s="67" t="s">
        <v>7</v>
      </c>
      <c r="BL11" s="69">
        <v>50</v>
      </c>
      <c r="BM11" s="69"/>
      <c r="BN11" s="69"/>
      <c r="BO11"/>
      <c r="BP11" s="57">
        <f>BT11</f>
        <v>1000</v>
      </c>
      <c r="BQ11" s="69"/>
      <c r="BR11" s="69"/>
      <c r="BS11" s="6" t="s">
        <v>130</v>
      </c>
      <c r="BT11" s="69">
        <v>1000</v>
      </c>
      <c r="BU11" s="76"/>
      <c r="BV11" s="67" t="s">
        <v>29</v>
      </c>
      <c r="BW11" s="85"/>
      <c r="BY11" s="57">
        <f t="shared" si="0"/>
        <v>1000</v>
      </c>
      <c r="BZ11">
        <f t="shared" si="16"/>
        <v>1500</v>
      </c>
      <c r="CA11">
        <f t="shared" si="17"/>
        <v>2000</v>
      </c>
      <c r="CB11">
        <f t="shared" si="3"/>
        <v>2000</v>
      </c>
      <c r="CC11">
        <f t="shared" si="4"/>
        <v>3000</v>
      </c>
      <c r="CD11" s="134"/>
      <c r="CE11" s="30" t="s">
        <v>123</v>
      </c>
    </row>
    <row r="12" spans="2:102" ht="16.2" x14ac:dyDescent="0.3">
      <c r="B12" s="59">
        <v>1946</v>
      </c>
      <c r="C12" s="61">
        <v>72.7</v>
      </c>
      <c r="D12" s="61"/>
      <c r="E12" s="61"/>
      <c r="F12" s="61"/>
      <c r="Q12" s="6">
        <v>2010</v>
      </c>
      <c r="R12" s="64">
        <f t="shared" si="12"/>
        <v>12156.59275</v>
      </c>
      <c r="S12" s="166">
        <f t="shared" si="13"/>
        <v>275</v>
      </c>
      <c r="T12" s="64">
        <f t="shared" si="14"/>
        <v>12431.59275</v>
      </c>
      <c r="U12" s="224">
        <f t="shared" si="15"/>
        <v>2.2121059266520776E-2</v>
      </c>
      <c r="W12" s="6">
        <v>2011</v>
      </c>
      <c r="X12" s="57">
        <f t="shared" si="6"/>
        <v>11103.9661875</v>
      </c>
      <c r="Y12" s="57">
        <f t="shared" si="7"/>
        <v>4895.7346875000003</v>
      </c>
      <c r="Z12" s="57">
        <f t="shared" si="8"/>
        <v>3166.5092499999996</v>
      </c>
      <c r="AA12" s="57">
        <v>50</v>
      </c>
      <c r="AB12" s="57">
        <v>15</v>
      </c>
      <c r="AC12" s="57">
        <v>299</v>
      </c>
      <c r="AD12" s="57">
        <v>3</v>
      </c>
      <c r="AE12" s="57">
        <v>0</v>
      </c>
      <c r="AF12" s="57">
        <v>0</v>
      </c>
      <c r="AG12" s="57">
        <v>0</v>
      </c>
      <c r="AH12" s="57">
        <v>50</v>
      </c>
      <c r="AI12" s="57">
        <v>50</v>
      </c>
      <c r="AJ12" s="57">
        <v>50</v>
      </c>
      <c r="AK12" s="57">
        <v>50</v>
      </c>
      <c r="AL12" s="57">
        <v>50</v>
      </c>
      <c r="AM12" s="57">
        <v>50</v>
      </c>
      <c r="AN12" s="57">
        <f t="shared" si="9"/>
        <v>19833.210125000001</v>
      </c>
      <c r="AO12" s="57"/>
      <c r="AP12" s="6">
        <v>2010</v>
      </c>
      <c r="AQ12" s="57">
        <v>12156.59275</v>
      </c>
      <c r="AR12">
        <v>275</v>
      </c>
      <c r="AS12" s="221">
        <f t="shared" si="10"/>
        <v>2.2621470148368669E-2</v>
      </c>
      <c r="AU12">
        <f t="shared" si="11"/>
        <v>275</v>
      </c>
      <c r="AX12" t="s">
        <v>209</v>
      </c>
      <c r="AY12" t="s">
        <v>215</v>
      </c>
      <c r="AZ12">
        <v>2006</v>
      </c>
      <c r="BA12">
        <v>869.03256250000004</v>
      </c>
      <c r="BE12" t="s">
        <v>12</v>
      </c>
      <c r="BF12" t="s">
        <v>7</v>
      </c>
      <c r="BG12">
        <v>50</v>
      </c>
      <c r="BI12" s="328"/>
      <c r="BJ12" s="84" t="s">
        <v>93</v>
      </c>
      <c r="BK12" s="67" t="s">
        <v>7</v>
      </c>
      <c r="BL12" s="69">
        <v>50</v>
      </c>
      <c r="BM12" s="69"/>
      <c r="BN12" s="69"/>
      <c r="BO12"/>
      <c r="BP12" s="57">
        <f>BT12</f>
        <v>1000</v>
      </c>
      <c r="BQ12" s="69"/>
      <c r="BR12" s="69"/>
      <c r="BS12" s="6" t="s">
        <v>130</v>
      </c>
      <c r="BT12" s="69">
        <v>1000</v>
      </c>
      <c r="BU12" s="76"/>
      <c r="BV12" s="67" t="s">
        <v>29</v>
      </c>
      <c r="BW12" s="85"/>
      <c r="BY12" s="57">
        <f t="shared" si="0"/>
        <v>1000</v>
      </c>
      <c r="BZ12">
        <f t="shared" si="16"/>
        <v>1500</v>
      </c>
      <c r="CA12">
        <f t="shared" si="17"/>
        <v>2000</v>
      </c>
      <c r="CB12">
        <f t="shared" si="3"/>
        <v>2000</v>
      </c>
      <c r="CC12">
        <f t="shared" si="4"/>
        <v>3000</v>
      </c>
      <c r="CD12" s="134"/>
      <c r="CE12" s="30" t="s">
        <v>124</v>
      </c>
    </row>
    <row r="13" spans="2:102" ht="16.8" thickBot="1" x14ac:dyDescent="0.35">
      <c r="B13" s="59">
        <v>1947</v>
      </c>
      <c r="C13" s="61">
        <v>40.700000000000003</v>
      </c>
      <c r="D13" s="61"/>
      <c r="E13" s="61"/>
      <c r="F13" s="61"/>
      <c r="Q13" s="6">
        <v>2011</v>
      </c>
      <c r="R13" s="64">
        <f t="shared" si="12"/>
        <v>19833.210125000001</v>
      </c>
      <c r="S13" s="166">
        <f t="shared" si="13"/>
        <v>144</v>
      </c>
      <c r="T13" s="64">
        <f t="shared" si="14"/>
        <v>19977.210125000001</v>
      </c>
      <c r="U13" s="224">
        <f t="shared" si="15"/>
        <v>7.2082137144763095E-3</v>
      </c>
      <c r="W13" s="6">
        <v>2012</v>
      </c>
      <c r="X13" s="57">
        <f t="shared" si="6"/>
        <v>8228.8086249999997</v>
      </c>
      <c r="Y13" s="57">
        <f t="shared" si="7"/>
        <v>2626.9856875</v>
      </c>
      <c r="Z13" s="57">
        <f t="shared" si="8"/>
        <v>1844.2002500000001</v>
      </c>
      <c r="AA13" s="57">
        <v>65</v>
      </c>
      <c r="AB13" s="57">
        <v>15</v>
      </c>
      <c r="AC13" s="57">
        <v>299</v>
      </c>
      <c r="AD13" s="57">
        <v>3</v>
      </c>
      <c r="AE13" s="57">
        <v>0</v>
      </c>
      <c r="AF13" s="57">
        <v>0</v>
      </c>
      <c r="AG13" s="57">
        <v>0</v>
      </c>
      <c r="AH13" s="57">
        <v>50</v>
      </c>
      <c r="AI13" s="57">
        <v>50</v>
      </c>
      <c r="AJ13" s="57">
        <v>50</v>
      </c>
      <c r="AK13" s="57">
        <v>50</v>
      </c>
      <c r="AL13" s="57">
        <v>50</v>
      </c>
      <c r="AM13" s="57">
        <v>50</v>
      </c>
      <c r="AN13" s="57">
        <f t="shared" si="9"/>
        <v>13381.9945625</v>
      </c>
      <c r="AO13" s="57"/>
      <c r="AP13" s="6">
        <v>2011</v>
      </c>
      <c r="AQ13" s="57">
        <v>19833.210125000001</v>
      </c>
      <c r="AR13">
        <v>144</v>
      </c>
      <c r="AS13" s="221">
        <f t="shared" si="10"/>
        <v>7.2605493055552441E-3</v>
      </c>
      <c r="AU13">
        <f t="shared" si="11"/>
        <v>144</v>
      </c>
      <c r="AX13" t="s">
        <v>209</v>
      </c>
      <c r="AY13" t="s">
        <v>215</v>
      </c>
      <c r="AZ13">
        <v>2007</v>
      </c>
      <c r="BA13">
        <v>576.09693749999997</v>
      </c>
      <c r="BF13" t="s">
        <v>8</v>
      </c>
      <c r="BG13">
        <v>50</v>
      </c>
      <c r="BI13" s="328"/>
      <c r="BJ13" s="86" t="s">
        <v>70</v>
      </c>
      <c r="BK13" s="68" t="s">
        <v>7</v>
      </c>
      <c r="BL13" s="5">
        <f>+BL6+BL7+BL8+BL9+BL10+BL11+BL12</f>
        <v>6487</v>
      </c>
      <c r="BM13" s="5">
        <f>+BM6+BM7+BM8+BM9+BM10+BM11+BM12</f>
        <v>33081</v>
      </c>
      <c r="BN13" s="5" t="s">
        <v>85</v>
      </c>
      <c r="BO13"/>
      <c r="BP13"/>
      <c r="BQ13" s="5">
        <f>+BQ6+BQ7+BQ8+BQ9+BQ10+BQ11+BQ12</f>
        <v>3812</v>
      </c>
      <c r="BR13" s="5">
        <f>+BR6+BR7+BR8+BR9+BR10+BR11+BR12</f>
        <v>13593</v>
      </c>
      <c r="BT13" s="5">
        <f>+BT6+BT7+BT8+BT9+BT10+BT11+BT12</f>
        <v>7200</v>
      </c>
      <c r="BU13" s="77" t="s">
        <v>32</v>
      </c>
      <c r="BV13" s="68" t="s">
        <v>29</v>
      </c>
      <c r="BW13" s="87" t="str">
        <f t="shared" ref="BW13:BW18" si="18">+BU13</f>
        <v>4,200-13,593</v>
      </c>
      <c r="CD13" s="134"/>
      <c r="CE13" s="30" t="s">
        <v>125</v>
      </c>
    </row>
    <row r="14" spans="2:102" ht="16.2" x14ac:dyDescent="0.3">
      <c r="B14" s="59">
        <v>1948</v>
      </c>
      <c r="C14" s="61">
        <v>85.6</v>
      </c>
      <c r="D14" s="61"/>
      <c r="E14" s="61"/>
      <c r="F14" s="61"/>
      <c r="Q14" s="6">
        <v>2012</v>
      </c>
      <c r="R14" s="64">
        <f t="shared" si="12"/>
        <v>13381.9945625</v>
      </c>
      <c r="S14" s="166">
        <f t="shared" si="13"/>
        <v>37</v>
      </c>
      <c r="T14" s="64">
        <f t="shared" si="14"/>
        <v>13418.9945625</v>
      </c>
      <c r="U14" s="224">
        <f t="shared" si="15"/>
        <v>2.757285564702307E-3</v>
      </c>
      <c r="W14" s="6">
        <v>2013</v>
      </c>
      <c r="X14" s="57">
        <f t="shared" si="6"/>
        <v>5384.0365625000004</v>
      </c>
      <c r="Y14" s="57">
        <f t="shared" si="7"/>
        <v>1499</v>
      </c>
      <c r="Z14" s="57">
        <f t="shared" si="8"/>
        <v>1577.5805</v>
      </c>
      <c r="AA14" s="57">
        <v>167</v>
      </c>
      <c r="AB14" s="57">
        <v>15</v>
      </c>
      <c r="AC14" s="57">
        <v>299</v>
      </c>
      <c r="AD14" s="57">
        <v>3</v>
      </c>
      <c r="AE14" s="57">
        <v>0</v>
      </c>
      <c r="AF14" s="57">
        <v>0</v>
      </c>
      <c r="AG14" s="57">
        <v>0</v>
      </c>
      <c r="AH14" s="57">
        <v>50</v>
      </c>
      <c r="AI14" s="57">
        <v>50</v>
      </c>
      <c r="AJ14" s="57">
        <v>50</v>
      </c>
      <c r="AK14" s="57">
        <v>50</v>
      </c>
      <c r="AL14" s="57">
        <v>50</v>
      </c>
      <c r="AM14" s="57">
        <v>50</v>
      </c>
      <c r="AN14" s="57">
        <f t="shared" si="9"/>
        <v>9244.6170625000013</v>
      </c>
      <c r="AO14" s="57"/>
      <c r="AP14" s="6">
        <v>2012</v>
      </c>
      <c r="AQ14" s="57">
        <v>13381.9945625</v>
      </c>
      <c r="AR14">
        <v>37</v>
      </c>
      <c r="AS14" s="221">
        <f t="shared" si="10"/>
        <v>2.7649092089518626E-3</v>
      </c>
      <c r="AU14">
        <f t="shared" si="11"/>
        <v>37</v>
      </c>
      <c r="AX14" t="s">
        <v>209</v>
      </c>
      <c r="AY14" t="s">
        <v>215</v>
      </c>
      <c r="AZ14">
        <v>2008</v>
      </c>
      <c r="BA14">
        <v>643.69231249999996</v>
      </c>
      <c r="BE14" t="s">
        <v>91</v>
      </c>
      <c r="BF14" t="s">
        <v>7</v>
      </c>
      <c r="BG14">
        <v>15</v>
      </c>
      <c r="BI14" s="327" t="s">
        <v>21</v>
      </c>
      <c r="BJ14" s="78" t="s">
        <v>22</v>
      </c>
      <c r="BK14" s="79" t="s">
        <v>7</v>
      </c>
      <c r="BL14" s="80">
        <v>50</v>
      </c>
      <c r="BM14" s="80">
        <f>166140+3217+25984</f>
        <v>195341</v>
      </c>
      <c r="BN14" s="81" t="s">
        <v>75</v>
      </c>
      <c r="BO14">
        <v>2000</v>
      </c>
      <c r="BP14">
        <v>1000</v>
      </c>
      <c r="BQ14" s="80">
        <f>6239+277+1376</f>
        <v>7892</v>
      </c>
      <c r="BR14" s="91">
        <f>46130+932</f>
        <v>47062</v>
      </c>
      <c r="BS14" s="6" t="s">
        <v>131</v>
      </c>
      <c r="BT14" s="80">
        <v>900</v>
      </c>
      <c r="BU14" s="82" t="s">
        <v>33</v>
      </c>
      <c r="BV14" s="79" t="s">
        <v>29</v>
      </c>
      <c r="BW14" s="83" t="str">
        <f t="shared" si="18"/>
        <v>900-47,062</v>
      </c>
      <c r="BY14" s="57">
        <f>BT14</f>
        <v>900</v>
      </c>
      <c r="BZ14">
        <f t="shared" ref="BZ14:BZ20" si="19">BY14+((CA14-BY14)/2)</f>
        <v>1350</v>
      </c>
      <c r="CA14">
        <f t="shared" ref="CA14:CA20" si="20">BY14*2</f>
        <v>1800</v>
      </c>
      <c r="CB14">
        <f t="shared" si="3"/>
        <v>1800</v>
      </c>
      <c r="CC14">
        <f t="shared" si="4"/>
        <v>2700</v>
      </c>
      <c r="CD14" s="134">
        <f t="shared" si="5"/>
        <v>2</v>
      </c>
      <c r="CE14" s="30" t="s">
        <v>126</v>
      </c>
    </row>
    <row r="15" spans="2:102" ht="17.25" customHeight="1" x14ac:dyDescent="0.3">
      <c r="B15" s="59">
        <v>1949</v>
      </c>
      <c r="C15" s="61">
        <v>44.7</v>
      </c>
      <c r="D15" s="61"/>
      <c r="E15" s="61"/>
      <c r="F15" s="61"/>
      <c r="Q15" s="6">
        <v>2013</v>
      </c>
      <c r="R15" s="64">
        <f t="shared" si="12"/>
        <v>9244.6170625000013</v>
      </c>
      <c r="S15" s="166">
        <f t="shared" si="13"/>
        <v>4</v>
      </c>
      <c r="T15" s="64">
        <f t="shared" si="14"/>
        <v>9248.6170625000013</v>
      </c>
      <c r="U15" s="224">
        <f t="shared" si="15"/>
        <v>4.3249709367021373E-4</v>
      </c>
      <c r="W15" s="6">
        <v>2014</v>
      </c>
      <c r="X15" s="57">
        <f t="shared" si="6"/>
        <v>5038.3306874999998</v>
      </c>
      <c r="Y15" s="57">
        <f t="shared" si="7"/>
        <v>1472.2394374999999</v>
      </c>
      <c r="Z15" s="57">
        <f t="shared" si="8"/>
        <v>2371.3393124999998</v>
      </c>
      <c r="AA15" s="57">
        <v>122</v>
      </c>
      <c r="AB15" s="57">
        <v>15</v>
      </c>
      <c r="AC15" s="57">
        <v>299</v>
      </c>
      <c r="AD15" s="57">
        <v>3</v>
      </c>
      <c r="AE15" s="57">
        <v>0</v>
      </c>
      <c r="AF15" s="57">
        <v>0</v>
      </c>
      <c r="AG15" s="57">
        <v>0</v>
      </c>
      <c r="AH15" s="57">
        <v>50</v>
      </c>
      <c r="AI15" s="57">
        <v>50</v>
      </c>
      <c r="AJ15" s="57">
        <v>50</v>
      </c>
      <c r="AK15" s="57">
        <v>50</v>
      </c>
      <c r="AL15" s="57">
        <v>50</v>
      </c>
      <c r="AM15" s="57">
        <v>50</v>
      </c>
      <c r="AN15" s="57">
        <f t="shared" si="9"/>
        <v>9620.9094375000004</v>
      </c>
      <c r="AO15" s="57"/>
      <c r="AP15" s="6">
        <v>2013</v>
      </c>
      <c r="AQ15" s="57">
        <v>9244.6170625000013</v>
      </c>
      <c r="AR15">
        <v>4</v>
      </c>
      <c r="AS15" s="221">
        <f t="shared" si="10"/>
        <v>4.3268422834144836E-4</v>
      </c>
      <c r="AU15">
        <f t="shared" si="11"/>
        <v>4</v>
      </c>
      <c r="AX15" t="s">
        <v>209</v>
      </c>
      <c r="AY15" t="s">
        <v>215</v>
      </c>
      <c r="AZ15">
        <v>2009</v>
      </c>
      <c r="BA15">
        <v>1154.1166874999999</v>
      </c>
      <c r="BF15" t="s">
        <v>8</v>
      </c>
      <c r="BG15">
        <v>15</v>
      </c>
      <c r="BI15" s="328"/>
      <c r="BJ15" s="84" t="s">
        <v>23</v>
      </c>
      <c r="BK15" s="67" t="s">
        <v>7</v>
      </c>
      <c r="BL15" s="4">
        <v>50</v>
      </c>
      <c r="BM15" s="4">
        <v>20637</v>
      </c>
      <c r="BN15" s="75" t="s">
        <v>74</v>
      </c>
      <c r="BO15">
        <v>700</v>
      </c>
      <c r="BP15">
        <v>1000</v>
      </c>
      <c r="BQ15" s="4">
        <v>1615</v>
      </c>
      <c r="BR15" s="4">
        <v>6014</v>
      </c>
      <c r="BS15" s="6" t="s">
        <v>131</v>
      </c>
      <c r="BT15" s="4">
        <v>900</v>
      </c>
      <c r="BU15" s="74" t="s">
        <v>34</v>
      </c>
      <c r="BV15" s="67" t="s">
        <v>29</v>
      </c>
      <c r="BW15" s="11" t="str">
        <f t="shared" si="18"/>
        <v>900-6,014</v>
      </c>
      <c r="BY15" s="57">
        <f>BT15</f>
        <v>900</v>
      </c>
      <c r="BZ15">
        <f t="shared" si="19"/>
        <v>1350</v>
      </c>
      <c r="CA15">
        <f t="shared" si="20"/>
        <v>1800</v>
      </c>
      <c r="CB15">
        <f t="shared" si="3"/>
        <v>1800</v>
      </c>
      <c r="CC15">
        <f t="shared" si="4"/>
        <v>2700</v>
      </c>
      <c r="CD15" s="134">
        <f t="shared" si="5"/>
        <v>2</v>
      </c>
      <c r="CE15" s="30" t="s">
        <v>129</v>
      </c>
    </row>
    <row r="16" spans="2:102" ht="17.25" customHeight="1" x14ac:dyDescent="0.3">
      <c r="B16" s="59">
        <v>1950</v>
      </c>
      <c r="C16" s="61">
        <v>58.9</v>
      </c>
      <c r="D16" s="61"/>
      <c r="E16" s="61"/>
      <c r="F16" s="61"/>
      <c r="Q16" s="6">
        <v>2014</v>
      </c>
      <c r="R16" s="64">
        <f t="shared" si="12"/>
        <v>9620.9094375000004</v>
      </c>
      <c r="S16" s="166">
        <f t="shared" si="13"/>
        <v>34</v>
      </c>
      <c r="T16" s="64">
        <f t="shared" si="14"/>
        <v>9654.9094375000004</v>
      </c>
      <c r="U16" s="224">
        <f t="shared" si="15"/>
        <v>3.5215244865936112E-3</v>
      </c>
      <c r="W16" s="6">
        <v>2015</v>
      </c>
      <c r="X16" s="57">
        <f t="shared" si="6"/>
        <v>11708.194687499999</v>
      </c>
      <c r="Y16" s="57">
        <f t="shared" si="7"/>
        <v>4756.5300625</v>
      </c>
      <c r="Z16" s="57">
        <f t="shared" si="8"/>
        <v>5377.2128749999993</v>
      </c>
      <c r="AA16" s="57">
        <v>176</v>
      </c>
      <c r="AB16" s="57">
        <v>15</v>
      </c>
      <c r="AC16" s="57">
        <v>299</v>
      </c>
      <c r="AD16" s="57">
        <v>3</v>
      </c>
      <c r="AE16" s="57">
        <v>0</v>
      </c>
      <c r="AF16" s="57">
        <v>0</v>
      </c>
      <c r="AG16" s="57">
        <v>0</v>
      </c>
      <c r="AH16" s="57">
        <v>50</v>
      </c>
      <c r="AI16" s="57">
        <v>50</v>
      </c>
      <c r="AJ16" s="57">
        <v>50</v>
      </c>
      <c r="AK16" s="57">
        <v>50</v>
      </c>
      <c r="AL16" s="57">
        <v>50</v>
      </c>
      <c r="AM16" s="57">
        <v>50</v>
      </c>
      <c r="AN16" s="57">
        <f t="shared" si="9"/>
        <v>22634.937624999999</v>
      </c>
      <c r="AO16" s="57"/>
      <c r="AP16" s="6">
        <v>2014</v>
      </c>
      <c r="AQ16" s="57">
        <v>9620.9094375000004</v>
      </c>
      <c r="AT16" s="222">
        <f>AQ16*AS20</f>
        <v>68.000001843524259</v>
      </c>
      <c r="AU16">
        <f>ROUND(AT16*0.5,0)</f>
        <v>34</v>
      </c>
      <c r="AX16" t="s">
        <v>209</v>
      </c>
      <c r="AY16" t="s">
        <v>215</v>
      </c>
      <c r="AZ16">
        <v>2010</v>
      </c>
      <c r="BA16">
        <v>2147.95775</v>
      </c>
      <c r="BE16" t="s">
        <v>103</v>
      </c>
      <c r="BF16" t="s">
        <v>7</v>
      </c>
      <c r="BG16">
        <v>299</v>
      </c>
      <c r="BI16" s="328"/>
      <c r="BJ16" s="84" t="s">
        <v>24</v>
      </c>
      <c r="BK16" s="67" t="s">
        <v>7</v>
      </c>
      <c r="BL16" s="4">
        <v>50</v>
      </c>
      <c r="BM16" s="4">
        <f>79061+45517</f>
        <v>124578</v>
      </c>
      <c r="BN16" s="73" t="s">
        <v>75</v>
      </c>
      <c r="BO16">
        <v>2000</v>
      </c>
      <c r="BP16">
        <v>1000</v>
      </c>
      <c r="BQ16" s="4">
        <f>4418+4652</f>
        <v>9070</v>
      </c>
      <c r="BR16" s="4">
        <f>13511+16540</f>
        <v>30051</v>
      </c>
      <c r="BS16" s="6" t="s">
        <v>130</v>
      </c>
      <c r="BT16" s="4">
        <v>1300</v>
      </c>
      <c r="BU16" s="74" t="s">
        <v>35</v>
      </c>
      <c r="BV16" s="67" t="s">
        <v>29</v>
      </c>
      <c r="BW16" s="11" t="str">
        <f t="shared" si="18"/>
        <v>1,300-30,051</v>
      </c>
      <c r="BY16" s="57">
        <f>BT16</f>
        <v>1300</v>
      </c>
      <c r="BZ16">
        <f t="shared" si="19"/>
        <v>1950</v>
      </c>
      <c r="CA16">
        <f t="shared" si="20"/>
        <v>2600</v>
      </c>
      <c r="CB16">
        <f t="shared" si="3"/>
        <v>2600</v>
      </c>
      <c r="CC16">
        <f t="shared" si="4"/>
        <v>3900</v>
      </c>
      <c r="CD16" s="134">
        <f t="shared" si="5"/>
        <v>2</v>
      </c>
      <c r="CE16" s="25"/>
    </row>
    <row r="17" spans="2:83" ht="17.25" customHeight="1" x14ac:dyDescent="0.3">
      <c r="B17" s="59">
        <v>1951</v>
      </c>
      <c r="C17" s="61">
        <v>46.1</v>
      </c>
      <c r="D17" s="61"/>
      <c r="E17" s="61"/>
      <c r="F17" s="61"/>
      <c r="Q17" s="6">
        <v>2015</v>
      </c>
      <c r="R17" s="64">
        <f t="shared" si="12"/>
        <v>22634.937624999999</v>
      </c>
      <c r="S17" s="166">
        <f t="shared" si="13"/>
        <v>80</v>
      </c>
      <c r="T17" s="64">
        <f t="shared" si="14"/>
        <v>22714.937624999999</v>
      </c>
      <c r="U17" s="224">
        <f t="shared" si="15"/>
        <v>3.5219114980950782E-3</v>
      </c>
      <c r="W17" s="6">
        <v>2016</v>
      </c>
      <c r="X17" s="57">
        <f t="shared" si="6"/>
        <v>31266.179479166698</v>
      </c>
      <c r="Y17" s="57">
        <f t="shared" si="7"/>
        <v>5244.5549375000001</v>
      </c>
      <c r="Z17" s="57">
        <f t="shared" si="8"/>
        <v>5719.1177500000003</v>
      </c>
      <c r="AA17" s="57">
        <v>47</v>
      </c>
      <c r="AB17" s="57">
        <v>15</v>
      </c>
      <c r="AC17" s="57">
        <v>299</v>
      </c>
      <c r="AD17" s="57">
        <v>3</v>
      </c>
      <c r="AE17" s="57">
        <v>0</v>
      </c>
      <c r="AF17" s="57">
        <v>0</v>
      </c>
      <c r="AG17" s="57">
        <v>0</v>
      </c>
      <c r="AH17" s="57">
        <v>50</v>
      </c>
      <c r="AI17" s="57">
        <v>50</v>
      </c>
      <c r="AJ17" s="57">
        <v>50</v>
      </c>
      <c r="AK17" s="57">
        <v>50</v>
      </c>
      <c r="AL17" s="57">
        <v>50</v>
      </c>
      <c r="AM17" s="57">
        <v>50</v>
      </c>
      <c r="AN17" s="57">
        <f t="shared" si="9"/>
        <v>42893.852166666693</v>
      </c>
      <c r="AO17" s="57"/>
      <c r="AP17" s="6">
        <v>2015</v>
      </c>
      <c r="AQ17" s="57">
        <v>22634.937624999999</v>
      </c>
      <c r="AT17" s="222">
        <f>AQ17*AS20</f>
        <v>159.98236031915215</v>
      </c>
      <c r="AU17">
        <f>ROUND(AT17*0.5,0)</f>
        <v>80</v>
      </c>
      <c r="AX17" t="s">
        <v>209</v>
      </c>
      <c r="AY17" t="s">
        <v>215</v>
      </c>
      <c r="AZ17">
        <v>2011</v>
      </c>
      <c r="BA17">
        <v>4895.7346875000003</v>
      </c>
      <c r="BF17" t="s">
        <v>8</v>
      </c>
      <c r="BG17">
        <v>299</v>
      </c>
      <c r="BI17" s="328"/>
      <c r="BJ17" s="84" t="s">
        <v>25</v>
      </c>
      <c r="BK17" s="67" t="s">
        <v>7</v>
      </c>
      <c r="BL17" s="4">
        <v>50</v>
      </c>
      <c r="BM17" s="4">
        <v>4482</v>
      </c>
      <c r="BN17" s="75" t="s">
        <v>74</v>
      </c>
      <c r="BO17">
        <v>700</v>
      </c>
      <c r="BP17">
        <v>500</v>
      </c>
      <c r="BQ17" s="4">
        <v>0</v>
      </c>
      <c r="BR17" s="4">
        <v>1789</v>
      </c>
      <c r="BS17" s="6" t="s">
        <v>132</v>
      </c>
      <c r="BT17" s="4">
        <v>0</v>
      </c>
      <c r="BU17" s="74" t="s">
        <v>36</v>
      </c>
      <c r="BV17" s="67" t="s">
        <v>29</v>
      </c>
      <c r="BW17" s="11" t="str">
        <f t="shared" si="18"/>
        <v>0-1,789</v>
      </c>
      <c r="BY17" s="57">
        <f>BL17</f>
        <v>50</v>
      </c>
      <c r="BZ17">
        <f t="shared" si="19"/>
        <v>75</v>
      </c>
      <c r="CA17">
        <f t="shared" si="20"/>
        <v>100</v>
      </c>
      <c r="CB17">
        <f t="shared" si="3"/>
        <v>100</v>
      </c>
      <c r="CC17">
        <f t="shared" si="4"/>
        <v>150</v>
      </c>
      <c r="CD17" s="134">
        <f t="shared" si="5"/>
        <v>2</v>
      </c>
      <c r="CE17" s="25"/>
    </row>
    <row r="18" spans="2:83" ht="17.25" customHeight="1" x14ac:dyDescent="0.3">
      <c r="B18" s="59">
        <v>1952</v>
      </c>
      <c r="C18" s="61">
        <v>28.9</v>
      </c>
      <c r="D18" s="61"/>
      <c r="E18" s="61"/>
      <c r="F18" s="61"/>
      <c r="Q18" s="6">
        <v>2016</v>
      </c>
      <c r="R18" s="64">
        <f t="shared" si="12"/>
        <v>42893.852166666693</v>
      </c>
      <c r="S18" s="166">
        <f t="shared" si="13"/>
        <v>152</v>
      </c>
      <c r="T18" s="64">
        <f t="shared" si="14"/>
        <v>43045.852166666693</v>
      </c>
      <c r="U18" s="224">
        <f t="shared" si="15"/>
        <v>3.5311183853784607E-3</v>
      </c>
      <c r="W18" s="6"/>
      <c r="X18" s="57"/>
      <c r="Y18" s="57"/>
      <c r="Z18" s="57"/>
      <c r="AA18" s="57"/>
      <c r="AB18" s="57"/>
      <c r="AC18" s="57"/>
      <c r="AD18" s="57"/>
      <c r="AE18" s="57"/>
      <c r="AF18" s="57"/>
      <c r="AG18" s="57"/>
      <c r="AH18" s="57"/>
      <c r="AI18" s="57"/>
      <c r="AJ18" s="57"/>
      <c r="AK18" s="57"/>
      <c r="AL18" s="57"/>
      <c r="AM18" s="57"/>
      <c r="AN18" s="57"/>
      <c r="AP18" s="6">
        <v>2016</v>
      </c>
      <c r="AQ18" s="57">
        <v>42893.852166666693</v>
      </c>
      <c r="AT18" s="222">
        <f>AQ18*AS20</f>
        <v>303.17113422149828</v>
      </c>
      <c r="AU18">
        <f>ROUND(AT18*0.5,0)</f>
        <v>152</v>
      </c>
      <c r="AX18" t="s">
        <v>209</v>
      </c>
      <c r="AY18" t="s">
        <v>215</v>
      </c>
      <c r="AZ18">
        <v>2012</v>
      </c>
      <c r="BA18">
        <v>2626.9856875</v>
      </c>
      <c r="BE18" t="s">
        <v>92</v>
      </c>
      <c r="BF18" t="s">
        <v>7</v>
      </c>
      <c r="BG18">
        <v>3</v>
      </c>
      <c r="BI18" s="328"/>
      <c r="BJ18" s="84" t="s">
        <v>82</v>
      </c>
      <c r="BK18" s="67" t="s">
        <v>7</v>
      </c>
      <c r="BL18" s="4">
        <v>1555</v>
      </c>
      <c r="BM18" s="4">
        <v>18072</v>
      </c>
      <c r="BN18" s="73" t="s">
        <v>86</v>
      </c>
      <c r="BO18">
        <v>1400</v>
      </c>
      <c r="BP18">
        <v>1000</v>
      </c>
      <c r="BQ18" s="4">
        <v>699</v>
      </c>
      <c r="BR18" s="4">
        <v>3971</v>
      </c>
      <c r="BS18" s="6" t="s">
        <v>135</v>
      </c>
      <c r="BT18" s="4">
        <v>1300</v>
      </c>
      <c r="BU18" s="74" t="s">
        <v>37</v>
      </c>
      <c r="BV18" s="67" t="s">
        <v>29</v>
      </c>
      <c r="BW18" s="11" t="str">
        <f t="shared" si="18"/>
        <v>1,300-3,971</v>
      </c>
      <c r="BY18" s="57">
        <f>BT18</f>
        <v>1300</v>
      </c>
      <c r="BZ18">
        <f t="shared" si="19"/>
        <v>1950</v>
      </c>
      <c r="CA18">
        <f t="shared" si="20"/>
        <v>2600</v>
      </c>
      <c r="CB18">
        <f t="shared" si="3"/>
        <v>2600</v>
      </c>
      <c r="CC18">
        <f t="shared" si="4"/>
        <v>3900</v>
      </c>
      <c r="CD18" s="134">
        <f t="shared" si="5"/>
        <v>2</v>
      </c>
      <c r="CE18" s="25"/>
    </row>
    <row r="19" spans="2:83" ht="15" customHeight="1" x14ac:dyDescent="0.3">
      <c r="B19" s="59">
        <v>1953</v>
      </c>
      <c r="C19" s="61">
        <v>22.9</v>
      </c>
      <c r="D19" s="61"/>
      <c r="E19" s="61"/>
      <c r="F19" s="61"/>
      <c r="W19" s="118" t="s">
        <v>369</v>
      </c>
      <c r="X19" s="57"/>
      <c r="Y19" s="57"/>
      <c r="Z19" s="57"/>
      <c r="AA19" s="119">
        <f>AVERAGE(AA8:AA17)</f>
        <v>107.7</v>
      </c>
      <c r="AB19" s="57"/>
      <c r="AC19" s="57"/>
      <c r="AD19" s="57"/>
      <c r="AE19" s="57"/>
      <c r="AF19" s="57"/>
      <c r="AG19" s="57"/>
      <c r="AH19" s="57"/>
      <c r="AI19" s="57"/>
      <c r="AJ19" s="57"/>
      <c r="AK19" s="57"/>
      <c r="AL19" s="57"/>
      <c r="AM19" s="57"/>
      <c r="AN19" s="57"/>
      <c r="AP19" s="6"/>
      <c r="AQ19" s="57"/>
      <c r="AX19" t="s">
        <v>209</v>
      </c>
      <c r="AY19" t="s">
        <v>215</v>
      </c>
      <c r="AZ19">
        <v>2013</v>
      </c>
      <c r="BA19">
        <v>1499</v>
      </c>
      <c r="BF19" t="s">
        <v>8</v>
      </c>
      <c r="BG19">
        <v>3</v>
      </c>
      <c r="BI19" s="328"/>
      <c r="BJ19" s="84" t="s">
        <v>94</v>
      </c>
      <c r="BK19" s="67" t="s">
        <v>7</v>
      </c>
      <c r="BL19" s="69">
        <v>0</v>
      </c>
      <c r="BM19" s="69"/>
      <c r="BN19" s="88"/>
      <c r="BO19"/>
      <c r="BP19" s="57">
        <f>BT19</f>
        <v>500</v>
      </c>
      <c r="BQ19" s="69"/>
      <c r="BR19" s="69"/>
      <c r="BS19" s="6" t="s">
        <v>131</v>
      </c>
      <c r="BT19" s="69">
        <v>500</v>
      </c>
      <c r="BU19" s="89"/>
      <c r="BV19" s="67" t="s">
        <v>29</v>
      </c>
      <c r="BW19" s="85"/>
      <c r="BY19" s="57">
        <f>BT19</f>
        <v>500</v>
      </c>
      <c r="BZ19">
        <f t="shared" si="19"/>
        <v>750</v>
      </c>
      <c r="CA19">
        <f t="shared" si="20"/>
        <v>1000</v>
      </c>
      <c r="CB19">
        <f t="shared" si="3"/>
        <v>1000</v>
      </c>
      <c r="CC19">
        <f t="shared" si="4"/>
        <v>1500</v>
      </c>
      <c r="CD19" s="134"/>
      <c r="CE19" s="25"/>
    </row>
    <row r="20" spans="2:83" x14ac:dyDescent="0.3">
      <c r="B20" s="59">
        <v>1954</v>
      </c>
      <c r="C20" s="61">
        <v>28.5</v>
      </c>
      <c r="D20" s="61"/>
      <c r="E20" s="61"/>
      <c r="F20" s="61"/>
      <c r="Q20" s="27" t="s">
        <v>369</v>
      </c>
      <c r="R20" s="119">
        <f>AVERAGE(R9:R18)</f>
        <v>14585.843216666666</v>
      </c>
      <c r="S20" s="27">
        <f>AVERAGE(S9:S18)</f>
        <v>81.5</v>
      </c>
      <c r="T20" s="119">
        <f>AVERAGE(T9:T18)</f>
        <v>14667.343216666666</v>
      </c>
      <c r="U20" s="223">
        <f>AVERAGE(U9:U18)</f>
        <v>5.9399135070665066E-3</v>
      </c>
      <c r="AM20" s="57"/>
      <c r="AN20" s="57"/>
      <c r="AP20" s="164" t="s">
        <v>355</v>
      </c>
      <c r="AQ20" s="57"/>
      <c r="AS20" s="221">
        <f>AVERAGE(AS9:AS15)</f>
        <v>7.0679390846853356E-3</v>
      </c>
      <c r="AX20" t="s">
        <v>209</v>
      </c>
      <c r="AY20" t="s">
        <v>215</v>
      </c>
      <c r="AZ20">
        <v>2014</v>
      </c>
      <c r="BA20">
        <v>1472.2394374999999</v>
      </c>
      <c r="BE20" t="s">
        <v>93</v>
      </c>
      <c r="BF20" t="s">
        <v>7</v>
      </c>
      <c r="BG20">
        <v>0</v>
      </c>
      <c r="BI20" s="328"/>
      <c r="BJ20" s="84" t="s">
        <v>95</v>
      </c>
      <c r="BK20" s="67" t="s">
        <v>7</v>
      </c>
      <c r="BL20" s="69">
        <v>50</v>
      </c>
      <c r="BM20" s="69"/>
      <c r="BN20" s="90"/>
      <c r="BO20"/>
      <c r="BP20" s="57">
        <f>BT20</f>
        <v>1000</v>
      </c>
      <c r="BQ20" s="69"/>
      <c r="BR20" s="69"/>
      <c r="BS20" s="6" t="s">
        <v>130</v>
      </c>
      <c r="BT20" s="69">
        <v>1000</v>
      </c>
      <c r="BU20" s="89"/>
      <c r="BV20" s="67" t="s">
        <v>29</v>
      </c>
      <c r="BW20" s="85"/>
      <c r="BY20" s="57">
        <f>BT20</f>
        <v>1000</v>
      </c>
      <c r="BZ20">
        <f t="shared" si="19"/>
        <v>1500</v>
      </c>
      <c r="CA20">
        <f t="shared" si="20"/>
        <v>2000</v>
      </c>
      <c r="CB20">
        <f t="shared" si="3"/>
        <v>2000</v>
      </c>
      <c r="CC20">
        <f t="shared" si="4"/>
        <v>3000</v>
      </c>
      <c r="CD20" s="134"/>
      <c r="CE20" s="25"/>
    </row>
    <row r="21" spans="2:83" ht="15" thickBot="1" x14ac:dyDescent="0.35">
      <c r="B21" s="59">
        <v>1955</v>
      </c>
      <c r="C21" s="61">
        <v>10.7</v>
      </c>
      <c r="D21" s="61"/>
      <c r="E21" s="61"/>
      <c r="F21" s="61"/>
      <c r="W21" s="344" t="s">
        <v>349</v>
      </c>
      <c r="X21" s="344"/>
      <c r="Y21" s="344"/>
      <c r="Z21" s="344"/>
      <c r="AA21" s="344"/>
      <c r="AB21" s="344"/>
      <c r="AC21" s="344"/>
      <c r="AD21" s="344"/>
      <c r="AE21" s="344"/>
      <c r="AF21" s="344"/>
      <c r="AG21" s="344"/>
      <c r="AH21" s="344"/>
      <c r="AI21" s="344"/>
      <c r="AJ21" s="344"/>
      <c r="AK21" s="344"/>
      <c r="AL21" s="344"/>
      <c r="AM21" s="344"/>
      <c r="AN21" s="344"/>
      <c r="AX21" t="s">
        <v>209</v>
      </c>
      <c r="AY21" t="s">
        <v>215</v>
      </c>
      <c r="AZ21">
        <v>2015</v>
      </c>
      <c r="BA21">
        <v>4756.5300625</v>
      </c>
      <c r="BF21" t="s">
        <v>8</v>
      </c>
      <c r="BG21">
        <v>0</v>
      </c>
      <c r="BI21" s="328"/>
      <c r="BJ21" s="86" t="s">
        <v>71</v>
      </c>
      <c r="BK21" s="68" t="s">
        <v>7</v>
      </c>
      <c r="BL21" s="5">
        <f>+BL14+BL15+BL16+BL17+BL18+BL19+BL20</f>
        <v>1805</v>
      </c>
      <c r="BM21" s="5">
        <f>+BM14+BM15+BM16+BM17+BM18+BM19+BM20</f>
        <v>363110</v>
      </c>
      <c r="BN21" s="5" t="s">
        <v>87</v>
      </c>
      <c r="BO21"/>
      <c r="BP21"/>
      <c r="BQ21" s="5">
        <f>+BQ14+BQ15+BQ16+BQ17+BQ18+BQ19+BQ20</f>
        <v>19276</v>
      </c>
      <c r="BR21" s="5">
        <f>+BR14+BR15+BR16+BR17+BR18+BR19+BR20</f>
        <v>88887</v>
      </c>
      <c r="BT21" s="5">
        <f>+BT14+BT15+BT16+BT17+BT18+BT19+BT20</f>
        <v>5900</v>
      </c>
      <c r="BU21" s="77" t="s">
        <v>38</v>
      </c>
      <c r="BV21" s="68" t="s">
        <v>29</v>
      </c>
      <c r="BW21" s="87" t="str">
        <f>+BU21</f>
        <v>4,400-88,887</v>
      </c>
      <c r="CD21" s="134"/>
      <c r="CE21" s="26"/>
    </row>
    <row r="22" spans="2:83" ht="15" customHeight="1" x14ac:dyDescent="0.3">
      <c r="B22" s="59">
        <v>1956</v>
      </c>
      <c r="C22" s="61">
        <v>4.7</v>
      </c>
      <c r="D22" s="61"/>
      <c r="E22" s="61"/>
      <c r="F22" s="61"/>
      <c r="W22" s="344"/>
      <c r="X22" s="344"/>
      <c r="Y22" s="344"/>
      <c r="Z22" s="344"/>
      <c r="AA22" s="344"/>
      <c r="AB22" s="344"/>
      <c r="AC22" s="344"/>
      <c r="AD22" s="344"/>
      <c r="AE22" s="344"/>
      <c r="AF22" s="344"/>
      <c r="AG22" s="344"/>
      <c r="AH22" s="344"/>
      <c r="AI22" s="344"/>
      <c r="AJ22" s="344"/>
      <c r="AK22" s="344"/>
      <c r="AL22" s="344"/>
      <c r="AM22" s="344"/>
      <c r="AN22" s="344"/>
      <c r="AP22" s="352" t="s">
        <v>357</v>
      </c>
      <c r="AQ22" s="352"/>
      <c r="AR22" s="352"/>
      <c r="AS22" s="352"/>
      <c r="AT22" s="352"/>
      <c r="AU22" s="219"/>
      <c r="AX22" t="s">
        <v>209</v>
      </c>
      <c r="AY22" t="s">
        <v>215</v>
      </c>
      <c r="AZ22">
        <v>2016</v>
      </c>
      <c r="BA22">
        <v>5244.5549375000001</v>
      </c>
      <c r="BE22" t="s">
        <v>70</v>
      </c>
      <c r="BF22" t="s">
        <v>7</v>
      </c>
      <c r="BG22">
        <v>6604</v>
      </c>
      <c r="BI22" s="327" t="s">
        <v>26</v>
      </c>
      <c r="BJ22" s="78" t="s">
        <v>83</v>
      </c>
      <c r="BK22" s="79" t="s">
        <v>7</v>
      </c>
      <c r="BL22" s="80">
        <v>1562</v>
      </c>
      <c r="BM22" s="80">
        <v>5842</v>
      </c>
      <c r="BN22" s="92" t="s">
        <v>74</v>
      </c>
      <c r="BO22">
        <v>700</v>
      </c>
      <c r="BP22">
        <v>1000</v>
      </c>
      <c r="BQ22" s="80">
        <v>797</v>
      </c>
      <c r="BR22" s="80">
        <v>1943</v>
      </c>
      <c r="BS22" s="6" t="s">
        <v>133</v>
      </c>
      <c r="BT22" s="80">
        <v>2000</v>
      </c>
      <c r="BU22" s="82" t="s">
        <v>39</v>
      </c>
      <c r="BV22" s="79" t="s">
        <v>29</v>
      </c>
      <c r="BW22" s="83" t="str">
        <f>+BU22</f>
        <v>2,000-1,943</v>
      </c>
      <c r="BY22" s="57">
        <f>BT22</f>
        <v>2000</v>
      </c>
      <c r="BZ22">
        <f t="shared" ref="BZ22:BZ23" si="21">BY22+((CA22-BY22)/2)</f>
        <v>3000</v>
      </c>
      <c r="CA22">
        <f t="shared" ref="CA22:CA23" si="22">BY22*2</f>
        <v>4000</v>
      </c>
      <c r="CB22">
        <f t="shared" si="3"/>
        <v>4000</v>
      </c>
      <c r="CC22">
        <f t="shared" si="4"/>
        <v>6000</v>
      </c>
      <c r="CD22" s="134">
        <f t="shared" si="5"/>
        <v>2</v>
      </c>
      <c r="CE22" s="25"/>
    </row>
    <row r="23" spans="2:83" x14ac:dyDescent="0.3">
      <c r="B23" s="59">
        <v>1957</v>
      </c>
      <c r="C23" s="61">
        <v>4.2</v>
      </c>
      <c r="D23" s="61"/>
      <c r="E23" s="61"/>
      <c r="F23" s="61"/>
      <c r="W23" s="354" t="s">
        <v>362</v>
      </c>
      <c r="X23" s="354"/>
      <c r="Y23" s="354"/>
      <c r="Z23" s="354"/>
      <c r="AA23" s="354"/>
      <c r="AB23" s="354"/>
      <c r="AC23" s="354"/>
      <c r="AD23" s="354"/>
      <c r="AE23" s="354"/>
      <c r="AF23" s="354"/>
      <c r="AG23" s="354"/>
      <c r="AH23" s="354"/>
      <c r="AI23" s="354"/>
      <c r="AJ23" s="354"/>
      <c r="AK23" s="354"/>
      <c r="AL23" s="354"/>
      <c r="AM23" s="354"/>
      <c r="AN23" s="354"/>
      <c r="AP23" s="352"/>
      <c r="AQ23" s="352"/>
      <c r="AR23" s="352"/>
      <c r="AS23" s="352"/>
      <c r="AT23" s="352"/>
      <c r="AU23" s="219"/>
      <c r="AX23" t="s">
        <v>210</v>
      </c>
      <c r="AY23" t="s">
        <v>215</v>
      </c>
      <c r="AZ23">
        <v>2002</v>
      </c>
      <c r="BA23">
        <v>12041</v>
      </c>
      <c r="BF23" t="s">
        <v>8</v>
      </c>
      <c r="BG23">
        <v>6974</v>
      </c>
      <c r="BI23" s="328"/>
      <c r="BJ23" s="84" t="s">
        <v>84</v>
      </c>
      <c r="BK23" s="67" t="s">
        <v>7</v>
      </c>
      <c r="BL23" s="4">
        <v>109</v>
      </c>
      <c r="BM23" s="4">
        <v>10886</v>
      </c>
      <c r="BN23" s="75" t="s">
        <v>74</v>
      </c>
      <c r="BO23">
        <v>700</v>
      </c>
      <c r="BP23">
        <v>1000</v>
      </c>
      <c r="BQ23" s="4">
        <v>361</v>
      </c>
      <c r="BR23" s="4">
        <v>2582</v>
      </c>
      <c r="BS23" s="6" t="s">
        <v>131</v>
      </c>
      <c r="BT23" s="4">
        <v>900</v>
      </c>
      <c r="BU23" s="74" t="s">
        <v>90</v>
      </c>
      <c r="BV23" s="67" t="s">
        <v>29</v>
      </c>
      <c r="BW23" s="11" t="str">
        <f>+BU23</f>
        <v>900-2,582</v>
      </c>
      <c r="BY23" s="57">
        <f>BT23</f>
        <v>900</v>
      </c>
      <c r="BZ23">
        <f t="shared" si="21"/>
        <v>1350</v>
      </c>
      <c r="CA23">
        <f t="shared" si="22"/>
        <v>1800</v>
      </c>
      <c r="CB23">
        <f t="shared" si="3"/>
        <v>1800</v>
      </c>
      <c r="CC23">
        <f t="shared" si="4"/>
        <v>2700</v>
      </c>
      <c r="CD23" s="134">
        <f t="shared" si="5"/>
        <v>2</v>
      </c>
      <c r="CE23" s="25"/>
    </row>
    <row r="24" spans="2:83" ht="15" thickBot="1" x14ac:dyDescent="0.35">
      <c r="B24" s="59">
        <v>1958</v>
      </c>
      <c r="C24" s="61">
        <v>8.3000000000000007</v>
      </c>
      <c r="D24" s="61"/>
      <c r="E24" s="61"/>
      <c r="F24" s="61"/>
      <c r="AP24" s="352"/>
      <c r="AQ24" s="352"/>
      <c r="AR24" s="352"/>
      <c r="AS24" s="352"/>
      <c r="AT24" s="352"/>
      <c r="AU24" s="219"/>
      <c r="AX24" t="s">
        <v>210</v>
      </c>
      <c r="AY24" t="s">
        <v>215</v>
      </c>
      <c r="AZ24">
        <v>2003</v>
      </c>
      <c r="BA24">
        <v>16974</v>
      </c>
      <c r="BD24" t="s">
        <v>21</v>
      </c>
      <c r="BE24" t="s">
        <v>22</v>
      </c>
      <c r="BF24" t="s">
        <v>7</v>
      </c>
      <c r="BG24">
        <v>50</v>
      </c>
      <c r="BI24" s="328"/>
      <c r="BJ24" s="86" t="s">
        <v>72</v>
      </c>
      <c r="BK24" s="68" t="s">
        <v>7</v>
      </c>
      <c r="BL24" s="5">
        <f>+BL22+BL23</f>
        <v>1671</v>
      </c>
      <c r="BM24" s="5">
        <f>+BM22+BM23</f>
        <v>16728</v>
      </c>
      <c r="BN24" s="5" t="s">
        <v>86</v>
      </c>
      <c r="BO24"/>
      <c r="BP24"/>
      <c r="BQ24" s="5">
        <f>+BQ22+BQ23</f>
        <v>1158</v>
      </c>
      <c r="BR24" s="5">
        <f>+BR22+BR23</f>
        <v>4525</v>
      </c>
      <c r="BT24" s="5">
        <f>+BT22+BT23</f>
        <v>2900</v>
      </c>
      <c r="BU24" s="77" t="s">
        <v>40</v>
      </c>
      <c r="BV24" s="68" t="s">
        <v>29</v>
      </c>
      <c r="BW24" s="87" t="str">
        <f>+BU24</f>
        <v>2,900-4,525</v>
      </c>
      <c r="CE24" s="26"/>
    </row>
    <row r="25" spans="2:83" ht="25.2" thickBot="1" x14ac:dyDescent="0.35">
      <c r="B25" s="59">
        <v>1959</v>
      </c>
      <c r="C25" s="61">
        <v>5.5</v>
      </c>
      <c r="D25" s="61"/>
      <c r="E25" s="61"/>
      <c r="F25" s="61"/>
      <c r="AP25" s="352"/>
      <c r="AQ25" s="352"/>
      <c r="AR25" s="352"/>
      <c r="AS25" s="352"/>
      <c r="AT25" s="352"/>
      <c r="AU25" s="164"/>
      <c r="AX25" t="s">
        <v>210</v>
      </c>
      <c r="AY25" t="s">
        <v>215</v>
      </c>
      <c r="AZ25">
        <v>2004</v>
      </c>
      <c r="BA25">
        <v>14020.398062499999</v>
      </c>
      <c r="BF25" t="s">
        <v>8</v>
      </c>
      <c r="BG25">
        <v>50</v>
      </c>
      <c r="BI25" s="93" t="s">
        <v>27</v>
      </c>
      <c r="BJ25" s="94" t="s">
        <v>27</v>
      </c>
      <c r="BK25" s="95" t="s">
        <v>7</v>
      </c>
      <c r="BL25" s="96">
        <f>+BL24+BL21+BL13</f>
        <v>9963</v>
      </c>
      <c r="BM25" s="96">
        <f>+BM24+BM21+BM13</f>
        <v>412919</v>
      </c>
      <c r="BN25" s="96" t="s">
        <v>88</v>
      </c>
      <c r="BO25"/>
      <c r="BP25"/>
      <c r="BQ25" s="96">
        <f>+BQ24+BQ21+BQ13</f>
        <v>24246</v>
      </c>
      <c r="BR25" s="96">
        <f>+BR24+BR21+BR13</f>
        <v>107005</v>
      </c>
      <c r="BS25" s="6" t="s">
        <v>133</v>
      </c>
      <c r="BT25" s="96">
        <f>+BT24+BT21+BT13</f>
        <v>16000</v>
      </c>
      <c r="BU25" s="97" t="s">
        <v>41</v>
      </c>
      <c r="BV25" s="95" t="s">
        <v>29</v>
      </c>
      <c r="BW25" s="98" t="str">
        <f>+BU25</f>
        <v>11,500-107,005</v>
      </c>
      <c r="CE25" s="26"/>
    </row>
    <row r="26" spans="2:83" ht="15" thickBot="1" x14ac:dyDescent="0.35">
      <c r="B26" s="59">
        <v>1960</v>
      </c>
      <c r="C26" s="61">
        <v>3</v>
      </c>
      <c r="D26" s="61"/>
      <c r="E26" s="61"/>
      <c r="F26" s="61"/>
      <c r="AX26" t="s">
        <v>210</v>
      </c>
      <c r="AY26" t="s">
        <v>215</v>
      </c>
      <c r="AZ26">
        <v>2005</v>
      </c>
      <c r="BA26">
        <v>4335.9200624999994</v>
      </c>
      <c r="BE26" t="s">
        <v>23</v>
      </c>
      <c r="BF26" t="s">
        <v>7</v>
      </c>
      <c r="BG26">
        <v>50</v>
      </c>
    </row>
    <row r="27" spans="2:83" ht="76.2" thickBot="1" x14ac:dyDescent="0.35">
      <c r="B27" s="59">
        <v>1961</v>
      </c>
      <c r="C27" s="61">
        <v>3.1</v>
      </c>
      <c r="D27" s="61"/>
      <c r="E27" s="61"/>
      <c r="F27" s="61"/>
      <c r="W27" s="360" t="s">
        <v>206</v>
      </c>
      <c r="X27" s="355" t="s">
        <v>393</v>
      </c>
      <c r="Y27" s="355" t="s">
        <v>394</v>
      </c>
      <c r="Z27" s="355" t="s">
        <v>395</v>
      </c>
      <c r="AA27" s="355" t="s">
        <v>396</v>
      </c>
      <c r="AB27" s="355" t="s">
        <v>397</v>
      </c>
      <c r="AC27" s="355" t="s">
        <v>398</v>
      </c>
      <c r="AD27" s="355" t="s">
        <v>399</v>
      </c>
      <c r="AE27" s="355" t="s">
        <v>400</v>
      </c>
      <c r="AF27" s="355" t="s">
        <v>401</v>
      </c>
      <c r="AG27" s="367" t="s">
        <v>9</v>
      </c>
      <c r="AH27" s="367" t="s">
        <v>404</v>
      </c>
      <c r="AI27" s="367" t="s">
        <v>405</v>
      </c>
      <c r="AX27" t="s">
        <v>210</v>
      </c>
      <c r="AY27" t="s">
        <v>215</v>
      </c>
      <c r="AZ27">
        <v>2006</v>
      </c>
      <c r="BA27">
        <v>6721.9769999999999</v>
      </c>
      <c r="BF27" t="s">
        <v>8</v>
      </c>
      <c r="BG27">
        <v>50</v>
      </c>
    </row>
    <row r="28" spans="2:83" ht="15" thickBot="1" x14ac:dyDescent="0.35">
      <c r="B28" s="59">
        <v>1962</v>
      </c>
      <c r="C28" s="61">
        <v>5.7</v>
      </c>
      <c r="D28" s="61"/>
      <c r="E28" s="61"/>
      <c r="F28" s="61"/>
      <c r="W28" s="361">
        <v>2001</v>
      </c>
      <c r="X28" s="356">
        <v>4246</v>
      </c>
      <c r="Y28" s="357"/>
      <c r="Z28" s="357"/>
      <c r="AA28" s="356">
        <v>1234</v>
      </c>
      <c r="AB28" s="357">
        <v>46</v>
      </c>
      <c r="AC28" s="357">
        <v>811</v>
      </c>
      <c r="AD28" s="357">
        <v>135</v>
      </c>
      <c r="AE28" s="356">
        <v>2201</v>
      </c>
      <c r="AF28" s="357">
        <v>315</v>
      </c>
      <c r="AG28" s="57">
        <f>SUM(AA28:AF28)</f>
        <v>4742</v>
      </c>
      <c r="AH28" s="57">
        <f>AA28+AC28+AE28</f>
        <v>4246</v>
      </c>
      <c r="AI28" s="57">
        <f t="shared" ref="AI28:AI45" si="23">AB28+AD28+AF28</f>
        <v>496</v>
      </c>
      <c r="AX28" t="s">
        <v>210</v>
      </c>
      <c r="AY28" t="s">
        <v>215</v>
      </c>
      <c r="AZ28">
        <v>2007</v>
      </c>
      <c r="BA28">
        <v>4133.0923750000002</v>
      </c>
      <c r="BE28" t="s">
        <v>24</v>
      </c>
      <c r="BF28" t="s">
        <v>7</v>
      </c>
      <c r="BG28">
        <v>50</v>
      </c>
      <c r="BI28" s="324" t="s">
        <v>13</v>
      </c>
      <c r="BJ28" t="s">
        <v>10</v>
      </c>
      <c r="BK28" s="67" t="s">
        <v>8</v>
      </c>
      <c r="BL28" s="4">
        <v>6557</v>
      </c>
      <c r="BM28" s="4"/>
      <c r="BN28" s="4">
        <f>BL28-BL6</f>
        <v>370</v>
      </c>
      <c r="BO28" s="142">
        <f>BN28/BL28</f>
        <v>5.6428244624065885E-2</v>
      </c>
      <c r="BP28" s="4"/>
      <c r="BQ28" s="4"/>
      <c r="BR28" s="4"/>
      <c r="BT28" s="4"/>
      <c r="BU28" s="67"/>
      <c r="BV28" s="67"/>
      <c r="BW28" s="67"/>
    </row>
    <row r="29" spans="2:83" ht="15" thickBot="1" x14ac:dyDescent="0.35">
      <c r="B29" s="59">
        <v>1963</v>
      </c>
      <c r="C29" s="61">
        <v>3</v>
      </c>
      <c r="D29" s="61"/>
      <c r="E29" s="61"/>
      <c r="F29" s="61"/>
      <c r="W29" s="362">
        <v>2002</v>
      </c>
      <c r="X29" s="358">
        <v>10493</v>
      </c>
      <c r="Y29" s="359"/>
      <c r="Z29" s="359"/>
      <c r="AA29" s="358">
        <v>2792</v>
      </c>
      <c r="AB29" s="359">
        <v>162</v>
      </c>
      <c r="AC29" s="358">
        <v>2952</v>
      </c>
      <c r="AD29" s="359">
        <v>129</v>
      </c>
      <c r="AE29" s="358">
        <v>4749</v>
      </c>
      <c r="AF29" s="359">
        <v>929</v>
      </c>
      <c r="AG29" s="57">
        <f t="shared" ref="AG29:AG45" si="24">SUM(AA29:AF29)</f>
        <v>11713</v>
      </c>
      <c r="AH29" s="57">
        <f t="shared" ref="AH29:AH45" si="25">AA29+AC29+AE29</f>
        <v>10493</v>
      </c>
      <c r="AI29" s="57">
        <f t="shared" si="23"/>
        <v>1220</v>
      </c>
      <c r="AX29" t="s">
        <v>210</v>
      </c>
      <c r="AY29" t="s">
        <v>215</v>
      </c>
      <c r="AZ29">
        <v>2008</v>
      </c>
      <c r="BA29">
        <v>2694.8244999999997</v>
      </c>
      <c r="BF29" t="s">
        <v>8</v>
      </c>
      <c r="BG29">
        <v>50</v>
      </c>
      <c r="BI29" s="324"/>
      <c r="BJ29" t="s">
        <v>11</v>
      </c>
      <c r="BK29" s="67" t="s">
        <v>8</v>
      </c>
      <c r="BL29" s="4">
        <v>50</v>
      </c>
      <c r="BM29" s="4"/>
      <c r="BN29" s="4"/>
      <c r="BO29" s="4"/>
      <c r="BP29" s="4"/>
      <c r="BQ29" s="4"/>
      <c r="BR29" s="4"/>
      <c r="BT29" s="4"/>
      <c r="BU29" s="67"/>
      <c r="BV29" s="67"/>
      <c r="BW29" s="67"/>
    </row>
    <row r="30" spans="2:83" ht="15" thickBot="1" x14ac:dyDescent="0.35">
      <c r="B30" s="59">
        <v>1964</v>
      </c>
      <c r="C30" s="61">
        <v>3.2</v>
      </c>
      <c r="D30" s="61"/>
      <c r="E30" s="61"/>
      <c r="F30" s="61"/>
      <c r="W30" s="361">
        <v>2003</v>
      </c>
      <c r="X30" s="356">
        <v>15559</v>
      </c>
      <c r="Y30" s="357"/>
      <c r="Z30" s="357"/>
      <c r="AA30" s="356">
        <v>4876</v>
      </c>
      <c r="AB30" s="357">
        <v>254</v>
      </c>
      <c r="AC30" s="356">
        <v>5026</v>
      </c>
      <c r="AD30" s="357">
        <v>351</v>
      </c>
      <c r="AE30" s="356">
        <v>5657</v>
      </c>
      <c r="AF30" s="357">
        <v>505</v>
      </c>
      <c r="AG30" s="57">
        <f t="shared" si="24"/>
        <v>16669</v>
      </c>
      <c r="AH30" s="57">
        <f t="shared" si="25"/>
        <v>15559</v>
      </c>
      <c r="AI30" s="57">
        <f t="shared" si="23"/>
        <v>1110</v>
      </c>
      <c r="AX30" t="s">
        <v>210</v>
      </c>
      <c r="AY30" t="s">
        <v>215</v>
      </c>
      <c r="AZ30">
        <v>2009</v>
      </c>
      <c r="BA30">
        <v>2984.123</v>
      </c>
      <c r="BE30" t="s">
        <v>25</v>
      </c>
      <c r="BF30" t="s">
        <v>7</v>
      </c>
      <c r="BG30">
        <v>50</v>
      </c>
      <c r="BI30" s="324"/>
      <c r="BJ30" t="s">
        <v>12</v>
      </c>
      <c r="BK30" s="67" t="s">
        <v>8</v>
      </c>
      <c r="BL30" s="4">
        <v>50</v>
      </c>
      <c r="BM30" s="4"/>
      <c r="BN30" s="4"/>
      <c r="BO30" s="4"/>
      <c r="BP30" s="4"/>
      <c r="BQ30" s="4"/>
      <c r="BR30" s="4"/>
      <c r="BT30" s="4"/>
      <c r="BU30" s="67"/>
      <c r="BV30" s="67"/>
      <c r="BW30" s="67"/>
    </row>
    <row r="31" spans="2:83" ht="15" thickBot="1" x14ac:dyDescent="0.35">
      <c r="B31" s="59">
        <v>1965</v>
      </c>
      <c r="C31" s="61">
        <v>1.5</v>
      </c>
      <c r="D31" s="61"/>
      <c r="E31" s="61"/>
      <c r="F31" s="61"/>
      <c r="W31" s="362">
        <v>2004</v>
      </c>
      <c r="X31" s="358">
        <v>13151</v>
      </c>
      <c r="Y31" s="359"/>
      <c r="Z31" s="359"/>
      <c r="AA31" s="358">
        <v>1051</v>
      </c>
      <c r="AB31" s="359">
        <v>0</v>
      </c>
      <c r="AC31" s="358">
        <v>5344</v>
      </c>
      <c r="AD31" s="359">
        <v>352</v>
      </c>
      <c r="AE31" s="358">
        <v>6757</v>
      </c>
      <c r="AF31" s="359">
        <v>213</v>
      </c>
      <c r="AG31" s="57">
        <f t="shared" si="24"/>
        <v>13717</v>
      </c>
      <c r="AH31" s="57">
        <f t="shared" si="25"/>
        <v>13152</v>
      </c>
      <c r="AI31" s="57">
        <f t="shared" si="23"/>
        <v>565</v>
      </c>
      <c r="AX31" t="s">
        <v>210</v>
      </c>
      <c r="AY31" t="s">
        <v>215</v>
      </c>
      <c r="AZ31">
        <v>2010</v>
      </c>
      <c r="BA31">
        <v>6666.560125</v>
      </c>
      <c r="BF31" t="s">
        <v>8</v>
      </c>
      <c r="BG31">
        <v>50</v>
      </c>
      <c r="BI31" s="324"/>
      <c r="BJ31" t="s">
        <v>91</v>
      </c>
      <c r="BK31" s="67" t="s">
        <v>8</v>
      </c>
      <c r="BL31" s="4"/>
      <c r="BM31" s="4"/>
      <c r="BN31" s="4"/>
      <c r="BO31" s="4"/>
      <c r="BP31" s="4"/>
      <c r="BQ31" s="4"/>
      <c r="BR31" s="4"/>
      <c r="BT31" s="4"/>
      <c r="BU31" s="67"/>
      <c r="BV31" s="67"/>
      <c r="BW31" s="67"/>
    </row>
    <row r="32" spans="2:83" ht="15" thickBot="1" x14ac:dyDescent="0.35">
      <c r="B32" s="59">
        <v>1966</v>
      </c>
      <c r="C32" s="61">
        <v>3.1</v>
      </c>
      <c r="D32" s="61"/>
      <c r="E32" s="61"/>
      <c r="F32" s="61"/>
      <c r="W32" s="361">
        <v>2005</v>
      </c>
      <c r="X32" s="356">
        <v>3795</v>
      </c>
      <c r="Y32" s="357"/>
      <c r="Z32" s="357"/>
      <c r="AA32" s="356">
        <v>1337</v>
      </c>
      <c r="AB32" s="357">
        <v>81</v>
      </c>
      <c r="AC32" s="356">
        <v>1292</v>
      </c>
      <c r="AD32" s="357">
        <v>87</v>
      </c>
      <c r="AE32" s="356">
        <v>1166</v>
      </c>
      <c r="AF32" s="357">
        <v>241</v>
      </c>
      <c r="AG32" s="57">
        <f t="shared" si="24"/>
        <v>4204</v>
      </c>
      <c r="AH32" s="57">
        <f t="shared" si="25"/>
        <v>3795</v>
      </c>
      <c r="AI32" s="57">
        <f t="shared" si="23"/>
        <v>409</v>
      </c>
      <c r="AX32" t="s">
        <v>210</v>
      </c>
      <c r="AY32" t="s">
        <v>215</v>
      </c>
      <c r="AZ32">
        <v>2011</v>
      </c>
      <c r="BA32">
        <v>11103.9661875</v>
      </c>
      <c r="BE32" t="s">
        <v>209</v>
      </c>
      <c r="BF32" t="s">
        <v>7</v>
      </c>
      <c r="BG32">
        <v>1555</v>
      </c>
      <c r="BI32" s="324"/>
      <c r="BJ32" t="s">
        <v>103</v>
      </c>
      <c r="BK32" s="67" t="s">
        <v>8</v>
      </c>
      <c r="BL32" s="4"/>
      <c r="BM32" s="4"/>
      <c r="BN32" s="4"/>
      <c r="BO32" s="4"/>
      <c r="BP32" s="4"/>
      <c r="BQ32" s="4"/>
      <c r="BR32" s="4"/>
      <c r="BT32" s="4"/>
      <c r="BU32" s="67"/>
      <c r="BV32" s="67"/>
      <c r="BW32" s="67"/>
    </row>
    <row r="33" spans="2:75" ht="15" thickBot="1" x14ac:dyDescent="0.35">
      <c r="B33" s="59">
        <v>1967</v>
      </c>
      <c r="C33" s="61">
        <v>2.1</v>
      </c>
      <c r="D33" s="61"/>
      <c r="E33" s="61">
        <v>128</v>
      </c>
      <c r="F33" s="61"/>
      <c r="W33" s="362">
        <v>2006</v>
      </c>
      <c r="X33" s="358">
        <v>6162</v>
      </c>
      <c r="Y33" s="359"/>
      <c r="Z33" s="359"/>
      <c r="AA33" s="358">
        <v>3672</v>
      </c>
      <c r="AB33" s="359">
        <v>147</v>
      </c>
      <c r="AC33" s="358">
        <v>1444</v>
      </c>
      <c r="AD33" s="359">
        <v>66</v>
      </c>
      <c r="AE33" s="358">
        <v>1129</v>
      </c>
      <c r="AF33" s="359">
        <v>248</v>
      </c>
      <c r="AG33" s="57">
        <f t="shared" si="24"/>
        <v>6706</v>
      </c>
      <c r="AH33" s="57">
        <f t="shared" si="25"/>
        <v>6245</v>
      </c>
      <c r="AI33" s="57">
        <f t="shared" si="23"/>
        <v>461</v>
      </c>
      <c r="AX33" t="s">
        <v>210</v>
      </c>
      <c r="AY33" t="s">
        <v>215</v>
      </c>
      <c r="AZ33">
        <v>2012</v>
      </c>
      <c r="BA33">
        <v>8228.8086249999997</v>
      </c>
      <c r="BF33" t="s">
        <v>8</v>
      </c>
      <c r="BG33">
        <v>1560</v>
      </c>
      <c r="BI33" s="324"/>
      <c r="BJ33" t="s">
        <v>92</v>
      </c>
      <c r="BK33" s="67" t="s">
        <v>8</v>
      </c>
      <c r="BL33" s="4"/>
      <c r="BM33" s="4"/>
      <c r="BN33" s="4"/>
      <c r="BO33" s="4"/>
      <c r="BP33" s="4"/>
      <c r="BQ33" s="4"/>
      <c r="BR33" s="4"/>
      <c r="BT33" s="4"/>
      <c r="BU33" s="67"/>
      <c r="BV33" s="67"/>
      <c r="BW33" s="67"/>
    </row>
    <row r="34" spans="2:75" ht="15" thickBot="1" x14ac:dyDescent="0.35">
      <c r="B34" s="59">
        <v>1968</v>
      </c>
      <c r="C34" s="61">
        <v>0.6</v>
      </c>
      <c r="D34" s="61"/>
      <c r="E34" s="61">
        <v>99</v>
      </c>
      <c r="F34" s="61"/>
      <c r="W34" s="361">
        <v>2007</v>
      </c>
      <c r="X34" s="356">
        <v>3817</v>
      </c>
      <c r="Y34" s="357"/>
      <c r="Z34" s="357"/>
      <c r="AA34" s="357">
        <v>837</v>
      </c>
      <c r="AB34" s="357">
        <v>33</v>
      </c>
      <c r="AC34" s="356">
        <v>1176</v>
      </c>
      <c r="AD34" s="357">
        <v>51</v>
      </c>
      <c r="AE34" s="356">
        <v>1803</v>
      </c>
      <c r="AF34" s="357">
        <v>99</v>
      </c>
      <c r="AG34" s="57">
        <f t="shared" si="24"/>
        <v>3999</v>
      </c>
      <c r="AH34" s="57">
        <f t="shared" si="25"/>
        <v>3816</v>
      </c>
      <c r="AI34" s="57">
        <f t="shared" si="23"/>
        <v>183</v>
      </c>
      <c r="AX34" t="s">
        <v>210</v>
      </c>
      <c r="AY34" t="s">
        <v>215</v>
      </c>
      <c r="AZ34">
        <v>2013</v>
      </c>
      <c r="BA34">
        <v>5384.0365625000004</v>
      </c>
      <c r="BE34" t="s">
        <v>94</v>
      </c>
      <c r="BF34" t="s">
        <v>7</v>
      </c>
      <c r="BG34">
        <v>0</v>
      </c>
      <c r="BI34" s="324"/>
      <c r="BJ34" t="s">
        <v>93</v>
      </c>
      <c r="BK34" s="67" t="s">
        <v>8</v>
      </c>
      <c r="BL34" s="4"/>
      <c r="BM34" s="4"/>
      <c r="BN34" s="4"/>
      <c r="BO34" s="4"/>
      <c r="BP34" s="4"/>
      <c r="BQ34" s="4"/>
      <c r="BR34" s="4"/>
      <c r="BT34" s="4"/>
      <c r="BU34" s="67"/>
      <c r="BV34" s="67"/>
      <c r="BW34" s="67"/>
    </row>
    <row r="35" spans="2:75" ht="15" thickBot="1" x14ac:dyDescent="0.35">
      <c r="B35" s="59">
        <v>1969</v>
      </c>
      <c r="C35" s="61">
        <v>1.1000000000000001</v>
      </c>
      <c r="D35" s="61"/>
      <c r="E35" s="61">
        <v>88</v>
      </c>
      <c r="F35" s="61"/>
      <c r="W35" s="362">
        <v>2008</v>
      </c>
      <c r="X35" s="358">
        <v>2401</v>
      </c>
      <c r="Y35" s="359"/>
      <c r="Z35" s="359"/>
      <c r="AA35" s="359">
        <v>992</v>
      </c>
      <c r="AB35" s="359">
        <v>101</v>
      </c>
      <c r="AC35" s="359">
        <v>684</v>
      </c>
      <c r="AD35" s="359">
        <v>37</v>
      </c>
      <c r="AE35" s="359">
        <v>725</v>
      </c>
      <c r="AF35" s="359">
        <v>68</v>
      </c>
      <c r="AG35" s="57">
        <f t="shared" si="24"/>
        <v>2607</v>
      </c>
      <c r="AH35" s="57">
        <f t="shared" si="25"/>
        <v>2401</v>
      </c>
      <c r="AI35" s="57">
        <f t="shared" si="23"/>
        <v>206</v>
      </c>
      <c r="AX35" t="s">
        <v>210</v>
      </c>
      <c r="AY35" t="s">
        <v>215</v>
      </c>
      <c r="AZ35">
        <v>2014</v>
      </c>
      <c r="BA35">
        <v>5038.3306874999998</v>
      </c>
      <c r="BF35" t="s">
        <v>8</v>
      </c>
      <c r="BG35">
        <v>0</v>
      </c>
      <c r="BI35" s="324"/>
      <c r="BJ35" t="s">
        <v>70</v>
      </c>
      <c r="BK35" s="68" t="s">
        <v>8</v>
      </c>
      <c r="BL35" s="5">
        <f>+BL28+BL29+BL30+BL31+BL32+BL33+BL34</f>
        <v>6657</v>
      </c>
      <c r="BM35" s="5" t="s">
        <v>194</v>
      </c>
      <c r="BN35" s="5"/>
      <c r="BO35" s="5"/>
      <c r="BP35" s="5"/>
      <c r="BQ35" s="5"/>
      <c r="BR35" s="5"/>
      <c r="BT35" s="5"/>
      <c r="BU35" s="68"/>
      <c r="BV35" s="68"/>
      <c r="BW35" s="68"/>
    </row>
    <row r="36" spans="2:75" ht="15" thickBot="1" x14ac:dyDescent="0.35">
      <c r="B36" s="59">
        <v>1970</v>
      </c>
      <c r="C36" s="61">
        <v>1.2</v>
      </c>
      <c r="D36" s="61"/>
      <c r="E36" s="61">
        <v>83</v>
      </c>
      <c r="F36" s="61"/>
      <c r="W36" s="361">
        <v>2009</v>
      </c>
      <c r="X36" s="356">
        <v>2776</v>
      </c>
      <c r="Y36" s="357"/>
      <c r="Z36" s="357"/>
      <c r="AA36" s="357">
        <v>968</v>
      </c>
      <c r="AB36" s="357">
        <v>28</v>
      </c>
      <c r="AC36" s="357">
        <v>724</v>
      </c>
      <c r="AD36" s="357">
        <v>26</v>
      </c>
      <c r="AE36" s="356">
        <v>1084</v>
      </c>
      <c r="AF36" s="357">
        <v>46</v>
      </c>
      <c r="AG36" s="57">
        <f t="shared" si="24"/>
        <v>2876</v>
      </c>
      <c r="AH36" s="57">
        <f t="shared" si="25"/>
        <v>2776</v>
      </c>
      <c r="AI36" s="57">
        <f t="shared" si="23"/>
        <v>100</v>
      </c>
      <c r="AX36" t="s">
        <v>210</v>
      </c>
      <c r="AY36" t="s">
        <v>215</v>
      </c>
      <c r="AZ36">
        <v>2015</v>
      </c>
      <c r="BA36">
        <v>11708.194687499999</v>
      </c>
      <c r="BE36" t="s">
        <v>95</v>
      </c>
      <c r="BF36" t="s">
        <v>7</v>
      </c>
      <c r="BG36">
        <v>0</v>
      </c>
      <c r="BI36" s="324" t="s">
        <v>21</v>
      </c>
      <c r="BJ36" t="s">
        <v>22</v>
      </c>
      <c r="BK36" s="67" t="s">
        <v>8</v>
      </c>
      <c r="BL36" s="4">
        <v>50</v>
      </c>
      <c r="BM36" s="4"/>
      <c r="BN36" s="4"/>
      <c r="BO36" s="4"/>
      <c r="BP36" s="4"/>
      <c r="BQ36" s="4"/>
      <c r="BR36" s="4"/>
      <c r="BT36" s="4"/>
      <c r="BU36" s="67"/>
      <c r="BV36" s="67"/>
      <c r="BW36" s="67"/>
    </row>
    <row r="37" spans="2:75" ht="15" thickBot="1" x14ac:dyDescent="0.35">
      <c r="B37" s="59">
        <v>1971</v>
      </c>
      <c r="C37" s="61">
        <v>1.1000000000000001</v>
      </c>
      <c r="D37" s="61"/>
      <c r="E37" s="61">
        <v>81</v>
      </c>
      <c r="F37" s="61"/>
      <c r="W37" s="362">
        <v>2010</v>
      </c>
      <c r="X37" s="358">
        <v>6082</v>
      </c>
      <c r="Y37" s="359"/>
      <c r="Z37" s="359"/>
      <c r="AA37" s="359">
        <v>843</v>
      </c>
      <c r="AB37" s="359">
        <v>22</v>
      </c>
      <c r="AC37" s="358">
        <v>3536</v>
      </c>
      <c r="AD37" s="359">
        <v>165</v>
      </c>
      <c r="AE37" s="358">
        <v>1704</v>
      </c>
      <c r="AF37" s="359">
        <v>110</v>
      </c>
      <c r="AG37" s="57">
        <f t="shared" si="24"/>
        <v>6380</v>
      </c>
      <c r="AH37" s="57">
        <f t="shared" si="25"/>
        <v>6083</v>
      </c>
      <c r="AI37" s="57">
        <f t="shared" si="23"/>
        <v>297</v>
      </c>
      <c r="AX37" t="s">
        <v>210</v>
      </c>
      <c r="AY37" t="s">
        <v>215</v>
      </c>
      <c r="AZ37">
        <v>2016</v>
      </c>
      <c r="BA37">
        <v>31266.179479166698</v>
      </c>
      <c r="BF37" t="s">
        <v>8</v>
      </c>
      <c r="BG37">
        <v>0</v>
      </c>
      <c r="BI37" s="324"/>
      <c r="BJ37" t="s">
        <v>23</v>
      </c>
      <c r="BK37" s="67" t="s">
        <v>8</v>
      </c>
      <c r="BL37" s="4">
        <v>50</v>
      </c>
      <c r="BM37" s="4"/>
      <c r="BN37" s="4"/>
      <c r="BO37" s="4"/>
      <c r="BP37" s="4"/>
      <c r="BQ37" s="4"/>
      <c r="BR37" s="4"/>
      <c r="BT37" s="4"/>
      <c r="BU37" s="67"/>
      <c r="BV37" s="67"/>
      <c r="BW37" s="67"/>
    </row>
    <row r="38" spans="2:75" ht="15" thickBot="1" x14ac:dyDescent="0.35">
      <c r="B38" s="59">
        <v>1972</v>
      </c>
      <c r="C38" s="61">
        <v>2.4</v>
      </c>
      <c r="D38" s="61"/>
      <c r="E38" s="61">
        <v>156</v>
      </c>
      <c r="F38" s="61"/>
      <c r="W38" s="361">
        <v>2011</v>
      </c>
      <c r="X38" s="356">
        <v>10052</v>
      </c>
      <c r="Y38" s="357"/>
      <c r="Z38" s="357"/>
      <c r="AA38" s="356">
        <v>2133</v>
      </c>
      <c r="AB38" s="357">
        <v>171</v>
      </c>
      <c r="AC38" s="356">
        <v>2317</v>
      </c>
      <c r="AD38" s="357">
        <v>192</v>
      </c>
      <c r="AE38" s="356">
        <v>5603</v>
      </c>
      <c r="AF38" s="357">
        <v>393</v>
      </c>
      <c r="AG38" s="57">
        <f t="shared" si="24"/>
        <v>10809</v>
      </c>
      <c r="AH38" s="57">
        <f t="shared" si="25"/>
        <v>10053</v>
      </c>
      <c r="AI38" s="57">
        <f t="shared" si="23"/>
        <v>756</v>
      </c>
      <c r="AX38" t="s">
        <v>211</v>
      </c>
      <c r="AY38" t="s">
        <v>215</v>
      </c>
      <c r="AZ38">
        <v>2002</v>
      </c>
      <c r="BA38">
        <v>8120.7070624999997</v>
      </c>
      <c r="BE38" t="s">
        <v>71</v>
      </c>
      <c r="BF38" t="s">
        <v>7</v>
      </c>
      <c r="BG38">
        <v>1755</v>
      </c>
      <c r="BI38" s="324"/>
      <c r="BJ38" t="s">
        <v>24</v>
      </c>
      <c r="BK38" s="67" t="s">
        <v>8</v>
      </c>
      <c r="BL38" s="4">
        <v>50</v>
      </c>
      <c r="BM38" s="4"/>
      <c r="BN38" s="4"/>
      <c r="BO38" s="4"/>
      <c r="BP38" s="4"/>
      <c r="BQ38" s="4"/>
      <c r="BR38" s="4"/>
      <c r="BT38" s="4"/>
      <c r="BU38" s="67"/>
      <c r="BV38" s="67"/>
      <c r="BW38" s="67"/>
    </row>
    <row r="39" spans="2:75" ht="15" thickBot="1" x14ac:dyDescent="0.35">
      <c r="B39" s="59">
        <v>1973</v>
      </c>
      <c r="C39" s="61">
        <v>1.8</v>
      </c>
      <c r="D39" s="61"/>
      <c r="E39" s="61">
        <v>116</v>
      </c>
      <c r="F39" s="61"/>
      <c r="W39" s="362">
        <v>2012</v>
      </c>
      <c r="X39" s="358">
        <v>7782</v>
      </c>
      <c r="Y39" s="359"/>
      <c r="Z39" s="359"/>
      <c r="AA39" s="358">
        <v>3363</v>
      </c>
      <c r="AB39" s="359">
        <v>112</v>
      </c>
      <c r="AC39" s="358">
        <v>1706</v>
      </c>
      <c r="AD39" s="359">
        <v>11</v>
      </c>
      <c r="AE39" s="358">
        <v>2713</v>
      </c>
      <c r="AF39" s="359">
        <v>104</v>
      </c>
      <c r="AG39" s="57">
        <f t="shared" si="24"/>
        <v>8009</v>
      </c>
      <c r="AH39" s="57">
        <f t="shared" si="25"/>
        <v>7782</v>
      </c>
      <c r="AI39" s="57">
        <f t="shared" si="23"/>
        <v>227</v>
      </c>
      <c r="AX39" t="s">
        <v>211</v>
      </c>
      <c r="AY39" t="s">
        <v>215</v>
      </c>
      <c r="AZ39">
        <v>2003</v>
      </c>
      <c r="BA39">
        <v>3455.4219374999998</v>
      </c>
      <c r="BF39" t="s">
        <v>8</v>
      </c>
      <c r="BG39">
        <v>1760</v>
      </c>
      <c r="BI39" s="324"/>
      <c r="BJ39" t="s">
        <v>25</v>
      </c>
      <c r="BK39" s="67" t="s">
        <v>8</v>
      </c>
      <c r="BL39" s="4">
        <v>50</v>
      </c>
      <c r="BM39" s="4"/>
      <c r="BN39" s="4"/>
      <c r="BO39" s="4"/>
      <c r="BP39" s="4"/>
      <c r="BQ39" s="4"/>
      <c r="BR39" s="4"/>
      <c r="BT39" s="4"/>
      <c r="BU39" s="67"/>
      <c r="BV39" s="67"/>
      <c r="BW39" s="67"/>
    </row>
    <row r="40" spans="2:75" ht="15" thickBot="1" x14ac:dyDescent="0.35">
      <c r="B40" s="59">
        <v>1974</v>
      </c>
      <c r="C40" s="61">
        <v>1.2</v>
      </c>
      <c r="D40" s="61"/>
      <c r="E40" s="61">
        <v>19</v>
      </c>
      <c r="F40" s="61"/>
      <c r="W40" s="361">
        <v>2013</v>
      </c>
      <c r="X40" s="356">
        <v>4832</v>
      </c>
      <c r="Y40" s="357"/>
      <c r="Z40" s="357"/>
      <c r="AA40" s="356">
        <v>1786</v>
      </c>
      <c r="AB40" s="357">
        <v>139</v>
      </c>
      <c r="AC40" s="356">
        <v>1292</v>
      </c>
      <c r="AD40" s="357">
        <v>60</v>
      </c>
      <c r="AE40" s="356">
        <v>1754</v>
      </c>
      <c r="AF40" s="357">
        <v>103</v>
      </c>
      <c r="AG40" s="57">
        <f t="shared" si="24"/>
        <v>5134</v>
      </c>
      <c r="AH40" s="57">
        <f t="shared" si="25"/>
        <v>4832</v>
      </c>
      <c r="AI40" s="57">
        <f t="shared" si="23"/>
        <v>302</v>
      </c>
      <c r="AX40" t="s">
        <v>211</v>
      </c>
      <c r="AY40" t="s">
        <v>215</v>
      </c>
      <c r="AZ40">
        <v>2004</v>
      </c>
      <c r="BA40">
        <v>2103.5017499999999</v>
      </c>
      <c r="BD40" t="s">
        <v>26</v>
      </c>
      <c r="BE40" t="s">
        <v>344</v>
      </c>
      <c r="BF40" t="s">
        <v>7</v>
      </c>
      <c r="BG40">
        <v>1562</v>
      </c>
      <c r="BI40" s="324"/>
      <c r="BJ40" t="s">
        <v>173</v>
      </c>
      <c r="BK40" s="67" t="s">
        <v>8</v>
      </c>
      <c r="BL40" s="4">
        <v>1560</v>
      </c>
      <c r="BM40" s="4"/>
      <c r="BN40" s="4">
        <f>BL40-BL18</f>
        <v>5</v>
      </c>
      <c r="BO40" s="4"/>
      <c r="BP40" s="4"/>
      <c r="BQ40" s="4"/>
      <c r="BR40" s="4"/>
      <c r="BT40" s="4"/>
      <c r="BU40" s="67"/>
      <c r="BV40" s="67"/>
      <c r="BW40" s="67"/>
    </row>
    <row r="41" spans="2:75" ht="15" thickBot="1" x14ac:dyDescent="0.35">
      <c r="B41" s="59">
        <v>1975</v>
      </c>
      <c r="C41" s="61">
        <v>0.8</v>
      </c>
      <c r="D41" s="61"/>
      <c r="E41" s="61">
        <v>58</v>
      </c>
      <c r="F41" s="61"/>
      <c r="W41" s="362">
        <v>2014</v>
      </c>
      <c r="X41" s="358">
        <v>4267</v>
      </c>
      <c r="Y41" s="359"/>
      <c r="Z41" s="359"/>
      <c r="AA41" s="358">
        <v>1380</v>
      </c>
      <c r="AB41" s="359">
        <v>161</v>
      </c>
      <c r="AC41" s="358">
        <v>1810</v>
      </c>
      <c r="AD41" s="359">
        <v>297</v>
      </c>
      <c r="AE41" s="358">
        <v>1078</v>
      </c>
      <c r="AF41" s="359">
        <v>67</v>
      </c>
      <c r="AG41" s="57">
        <f t="shared" si="24"/>
        <v>4793</v>
      </c>
      <c r="AH41" s="57">
        <f t="shared" si="25"/>
        <v>4268</v>
      </c>
      <c r="AI41" s="57">
        <f t="shared" si="23"/>
        <v>525</v>
      </c>
      <c r="AX41" t="s">
        <v>211</v>
      </c>
      <c r="AY41" t="s">
        <v>215</v>
      </c>
      <c r="AZ41">
        <v>2005</v>
      </c>
      <c r="BA41">
        <v>959.40243750000002</v>
      </c>
      <c r="BF41" t="s">
        <v>8</v>
      </c>
      <c r="BG41">
        <v>1578</v>
      </c>
      <c r="BI41" s="324"/>
      <c r="BJ41" t="s">
        <v>94</v>
      </c>
      <c r="BK41" s="67" t="s">
        <v>8</v>
      </c>
      <c r="BL41" s="69"/>
      <c r="BM41" s="4"/>
      <c r="BN41" s="4"/>
      <c r="BO41" s="4"/>
      <c r="BP41" s="4"/>
      <c r="BQ41" s="4"/>
      <c r="BR41" s="4"/>
      <c r="BT41" s="4"/>
      <c r="BU41" s="67"/>
      <c r="BV41" s="67"/>
      <c r="BW41" s="67"/>
    </row>
    <row r="42" spans="2:75" ht="15" thickBot="1" x14ac:dyDescent="0.35">
      <c r="B42" s="59">
        <v>1976</v>
      </c>
      <c r="C42" s="61">
        <v>1.5</v>
      </c>
      <c r="D42" s="61"/>
      <c r="E42" s="61">
        <v>52</v>
      </c>
      <c r="F42" s="61"/>
      <c r="W42" s="361">
        <v>2015</v>
      </c>
      <c r="X42" s="356">
        <v>10857</v>
      </c>
      <c r="Y42" s="357"/>
      <c r="Z42" s="357"/>
      <c r="AA42" s="356">
        <v>3856</v>
      </c>
      <c r="AB42" s="357">
        <v>336</v>
      </c>
      <c r="AC42" s="357">
        <v>992</v>
      </c>
      <c r="AD42" s="357">
        <v>99</v>
      </c>
      <c r="AE42" s="356">
        <v>6009</v>
      </c>
      <c r="AF42" s="357">
        <v>288</v>
      </c>
      <c r="AG42" s="57">
        <f t="shared" si="24"/>
        <v>11580</v>
      </c>
      <c r="AH42" s="57">
        <f t="shared" si="25"/>
        <v>10857</v>
      </c>
      <c r="AI42" s="57">
        <f t="shared" si="23"/>
        <v>723</v>
      </c>
      <c r="AX42" t="s">
        <v>211</v>
      </c>
      <c r="AY42" t="s">
        <v>215</v>
      </c>
      <c r="AZ42">
        <v>2006</v>
      </c>
      <c r="BA42">
        <v>1661.6081250000002</v>
      </c>
      <c r="BE42" t="s">
        <v>175</v>
      </c>
      <c r="BF42" t="s">
        <v>7</v>
      </c>
      <c r="BG42">
        <v>109</v>
      </c>
      <c r="BI42" s="324"/>
      <c r="BJ42" t="s">
        <v>95</v>
      </c>
      <c r="BK42" s="67" t="s">
        <v>8</v>
      </c>
      <c r="BL42" s="69"/>
      <c r="BM42" s="4"/>
      <c r="BN42" s="4"/>
      <c r="BO42" s="4"/>
      <c r="BP42" s="4"/>
      <c r="BQ42" s="4"/>
      <c r="BR42" s="4"/>
      <c r="BT42" s="4"/>
      <c r="BU42" s="67"/>
      <c r="BV42" s="67"/>
      <c r="BW42" s="67"/>
    </row>
    <row r="43" spans="2:75" ht="15" thickBot="1" x14ac:dyDescent="0.35">
      <c r="B43" s="59">
        <v>1977</v>
      </c>
      <c r="C43" s="61">
        <v>0.8</v>
      </c>
      <c r="D43" s="61"/>
      <c r="E43" s="61">
        <v>98</v>
      </c>
      <c r="F43" s="61"/>
      <c r="W43" s="362">
        <v>2016</v>
      </c>
      <c r="X43" s="358">
        <v>30408</v>
      </c>
      <c r="Y43" s="359"/>
      <c r="Z43" s="359"/>
      <c r="AA43" s="358">
        <v>5790</v>
      </c>
      <c r="AB43" s="359">
        <v>197</v>
      </c>
      <c r="AC43" s="358">
        <v>6019</v>
      </c>
      <c r="AD43" s="359">
        <v>109</v>
      </c>
      <c r="AE43" s="358">
        <v>18599</v>
      </c>
      <c r="AF43" s="359">
        <v>424</v>
      </c>
      <c r="AG43" s="57">
        <f t="shared" si="24"/>
        <v>31138</v>
      </c>
      <c r="AH43" s="57">
        <f t="shared" si="25"/>
        <v>30408</v>
      </c>
      <c r="AI43" s="57">
        <f t="shared" si="23"/>
        <v>730</v>
      </c>
      <c r="AX43" t="s">
        <v>211</v>
      </c>
      <c r="AY43" t="s">
        <v>215</v>
      </c>
      <c r="AZ43">
        <v>2007</v>
      </c>
      <c r="BA43">
        <v>510.23081250000001</v>
      </c>
      <c r="BF43" t="s">
        <v>8</v>
      </c>
      <c r="BG43">
        <v>109</v>
      </c>
      <c r="BI43" s="324"/>
      <c r="BJ43" t="s">
        <v>71</v>
      </c>
      <c r="BK43" s="68" t="s">
        <v>8</v>
      </c>
      <c r="BL43" s="5">
        <f>+BL36+BL37+BL38+BL39+BL40+BL41+BL42</f>
        <v>1760</v>
      </c>
      <c r="BM43" s="5"/>
      <c r="BN43" s="5"/>
      <c r="BO43" s="5"/>
      <c r="BP43" s="5"/>
      <c r="BQ43" s="5"/>
      <c r="BR43" s="5"/>
      <c r="BT43" s="5"/>
      <c r="BU43" s="68"/>
      <c r="BV43" s="68"/>
      <c r="BW43" s="68"/>
    </row>
    <row r="44" spans="2:75" ht="15" thickBot="1" x14ac:dyDescent="0.35">
      <c r="B44" s="59">
        <v>1978</v>
      </c>
      <c r="C44" s="61">
        <v>1.9</v>
      </c>
      <c r="D44" s="61"/>
      <c r="E44" s="61">
        <v>81</v>
      </c>
      <c r="F44" s="61"/>
      <c r="W44" s="361">
        <v>2017</v>
      </c>
      <c r="X44" s="356">
        <v>6217</v>
      </c>
      <c r="Y44" s="357"/>
      <c r="Z44" s="357"/>
      <c r="AA44" s="356">
        <v>3449</v>
      </c>
      <c r="AB44" s="357">
        <v>232</v>
      </c>
      <c r="AC44" s="357">
        <v>949</v>
      </c>
      <c r="AD44" s="357">
        <v>102</v>
      </c>
      <c r="AE44" s="356">
        <v>1819</v>
      </c>
      <c r="AF44" s="357">
        <v>111</v>
      </c>
      <c r="AG44" s="57">
        <f t="shared" si="24"/>
        <v>6662</v>
      </c>
      <c r="AH44" s="57">
        <f t="shared" si="25"/>
        <v>6217</v>
      </c>
      <c r="AI44" s="57">
        <f t="shared" si="23"/>
        <v>445</v>
      </c>
      <c r="AX44" t="s">
        <v>211</v>
      </c>
      <c r="AY44" t="s">
        <v>215</v>
      </c>
      <c r="AZ44">
        <v>2008</v>
      </c>
      <c r="BA44">
        <v>600.49712499999998</v>
      </c>
      <c r="BE44" t="s">
        <v>72</v>
      </c>
      <c r="BF44" t="s">
        <v>7</v>
      </c>
      <c r="BG44">
        <v>1671</v>
      </c>
      <c r="BI44" s="324" t="s">
        <v>26</v>
      </c>
      <c r="BJ44" t="s">
        <v>174</v>
      </c>
      <c r="BK44" s="67" t="s">
        <v>8</v>
      </c>
      <c r="BL44" s="4">
        <v>1578</v>
      </c>
      <c r="BM44" s="4"/>
      <c r="BN44" s="4"/>
      <c r="BO44" s="4"/>
      <c r="BP44" s="4"/>
      <c r="BQ44" s="4"/>
      <c r="BR44" s="4"/>
      <c r="BT44" s="4"/>
      <c r="BU44" s="67"/>
      <c r="BV44" s="67"/>
      <c r="BW44" s="67"/>
    </row>
    <row r="45" spans="2:75" ht="15" thickBot="1" x14ac:dyDescent="0.35">
      <c r="B45" s="59">
        <v>1979</v>
      </c>
      <c r="C45" s="61">
        <v>0.3</v>
      </c>
      <c r="D45" s="61"/>
      <c r="E45" s="61">
        <v>31</v>
      </c>
      <c r="F45" s="61"/>
      <c r="W45" s="363">
        <v>2018</v>
      </c>
      <c r="X45" s="364">
        <v>6320</v>
      </c>
      <c r="Y45" s="365"/>
      <c r="Z45" s="365"/>
      <c r="AA45" s="365">
        <v>859</v>
      </c>
      <c r="AB45" s="365">
        <v>40</v>
      </c>
      <c r="AC45" s="364">
        <v>2752</v>
      </c>
      <c r="AD45" s="365">
        <v>258</v>
      </c>
      <c r="AE45" s="364">
        <v>2710</v>
      </c>
      <c r="AF45" s="365">
        <v>193</v>
      </c>
      <c r="AG45" s="57">
        <f t="shared" si="24"/>
        <v>6812</v>
      </c>
      <c r="AH45" s="57">
        <f t="shared" si="25"/>
        <v>6321</v>
      </c>
      <c r="AI45" s="57">
        <f t="shared" si="23"/>
        <v>491</v>
      </c>
      <c r="AX45" t="s">
        <v>211</v>
      </c>
      <c r="AY45" t="s">
        <v>215</v>
      </c>
      <c r="AZ45">
        <v>2009</v>
      </c>
      <c r="BA45">
        <v>618.64468749999992</v>
      </c>
      <c r="BF45" t="s">
        <v>8</v>
      </c>
      <c r="BG45">
        <v>1687</v>
      </c>
      <c r="BI45" s="324"/>
      <c r="BJ45" t="s">
        <v>175</v>
      </c>
      <c r="BK45" s="67" t="s">
        <v>8</v>
      </c>
      <c r="BL45" s="4">
        <v>109</v>
      </c>
      <c r="BM45" s="4"/>
      <c r="BN45" s="4"/>
      <c r="BO45" s="4"/>
      <c r="BP45" s="4"/>
      <c r="BQ45" s="4"/>
      <c r="BR45" s="4"/>
      <c r="BT45" s="4"/>
      <c r="BU45" s="67"/>
      <c r="BV45" s="67"/>
      <c r="BW45" s="67"/>
    </row>
    <row r="46" spans="2:75" x14ac:dyDescent="0.3">
      <c r="B46" s="59">
        <v>1980</v>
      </c>
      <c r="C46" s="61">
        <v>0.5</v>
      </c>
      <c r="D46" s="61"/>
      <c r="E46" s="61">
        <v>27</v>
      </c>
      <c r="F46" s="61"/>
      <c r="AX46" t="s">
        <v>211</v>
      </c>
      <c r="AY46" t="s">
        <v>215</v>
      </c>
      <c r="AZ46">
        <v>2010</v>
      </c>
      <c r="BA46">
        <v>2601.0748750000002</v>
      </c>
      <c r="BD46" t="s">
        <v>27</v>
      </c>
      <c r="BE46" t="s">
        <v>27</v>
      </c>
      <c r="BF46" t="s">
        <v>7</v>
      </c>
      <c r="BG46">
        <v>10030</v>
      </c>
      <c r="BI46" s="324"/>
      <c r="BJ46" t="s">
        <v>72</v>
      </c>
      <c r="BK46" s="68" t="s">
        <v>8</v>
      </c>
      <c r="BL46" s="5">
        <f>+BL44+BL45</f>
        <v>1687</v>
      </c>
      <c r="BM46" s="5"/>
      <c r="BN46" s="5">
        <f>BL46-BL24</f>
        <v>16</v>
      </c>
      <c r="BO46" s="143">
        <f>BN46/BL46</f>
        <v>9.4842916419679898E-3</v>
      </c>
      <c r="BP46" s="5"/>
      <c r="BQ46" s="5"/>
      <c r="BR46" s="5"/>
      <c r="BT46" s="5"/>
      <c r="BU46" s="68"/>
      <c r="BV46" s="68"/>
      <c r="BW46" s="68"/>
    </row>
    <row r="47" spans="2:75" x14ac:dyDescent="0.3">
      <c r="B47" s="59">
        <v>1981</v>
      </c>
      <c r="C47" s="61">
        <v>1.5</v>
      </c>
      <c r="D47" s="61"/>
      <c r="E47" s="61">
        <v>9</v>
      </c>
      <c r="F47" s="61"/>
      <c r="AX47" t="s">
        <v>211</v>
      </c>
      <c r="AY47" t="s">
        <v>215</v>
      </c>
      <c r="AZ47">
        <v>2011</v>
      </c>
      <c r="BA47">
        <v>3166.5092499999996</v>
      </c>
      <c r="BF47" t="s">
        <v>8</v>
      </c>
      <c r="BG47">
        <v>10421</v>
      </c>
      <c r="BI47" s="70" t="s">
        <v>176</v>
      </c>
      <c r="BJ47" t="s">
        <v>27</v>
      </c>
      <c r="BK47" s="71" t="s">
        <v>8</v>
      </c>
      <c r="BL47" s="72">
        <f>+BL46+BL43+BL35</f>
        <v>10104</v>
      </c>
      <c r="BM47" s="72"/>
      <c r="BN47" s="72">
        <f>BN46+BN40+BN28</f>
        <v>391</v>
      </c>
      <c r="BO47" s="144">
        <f>BN47/BL47</f>
        <v>3.8697545526524151E-2</v>
      </c>
      <c r="BP47" s="72"/>
      <c r="BQ47" s="72"/>
      <c r="BR47" s="72"/>
      <c r="BT47" s="72"/>
      <c r="BU47" s="71"/>
      <c r="BV47" s="71"/>
      <c r="BW47" s="71"/>
    </row>
    <row r="48" spans="2:75" x14ac:dyDescent="0.3">
      <c r="B48" s="59">
        <v>1982</v>
      </c>
      <c r="C48" s="61">
        <v>2.9</v>
      </c>
      <c r="D48" s="61"/>
      <c r="E48" s="61">
        <v>184</v>
      </c>
      <c r="F48" s="61"/>
      <c r="AX48" t="s">
        <v>211</v>
      </c>
      <c r="AY48" t="s">
        <v>215</v>
      </c>
      <c r="AZ48">
        <v>2012</v>
      </c>
      <c r="BA48">
        <v>1844.2002500000001</v>
      </c>
    </row>
    <row r="49" spans="2:53" x14ac:dyDescent="0.3">
      <c r="B49" s="59">
        <v>1983</v>
      </c>
      <c r="C49" s="61">
        <v>0.6</v>
      </c>
      <c r="D49" s="61"/>
      <c r="E49" s="61">
        <v>32</v>
      </c>
      <c r="F49" s="61"/>
      <c r="AX49" t="s">
        <v>211</v>
      </c>
      <c r="AY49" t="s">
        <v>215</v>
      </c>
      <c r="AZ49">
        <v>2013</v>
      </c>
      <c r="BA49">
        <v>1577.5805</v>
      </c>
    </row>
    <row r="50" spans="2:53" x14ac:dyDescent="0.3">
      <c r="B50" s="59">
        <v>1984</v>
      </c>
      <c r="C50" s="61">
        <v>2.2999999999999998</v>
      </c>
      <c r="D50" s="61"/>
      <c r="E50" s="61">
        <v>85</v>
      </c>
      <c r="F50" s="61"/>
      <c r="AX50" t="s">
        <v>211</v>
      </c>
      <c r="AY50" t="s">
        <v>215</v>
      </c>
      <c r="AZ50">
        <v>2014</v>
      </c>
      <c r="BA50">
        <v>2371.3393124999998</v>
      </c>
    </row>
    <row r="51" spans="2:53" x14ac:dyDescent="0.3">
      <c r="B51" s="59">
        <v>1985</v>
      </c>
      <c r="C51" s="61">
        <v>1.3</v>
      </c>
      <c r="D51" s="61"/>
      <c r="E51" s="61">
        <v>84</v>
      </c>
      <c r="F51" s="61"/>
      <c r="AX51" t="s">
        <v>211</v>
      </c>
      <c r="AY51" t="s">
        <v>215</v>
      </c>
      <c r="AZ51">
        <v>2015</v>
      </c>
      <c r="BA51">
        <v>5377.2128749999993</v>
      </c>
    </row>
    <row r="52" spans="2:53" x14ac:dyDescent="0.3">
      <c r="B52" s="59">
        <v>1986</v>
      </c>
      <c r="C52" s="61">
        <v>3</v>
      </c>
      <c r="D52" s="61"/>
      <c r="E52" s="61">
        <v>180</v>
      </c>
      <c r="F52" s="61"/>
      <c r="AX52" t="s">
        <v>211</v>
      </c>
      <c r="AY52" t="s">
        <v>215</v>
      </c>
      <c r="AZ52">
        <v>2016</v>
      </c>
      <c r="BA52">
        <v>5719.1177500000003</v>
      </c>
    </row>
    <row r="53" spans="2:53" x14ac:dyDescent="0.3">
      <c r="B53" s="59">
        <v>1987</v>
      </c>
      <c r="C53" s="61">
        <v>2.5</v>
      </c>
      <c r="D53" s="61"/>
      <c r="E53" s="61">
        <v>133</v>
      </c>
      <c r="F53" s="61"/>
    </row>
    <row r="54" spans="2:53" x14ac:dyDescent="0.3">
      <c r="B54" s="59">
        <v>1988</v>
      </c>
      <c r="C54" s="61">
        <v>4.8</v>
      </c>
      <c r="D54" s="61"/>
      <c r="E54" s="61">
        <v>269</v>
      </c>
      <c r="F54" s="61"/>
    </row>
    <row r="55" spans="2:53" x14ac:dyDescent="0.3">
      <c r="B55" s="59">
        <v>1989</v>
      </c>
      <c r="C55" s="61">
        <v>2</v>
      </c>
      <c r="D55" s="61"/>
      <c r="E55" s="61">
        <v>65</v>
      </c>
      <c r="F55" s="61"/>
    </row>
    <row r="56" spans="2:53" x14ac:dyDescent="0.3">
      <c r="B56" s="59">
        <v>1990</v>
      </c>
      <c r="C56" s="61">
        <v>2.9</v>
      </c>
      <c r="D56" s="61"/>
      <c r="E56" s="61">
        <v>125</v>
      </c>
      <c r="F56" s="61"/>
    </row>
    <row r="57" spans="2:53" x14ac:dyDescent="0.3">
      <c r="B57" s="59">
        <v>1991</v>
      </c>
      <c r="C57" s="61">
        <v>1.3</v>
      </c>
      <c r="D57" s="61"/>
      <c r="E57" s="61">
        <v>104</v>
      </c>
      <c r="F57" s="61"/>
    </row>
    <row r="58" spans="2:53" x14ac:dyDescent="0.3">
      <c r="B58" s="59">
        <v>1992</v>
      </c>
      <c r="C58" s="61">
        <v>4.9000000000000004</v>
      </c>
      <c r="D58" s="61"/>
      <c r="E58" s="61"/>
      <c r="F58" s="61"/>
    </row>
    <row r="59" spans="2:53" x14ac:dyDescent="0.3">
      <c r="B59" s="59">
        <v>1993</v>
      </c>
      <c r="C59" s="61">
        <v>4.5</v>
      </c>
      <c r="D59" s="61"/>
      <c r="E59" s="61"/>
      <c r="F59" s="61"/>
    </row>
    <row r="60" spans="2:53" x14ac:dyDescent="0.3">
      <c r="B60" s="59">
        <v>1994</v>
      </c>
      <c r="C60" s="61">
        <v>1.2</v>
      </c>
      <c r="D60" s="61"/>
      <c r="E60" s="61"/>
      <c r="F60" s="61"/>
    </row>
    <row r="61" spans="2:53" x14ac:dyDescent="0.3">
      <c r="B61" s="59">
        <v>1995</v>
      </c>
      <c r="C61" s="61">
        <v>1.5</v>
      </c>
      <c r="D61" s="61"/>
      <c r="E61" s="61"/>
      <c r="F61" s="61"/>
    </row>
    <row r="62" spans="2:53" x14ac:dyDescent="0.3">
      <c r="B62" s="59">
        <v>1996</v>
      </c>
      <c r="C62" s="61">
        <v>3.3</v>
      </c>
      <c r="D62" s="61"/>
      <c r="E62" s="61"/>
      <c r="F62" s="61"/>
    </row>
    <row r="63" spans="2:53" x14ac:dyDescent="0.3">
      <c r="B63" s="59">
        <v>1997</v>
      </c>
      <c r="C63" s="61">
        <v>1.7</v>
      </c>
      <c r="D63" s="61"/>
      <c r="E63" s="61"/>
      <c r="F63" s="61"/>
    </row>
    <row r="64" spans="2:53" x14ac:dyDescent="0.3">
      <c r="B64" s="59">
        <v>1998</v>
      </c>
      <c r="C64" s="61">
        <v>1.9</v>
      </c>
      <c r="D64" s="61"/>
      <c r="E64" s="61"/>
      <c r="F64" s="61"/>
    </row>
    <row r="65" spans="2:7" x14ac:dyDescent="0.3">
      <c r="B65" s="59">
        <v>1999</v>
      </c>
      <c r="C65" s="61">
        <v>2.4</v>
      </c>
      <c r="D65" s="61"/>
      <c r="E65" s="61"/>
      <c r="F65" s="61"/>
    </row>
    <row r="66" spans="2:7" x14ac:dyDescent="0.3">
      <c r="B66" s="59">
        <v>2000</v>
      </c>
      <c r="C66" s="61">
        <v>2.5</v>
      </c>
      <c r="D66" s="61"/>
      <c r="E66" s="61"/>
      <c r="F66" s="61"/>
    </row>
    <row r="67" spans="2:7" x14ac:dyDescent="0.3">
      <c r="B67" s="59">
        <v>2001</v>
      </c>
      <c r="C67" s="61">
        <v>5.5</v>
      </c>
      <c r="D67" s="61"/>
      <c r="E67" s="61"/>
      <c r="F67" s="61"/>
    </row>
    <row r="68" spans="2:7" x14ac:dyDescent="0.3">
      <c r="B68" s="60">
        <v>2002</v>
      </c>
      <c r="C68" s="62">
        <v>11.9</v>
      </c>
      <c r="D68" s="366"/>
      <c r="E68" s="366"/>
      <c r="F68" s="366"/>
    </row>
    <row r="69" spans="2:7" x14ac:dyDescent="0.3">
      <c r="B69" s="59">
        <v>2003</v>
      </c>
      <c r="C69" s="63">
        <f>G69/1000</f>
        <v>9.3450000000000006</v>
      </c>
      <c r="D69" s="63"/>
      <c r="E69" s="63"/>
      <c r="F69" s="63"/>
      <c r="G69">
        <v>9345</v>
      </c>
    </row>
    <row r="70" spans="2:7" x14ac:dyDescent="0.3">
      <c r="B70" s="6">
        <v>2004</v>
      </c>
      <c r="C70" s="63">
        <f t="shared" ref="C70:C82" si="26">G70/1000</f>
        <v>11.481</v>
      </c>
      <c r="D70" s="63"/>
      <c r="E70" s="63"/>
      <c r="F70" s="63"/>
      <c r="G70">
        <v>11481</v>
      </c>
    </row>
    <row r="71" spans="2:7" x14ac:dyDescent="0.3">
      <c r="B71" s="6">
        <v>2005</v>
      </c>
      <c r="C71" s="63">
        <f t="shared" si="26"/>
        <v>6.3570000000000002</v>
      </c>
      <c r="D71" s="63"/>
      <c r="E71" s="63"/>
      <c r="F71" s="63"/>
      <c r="G71">
        <v>6357</v>
      </c>
    </row>
    <row r="72" spans="2:7" x14ac:dyDescent="0.3">
      <c r="B72" s="6">
        <v>2006</v>
      </c>
      <c r="C72" s="63">
        <f t="shared" si="26"/>
        <v>9.52</v>
      </c>
      <c r="D72" s="63"/>
      <c r="E72" s="63"/>
      <c r="F72" s="63"/>
      <c r="G72">
        <v>9520</v>
      </c>
    </row>
    <row r="73" spans="2:7" x14ac:dyDescent="0.3">
      <c r="B73" s="6">
        <v>2007</v>
      </c>
      <c r="C73" s="63">
        <f t="shared" si="26"/>
        <v>5.3609999999999998</v>
      </c>
      <c r="D73" s="63"/>
      <c r="E73" s="63"/>
      <c r="F73" s="63"/>
      <c r="G73">
        <v>5361</v>
      </c>
    </row>
    <row r="74" spans="2:7" x14ac:dyDescent="0.3">
      <c r="B74" s="6">
        <v>2008</v>
      </c>
      <c r="C74" s="63">
        <f t="shared" si="26"/>
        <v>4.0140000000000002</v>
      </c>
      <c r="D74" s="63"/>
      <c r="E74" s="63"/>
      <c r="F74" s="63"/>
      <c r="G74">
        <v>4014</v>
      </c>
    </row>
    <row r="75" spans="2:7" x14ac:dyDescent="0.3">
      <c r="B75" s="6">
        <v>2009</v>
      </c>
      <c r="C75" s="63">
        <f t="shared" si="26"/>
        <v>4.8659999999999997</v>
      </c>
      <c r="D75" s="63"/>
      <c r="E75" s="63"/>
      <c r="F75" s="63"/>
      <c r="G75">
        <v>4866</v>
      </c>
    </row>
    <row r="76" spans="2:7" x14ac:dyDescent="0.3">
      <c r="B76" s="6">
        <v>2010</v>
      </c>
      <c r="C76" s="63">
        <f t="shared" si="26"/>
        <v>10.609</v>
      </c>
      <c r="D76" s="63"/>
      <c r="E76" s="63"/>
      <c r="F76" s="63"/>
      <c r="G76">
        <v>10609</v>
      </c>
    </row>
    <row r="77" spans="2:7" x14ac:dyDescent="0.3">
      <c r="B77" s="6">
        <v>2011</v>
      </c>
      <c r="C77" s="63">
        <f t="shared" si="26"/>
        <v>18.445</v>
      </c>
      <c r="D77" s="63"/>
      <c r="E77" s="63"/>
      <c r="F77" s="63"/>
      <c r="G77">
        <v>18445</v>
      </c>
    </row>
    <row r="78" spans="2:7" x14ac:dyDescent="0.3">
      <c r="B78" s="6">
        <v>2012</v>
      </c>
      <c r="C78" s="63">
        <f t="shared" si="26"/>
        <v>11.891</v>
      </c>
      <c r="D78" s="63"/>
      <c r="E78" s="63"/>
      <c r="F78" s="63"/>
      <c r="G78">
        <v>11891</v>
      </c>
    </row>
    <row r="79" spans="2:7" x14ac:dyDescent="0.3">
      <c r="B79" s="6">
        <v>2013</v>
      </c>
      <c r="C79" s="63">
        <f t="shared" si="26"/>
        <v>8.2870000000000008</v>
      </c>
      <c r="D79" s="63"/>
      <c r="E79" s="63"/>
      <c r="F79" s="63"/>
      <c r="G79">
        <v>8287</v>
      </c>
    </row>
    <row r="80" spans="2:7" x14ac:dyDescent="0.3">
      <c r="B80" s="6">
        <v>2014</v>
      </c>
      <c r="C80" s="63">
        <f t="shared" si="26"/>
        <v>8.6059999999999999</v>
      </c>
      <c r="D80" s="63"/>
      <c r="E80" s="63"/>
      <c r="F80" s="63"/>
      <c r="G80">
        <v>8606</v>
      </c>
    </row>
    <row r="81" spans="2:7" x14ac:dyDescent="0.3">
      <c r="B81" s="6">
        <v>2015</v>
      </c>
      <c r="C81" s="63">
        <f t="shared" si="26"/>
        <v>22.003</v>
      </c>
      <c r="D81" s="63"/>
      <c r="E81" s="63"/>
      <c r="F81" s="63"/>
      <c r="G81">
        <v>22003</v>
      </c>
    </row>
    <row r="82" spans="2:7" x14ac:dyDescent="0.3">
      <c r="B82" s="6">
        <v>2016</v>
      </c>
      <c r="C82" s="63">
        <f t="shared" si="26"/>
        <v>42.277999999999999</v>
      </c>
      <c r="D82" s="63"/>
      <c r="E82" s="63"/>
      <c r="F82" s="63"/>
      <c r="G82">
        <v>42278</v>
      </c>
    </row>
    <row r="83" spans="2:7" x14ac:dyDescent="0.3">
      <c r="C83" s="63"/>
      <c r="D83" s="63"/>
      <c r="E83" s="63"/>
      <c r="F83" s="63"/>
    </row>
  </sheetData>
  <mergeCells count="21">
    <mergeCell ref="Q6:U6"/>
    <mergeCell ref="Q5:U5"/>
    <mergeCell ref="AP22:AT25"/>
    <mergeCell ref="AP6:AU6"/>
    <mergeCell ref="AP5:AU5"/>
    <mergeCell ref="W23:AN23"/>
    <mergeCell ref="BI44:BI46"/>
    <mergeCell ref="BD5:BG5"/>
    <mergeCell ref="BI6:BI13"/>
    <mergeCell ref="BI14:BI21"/>
    <mergeCell ref="W6:AN6"/>
    <mergeCell ref="W5:AM5"/>
    <mergeCell ref="W21:AN22"/>
    <mergeCell ref="AX5:BB5"/>
    <mergeCell ref="BN4:BR4"/>
    <mergeCell ref="BT4:BW4"/>
    <mergeCell ref="BI22:BI24"/>
    <mergeCell ref="BI28:BI35"/>
    <mergeCell ref="BI36:BI43"/>
    <mergeCell ref="BI4:BK5"/>
    <mergeCell ref="BL4:BM4"/>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2A35-DE23-406E-95ED-6323049E4C52}">
  <dimension ref="A1:S18"/>
  <sheetViews>
    <sheetView workbookViewId="0">
      <selection activeCell="M9" sqref="M9"/>
    </sheetView>
  </sheetViews>
  <sheetFormatPr defaultRowHeight="14.4" x14ac:dyDescent="0.3"/>
  <cols>
    <col min="1" max="1" width="3" customWidth="1"/>
    <col min="3" max="3" width="18.33203125" customWidth="1"/>
    <col min="7" max="7" width="10.5546875" customWidth="1"/>
  </cols>
  <sheetData>
    <row r="1" spans="1:19" x14ac:dyDescent="0.3">
      <c r="C1" t="s">
        <v>370</v>
      </c>
    </row>
    <row r="3" spans="1:19" ht="86.4" x14ac:dyDescent="0.3">
      <c r="A3" s="225"/>
      <c r="B3" s="225"/>
      <c r="C3" s="225"/>
      <c r="D3" s="225" t="s">
        <v>371</v>
      </c>
      <c r="E3" s="225" t="s">
        <v>372</v>
      </c>
      <c r="F3" s="225" t="s">
        <v>373</v>
      </c>
      <c r="G3" s="225" t="s">
        <v>374</v>
      </c>
      <c r="H3" s="225" t="s">
        <v>375</v>
      </c>
      <c r="I3" s="225" t="s">
        <v>376</v>
      </c>
      <c r="J3" s="225" t="s">
        <v>377</v>
      </c>
      <c r="K3" s="225" t="s">
        <v>378</v>
      </c>
      <c r="L3" s="225"/>
      <c r="M3" s="225" t="s">
        <v>379</v>
      </c>
      <c r="N3" s="225" t="s">
        <v>380</v>
      </c>
      <c r="O3" s="225"/>
      <c r="P3" s="225" t="s">
        <v>381</v>
      </c>
      <c r="Q3" s="225" t="s">
        <v>382</v>
      </c>
      <c r="R3" s="225"/>
      <c r="S3" s="225"/>
    </row>
    <row r="4" spans="1:19" x14ac:dyDescent="0.3">
      <c r="B4" t="s">
        <v>63</v>
      </c>
      <c r="C4" t="s">
        <v>383</v>
      </c>
      <c r="D4" s="226">
        <f>Run!R20</f>
        <v>14585.843216666666</v>
      </c>
      <c r="E4" s="227">
        <f>1-(D4/(H4*(1-G4)))</f>
        <v>-3.8564232264848286E-4</v>
      </c>
      <c r="F4" s="228">
        <f>Run!S20</f>
        <v>81.5</v>
      </c>
      <c r="G4" s="229">
        <f>Run!U20</f>
        <v>5.9399135070665066E-3</v>
      </c>
      <c r="H4" s="226">
        <f>Run!T20</f>
        <v>14667.343216666666</v>
      </c>
      <c r="I4" s="230">
        <v>0</v>
      </c>
    </row>
    <row r="5" spans="1:19" x14ac:dyDescent="0.3">
      <c r="C5" t="s">
        <v>384</v>
      </c>
      <c r="D5" s="57">
        <f>(H5-F5)*(1-E4)</f>
        <v>14585.843216666668</v>
      </c>
      <c r="E5" s="227"/>
      <c r="F5" s="149">
        <f>H4*G4</f>
        <v>87.122750085458634</v>
      </c>
      <c r="G5" s="231">
        <f>F4/H4</f>
        <v>5.556561866459267E-3</v>
      </c>
      <c r="H5" s="57">
        <f>K5-J5</f>
        <v>14667.343216666666</v>
      </c>
      <c r="J5" s="57">
        <f>K5*I4</f>
        <v>0</v>
      </c>
      <c r="K5" s="57">
        <f>H4/(1-I4)</f>
        <v>14667.343216666666</v>
      </c>
      <c r="M5" s="57">
        <f>F5+J5</f>
        <v>87.122750085458634</v>
      </c>
      <c r="N5" s="231">
        <f>M5/K5</f>
        <v>5.9399135070665066E-3</v>
      </c>
    </row>
    <row r="6" spans="1:19" x14ac:dyDescent="0.3">
      <c r="N6" s="227"/>
    </row>
    <row r="7" spans="1:19" x14ac:dyDescent="0.3">
      <c r="C7" t="s">
        <v>216</v>
      </c>
      <c r="D7" s="57">
        <f>D4*(Summary!W21/Summary!U21)</f>
        <v>20461.519135224429</v>
      </c>
      <c r="E7" s="227">
        <f>$E$4</f>
        <v>-3.8564232264848286E-4</v>
      </c>
      <c r="F7" s="57">
        <f>H7*G7</f>
        <v>122.21877004340813</v>
      </c>
      <c r="G7" s="227">
        <f>$G$4</f>
        <v>5.9399135070665066E-3</v>
      </c>
      <c r="H7" s="57">
        <f>D7/(1-E7)/(1-G7)</f>
        <v>20575.850119367689</v>
      </c>
      <c r="I7" s="227">
        <f>$I$4</f>
        <v>0</v>
      </c>
      <c r="J7" s="57">
        <f>K7*I7</f>
        <v>0</v>
      </c>
      <c r="K7" s="57">
        <f>H7/(1-I7)</f>
        <v>20575.850119367689</v>
      </c>
      <c r="M7" s="57">
        <f>F7+J7</f>
        <v>122.21877004340813</v>
      </c>
      <c r="N7" s="231">
        <f>M7/K7</f>
        <v>5.9399135070665066E-3</v>
      </c>
      <c r="P7" s="232">
        <f>Run!U20</f>
        <v>5.9399135070665066E-3</v>
      </c>
      <c r="Q7" s="227">
        <f>(P7-I7)/(1-I7)</f>
        <v>5.9399135070665066E-3</v>
      </c>
    </row>
    <row r="8" spans="1:19" x14ac:dyDescent="0.3">
      <c r="C8" t="s">
        <v>385</v>
      </c>
      <c r="D8" s="57">
        <f>D4*(Summary!X21/Summary!U21)</f>
        <v>40923.038270448858</v>
      </c>
      <c r="E8" s="227">
        <f t="shared" ref="E8:E9" si="0">$E$4</f>
        <v>-3.8564232264848286E-4</v>
      </c>
      <c r="F8" s="57">
        <f t="shared" ref="F8" si="1">H8*G8</f>
        <v>10417.355545382612</v>
      </c>
      <c r="G8" s="227">
        <f>AVERAGE(G7,G9)</f>
        <v>0.20296995675353327</v>
      </c>
      <c r="H8" s="57">
        <f t="shared" ref="H8" si="2">D8/(1-E8)/(1-G8)</f>
        <v>51324.618244031175</v>
      </c>
      <c r="I8" s="227">
        <f t="shared" ref="I8:I9" si="3">$I$4</f>
        <v>0</v>
      </c>
      <c r="J8" s="57">
        <f t="shared" ref="J8:J9" si="4">K8*I8</f>
        <v>0</v>
      </c>
      <c r="K8" s="57">
        <f t="shared" ref="K8:K9" si="5">H8/(1-I8)</f>
        <v>51324.618244031175</v>
      </c>
      <c r="M8" s="57">
        <f>F8+J8</f>
        <v>10417.355545382612</v>
      </c>
      <c r="N8" s="231">
        <f>M8/K8</f>
        <v>0.20296995675353327</v>
      </c>
      <c r="P8" s="232">
        <f>(P7+P9)/2</f>
        <v>0.20296995675353327</v>
      </c>
      <c r="Q8" s="227">
        <f>(P8-I8)/(1-I8)</f>
        <v>0.20296995675353327</v>
      </c>
    </row>
    <row r="9" spans="1:19" x14ac:dyDescent="0.3">
      <c r="C9" t="s">
        <v>218</v>
      </c>
      <c r="D9" s="57">
        <f>D4*(Summary!Y21/Summary!U21)</f>
        <v>61384.557405673288</v>
      </c>
      <c r="E9" s="227">
        <f t="shared" si="0"/>
        <v>-3.8564232264848286E-4</v>
      </c>
      <c r="F9" s="57">
        <f>H9*G9</f>
        <v>40907.262698648563</v>
      </c>
      <c r="G9" s="233">
        <f>(P9-I9)/(1-I9)</f>
        <v>0.4</v>
      </c>
      <c r="H9" s="57">
        <f>D9/(1-E9)/(1-G9)</f>
        <v>102268.1567466214</v>
      </c>
      <c r="I9" s="227">
        <f t="shared" si="3"/>
        <v>0</v>
      </c>
      <c r="J9" s="57">
        <f t="shared" si="4"/>
        <v>0</v>
      </c>
      <c r="K9" s="57">
        <f t="shared" si="5"/>
        <v>102268.1567466214</v>
      </c>
      <c r="M9" s="57">
        <f>F9+J9</f>
        <v>40907.262698648563</v>
      </c>
      <c r="N9" s="231">
        <f>M9/K9</f>
        <v>0.4</v>
      </c>
      <c r="P9" s="232">
        <v>0.4</v>
      </c>
      <c r="Q9" s="227">
        <f>(P9-I9)/(1-I9)</f>
        <v>0.4</v>
      </c>
    </row>
    <row r="11" spans="1:19" x14ac:dyDescent="0.3">
      <c r="F11" s="57"/>
    </row>
    <row r="12" spans="1:19" ht="86.4" x14ac:dyDescent="0.3">
      <c r="A12" s="234"/>
      <c r="B12" s="234"/>
      <c r="C12" s="234"/>
      <c r="D12" s="234" t="s">
        <v>386</v>
      </c>
      <c r="E12" s="225" t="s">
        <v>378</v>
      </c>
      <c r="F12" s="225" t="s">
        <v>376</v>
      </c>
      <c r="G12" s="225" t="s">
        <v>377</v>
      </c>
      <c r="H12" s="234" t="s">
        <v>387</v>
      </c>
      <c r="I12" s="225" t="s">
        <v>375</v>
      </c>
      <c r="J12" s="225" t="s">
        <v>374</v>
      </c>
      <c r="K12" s="225" t="s">
        <v>373</v>
      </c>
      <c r="L12" s="225" t="s">
        <v>372</v>
      </c>
      <c r="M12" s="225" t="s">
        <v>388</v>
      </c>
      <c r="N12" s="234"/>
      <c r="O12" s="225" t="s">
        <v>379</v>
      </c>
      <c r="P12" s="225" t="s">
        <v>380</v>
      </c>
      <c r="Q12" s="225"/>
      <c r="R12" s="225" t="s">
        <v>381</v>
      </c>
      <c r="S12" s="225" t="s">
        <v>382</v>
      </c>
    </row>
    <row r="13" spans="1:19" x14ac:dyDescent="0.3">
      <c r="B13" t="s">
        <v>64</v>
      </c>
      <c r="C13" t="s">
        <v>383</v>
      </c>
      <c r="D13" s="226">
        <v>0</v>
      </c>
      <c r="F13">
        <f>I4</f>
        <v>0</v>
      </c>
      <c r="I13" s="226">
        <v>0</v>
      </c>
      <c r="J13" s="235">
        <f>G4</f>
        <v>5.9399135070665066E-3</v>
      </c>
      <c r="K13" s="230"/>
      <c r="L13" s="235">
        <f>E4</f>
        <v>-3.8564232264848286E-4</v>
      </c>
      <c r="M13" s="230"/>
    </row>
    <row r="14" spans="1:19" x14ac:dyDescent="0.3">
      <c r="C14" t="s">
        <v>384</v>
      </c>
      <c r="E14" s="57">
        <f>I13/(1-F13)</f>
        <v>0</v>
      </c>
      <c r="G14" s="57">
        <f>E14*F13</f>
        <v>0</v>
      </c>
      <c r="H14" s="63">
        <f>I13/(D13+0.0000000001)</f>
        <v>0</v>
      </c>
      <c r="I14" s="57">
        <f>D13*H14</f>
        <v>0</v>
      </c>
      <c r="K14" s="57">
        <f>I13*J13</f>
        <v>0</v>
      </c>
      <c r="M14" s="57">
        <f>I13*(1-J13)*(1-L13)</f>
        <v>0</v>
      </c>
      <c r="O14" s="57">
        <f>K14+G14</f>
        <v>0</v>
      </c>
      <c r="P14" s="231">
        <f>O14/(E14+0.0000000001)</f>
        <v>0</v>
      </c>
      <c r="R14" s="233">
        <f>N5</f>
        <v>5.9399135070665066E-3</v>
      </c>
    </row>
    <row r="15" spans="1:19" x14ac:dyDescent="0.3">
      <c r="P15" s="227"/>
    </row>
    <row r="16" spans="1:19" x14ac:dyDescent="0.3">
      <c r="C16" t="s">
        <v>216</v>
      </c>
      <c r="D16" s="226">
        <v>0</v>
      </c>
      <c r="E16" s="57">
        <f>I16/(1-F16)</f>
        <v>0</v>
      </c>
      <c r="F16">
        <f>F$13</f>
        <v>0</v>
      </c>
      <c r="G16" s="57">
        <f>E16*F16</f>
        <v>0</v>
      </c>
      <c r="H16" s="63">
        <f>H$14</f>
        <v>0</v>
      </c>
      <c r="I16" s="57">
        <f>D16*H16</f>
        <v>0</v>
      </c>
      <c r="J16" s="236">
        <f t="shared" ref="J16:J17" si="6">(R16-F16)/(1-F16)</f>
        <v>0.47</v>
      </c>
      <c r="K16" s="57">
        <f>J16*I16</f>
        <v>0</v>
      </c>
      <c r="L16" s="63">
        <f t="shared" ref="L16:L18" si="7">L$13</f>
        <v>-3.8564232264848286E-4</v>
      </c>
      <c r="M16" s="57">
        <f>I16*(1-J16)*(1-L16)</f>
        <v>0</v>
      </c>
      <c r="O16" s="57">
        <f t="shared" ref="O16:O18" si="8">K16+G16</f>
        <v>0</v>
      </c>
      <c r="P16" s="231">
        <f t="shared" ref="P16:P18" si="9">O16/(E16+0.0000000001)</f>
        <v>0</v>
      </c>
      <c r="R16" s="233">
        <v>0.47</v>
      </c>
    </row>
    <row r="17" spans="3:18" x14ac:dyDescent="0.3">
      <c r="C17" t="s">
        <v>385</v>
      </c>
      <c r="D17" s="226">
        <v>0</v>
      </c>
      <c r="E17" s="57">
        <f t="shared" ref="E17:E18" si="10">I17/(1-F17)</f>
        <v>0</v>
      </c>
      <c r="F17">
        <f t="shared" ref="F17:F18" si="11">F$13</f>
        <v>0</v>
      </c>
      <c r="G17" s="57">
        <f t="shared" ref="G17:G18" si="12">E17*F17</f>
        <v>0</v>
      </c>
      <c r="H17" s="63">
        <f t="shared" ref="H17:H18" si="13">H$14</f>
        <v>0</v>
      </c>
      <c r="I17" s="57">
        <f t="shared" ref="I17:I18" si="14">D17*H17</f>
        <v>0</v>
      </c>
      <c r="J17" s="236">
        <f t="shared" si="6"/>
        <v>0.5</v>
      </c>
      <c r="K17" s="57">
        <f t="shared" ref="K17:K18" si="15">J17*I17</f>
        <v>0</v>
      </c>
      <c r="L17" s="63">
        <f t="shared" si="7"/>
        <v>-3.8564232264848286E-4</v>
      </c>
      <c r="M17" s="57">
        <f t="shared" ref="M17:M18" si="16">I17*(1-J17)*(1-L17)</f>
        <v>0</v>
      </c>
      <c r="O17" s="57">
        <f t="shared" si="8"/>
        <v>0</v>
      </c>
      <c r="P17" s="231">
        <f t="shared" si="9"/>
        <v>0</v>
      </c>
      <c r="R17" s="233">
        <v>0.5</v>
      </c>
    </row>
    <row r="18" spans="3:18" x14ac:dyDescent="0.3">
      <c r="C18" t="s">
        <v>218</v>
      </c>
      <c r="D18" s="226">
        <v>0</v>
      </c>
      <c r="E18" s="57">
        <f t="shared" si="10"/>
        <v>0</v>
      </c>
      <c r="F18">
        <f t="shared" si="11"/>
        <v>0</v>
      </c>
      <c r="G18" s="57">
        <f t="shared" si="12"/>
        <v>0</v>
      </c>
      <c r="H18" s="63">
        <f t="shared" si="13"/>
        <v>0</v>
      </c>
      <c r="I18" s="57">
        <f t="shared" si="14"/>
        <v>0</v>
      </c>
      <c r="J18" s="236">
        <f>(R18-F18)/(1-F18)</f>
        <v>0.53</v>
      </c>
      <c r="K18" s="57">
        <f t="shared" si="15"/>
        <v>0</v>
      </c>
      <c r="L18" s="63">
        <f t="shared" si="7"/>
        <v>-3.8564232264848286E-4</v>
      </c>
      <c r="M18" s="57">
        <f t="shared" si="16"/>
        <v>0</v>
      </c>
      <c r="O18" s="57">
        <f t="shared" si="8"/>
        <v>0</v>
      </c>
      <c r="P18" s="231">
        <f t="shared" si="9"/>
        <v>0</v>
      </c>
      <c r="R18" s="233">
        <v>0.53</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L7:AH39"/>
  <sheetViews>
    <sheetView workbookViewId="0"/>
  </sheetViews>
  <sheetFormatPr defaultRowHeight="14.4" x14ac:dyDescent="0.3"/>
  <sheetData>
    <row r="7" spans="34:34" x14ac:dyDescent="0.3">
      <c r="AH7" s="58" t="s">
        <v>9</v>
      </c>
    </row>
    <row r="8" spans="34:34" x14ac:dyDescent="0.3">
      <c r="AH8">
        <f>SUM(R8:AG8)</f>
        <v>0</v>
      </c>
    </row>
    <row r="9" spans="34:34" x14ac:dyDescent="0.3">
      <c r="AH9">
        <f t="shared" ref="AH9:AH17" si="0">SUM(R9:AG9)</f>
        <v>0</v>
      </c>
    </row>
    <row r="10" spans="34:34" x14ac:dyDescent="0.3">
      <c r="AH10">
        <f t="shared" si="0"/>
        <v>0</v>
      </c>
    </row>
    <row r="11" spans="34:34" x14ac:dyDescent="0.3">
      <c r="AH11">
        <f t="shared" si="0"/>
        <v>0</v>
      </c>
    </row>
    <row r="12" spans="34:34" x14ac:dyDescent="0.3">
      <c r="AH12">
        <f t="shared" si="0"/>
        <v>0</v>
      </c>
    </row>
    <row r="13" spans="34:34" x14ac:dyDescent="0.3">
      <c r="AH13">
        <f t="shared" si="0"/>
        <v>0</v>
      </c>
    </row>
    <row r="14" spans="34:34" x14ac:dyDescent="0.3">
      <c r="AH14">
        <f t="shared" si="0"/>
        <v>0</v>
      </c>
    </row>
    <row r="15" spans="34:34" x14ac:dyDescent="0.3">
      <c r="AH15">
        <f t="shared" si="0"/>
        <v>0</v>
      </c>
    </row>
    <row r="16" spans="34:34" x14ac:dyDescent="0.3">
      <c r="AH16">
        <f t="shared" si="0"/>
        <v>0</v>
      </c>
    </row>
    <row r="17" spans="17:34" x14ac:dyDescent="0.3">
      <c r="AH17">
        <f t="shared" si="0"/>
        <v>0</v>
      </c>
    </row>
    <row r="19" spans="17:34" x14ac:dyDescent="0.3">
      <c r="Q19" s="354"/>
      <c r="R19" s="354"/>
      <c r="S19" s="354"/>
      <c r="T19" s="354"/>
      <c r="U19" s="354"/>
      <c r="V19" s="354"/>
      <c r="W19" s="354"/>
      <c r="X19" s="354"/>
      <c r="Y19" s="354"/>
      <c r="Z19" s="354"/>
      <c r="AA19" s="354"/>
      <c r="AB19" s="354"/>
      <c r="AC19" s="354"/>
      <c r="AD19" s="354"/>
      <c r="AE19" s="354"/>
      <c r="AF19" s="354"/>
      <c r="AG19" s="354"/>
      <c r="AH19" s="354"/>
    </row>
    <row r="20" spans="17:34" x14ac:dyDescent="0.3">
      <c r="Q20" s="354"/>
      <c r="R20" s="354"/>
      <c r="S20" s="354"/>
      <c r="T20" s="354"/>
      <c r="U20" s="354"/>
      <c r="V20" s="354"/>
      <c r="W20" s="354"/>
      <c r="X20" s="354"/>
      <c r="Y20" s="354"/>
      <c r="Z20" s="354"/>
      <c r="AA20" s="354"/>
      <c r="AB20" s="354"/>
      <c r="AC20" s="354"/>
      <c r="AD20" s="354"/>
      <c r="AE20" s="354"/>
      <c r="AF20" s="354"/>
      <c r="AG20" s="354"/>
      <c r="AH20" s="354"/>
    </row>
    <row r="39" spans="12:12" x14ac:dyDescent="0.3">
      <c r="L39" t="s">
        <v>293</v>
      </c>
    </row>
  </sheetData>
  <mergeCells count="1">
    <mergeCell ref="Q19:AH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Escape</vt:lpstr>
      <vt:lpstr>T2 Fishery</vt:lpstr>
      <vt:lpstr>T3 Hatchery</vt:lpstr>
      <vt:lpstr>DataDictionary</vt:lpstr>
      <vt:lpstr>Background</vt:lpstr>
      <vt:lpstr>Run</vt:lpstr>
      <vt:lpstr>Conv</vt:lpstr>
      <vt:lpstr>Factors</vt:lpstr>
      <vt:lpstr>Documentation</vt:lpstr>
    </vt:vector>
  </TitlesOfParts>
  <Company>Washington Dept of Fish &amp; Wildlife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xxx</cp:lastModifiedBy>
  <dcterms:created xsi:type="dcterms:W3CDTF">2017-07-28T03:47:43Z</dcterms:created>
  <dcterms:modified xsi:type="dcterms:W3CDTF">2021-04-07T22:08:13Z</dcterms:modified>
</cp:coreProperties>
</file>