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LCR Chinook Fall late\"/>
    </mc:Choice>
  </mc:AlternateContent>
  <xr:revisionPtr revIDLastSave="0" documentId="13_ncr:1_{12E9EF22-8FA6-4E6C-93FE-F6B55C14D87A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Summary" sheetId="2" r:id="rId1"/>
    <sheet name="Documentation" sheetId="8" r:id="rId2"/>
    <sheet name="Run" sheetId="1" r:id="rId3"/>
    <sheet name="Conv" sheetId="9" r:id="rId4"/>
    <sheet name="Spawners" sheetId="7" r:id="rId5"/>
    <sheet name="Hatchery" sheetId="4" r:id="rId6"/>
    <sheet name="Fishery" sheetId="5" r:id="rId7"/>
    <sheet name="Background" sheetId="6" r:id="rId8"/>
  </sheets>
  <definedNames>
    <definedName name="_Toc485835437" localSheetId="2">Run!$C$1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22" i="1" l="1"/>
  <c r="AX22" i="1" l="1"/>
  <c r="W5" i="2"/>
  <c r="Q4" i="7"/>
  <c r="P4" i="7" s="1"/>
  <c r="X5" i="2" s="1"/>
  <c r="Y5" i="2" l="1"/>
  <c r="BH9" i="1"/>
  <c r="BH8" i="1"/>
  <c r="BH7" i="1"/>
  <c r="BH6" i="1"/>
  <c r="BF9" i="1"/>
  <c r="BG9" i="1" s="1"/>
  <c r="BF8" i="1"/>
  <c r="BG8" i="1" s="1"/>
  <c r="BF7" i="1"/>
  <c r="BG7" i="1" s="1"/>
  <c r="BF6" i="1"/>
  <c r="BG6" i="1" s="1"/>
  <c r="BF10" i="1"/>
  <c r="BI6" i="1" l="1"/>
  <c r="BI8" i="1"/>
  <c r="AD30" i="1" s="1"/>
  <c r="BI7" i="1"/>
  <c r="R29" i="1" s="1"/>
  <c r="BI9" i="1"/>
  <c r="R31" i="1" s="1"/>
  <c r="AD28" i="1"/>
  <c r="R28" i="1"/>
  <c r="BH15" i="1"/>
  <c r="BH14" i="1"/>
  <c r="BH13" i="1"/>
  <c r="BH12" i="1"/>
  <c r="BH11" i="1"/>
  <c r="BH10" i="1"/>
  <c r="BF15" i="1"/>
  <c r="BF14" i="1"/>
  <c r="BF13" i="1"/>
  <c r="BF12" i="1"/>
  <c r="BF11" i="1"/>
  <c r="BE15" i="1"/>
  <c r="BE14" i="1"/>
  <c r="BE13" i="1"/>
  <c r="BG13" i="1" s="1"/>
  <c r="BI13" i="1" s="1"/>
  <c r="BE12" i="1"/>
  <c r="BE11" i="1"/>
  <c r="BG11" i="1" s="1"/>
  <c r="BI11" i="1" s="1"/>
  <c r="BE10" i="1"/>
  <c r="BG10" i="1" s="1"/>
  <c r="BG12" i="1" l="1"/>
  <c r="AD29" i="1"/>
  <c r="BI12" i="1"/>
  <c r="R34" i="1" s="1"/>
  <c r="R30" i="1"/>
  <c r="AD31" i="1"/>
  <c r="BG14" i="1"/>
  <c r="BI14" i="1" s="1"/>
  <c r="R36" i="1" s="1"/>
  <c r="BG15" i="1"/>
  <c r="BI15" i="1" s="1"/>
  <c r="R37" i="1" s="1"/>
  <c r="BI10" i="1"/>
  <c r="R33" i="1"/>
  <c r="AD33" i="1"/>
  <c r="AD34" i="1"/>
  <c r="R35" i="1"/>
  <c r="AD35" i="1"/>
  <c r="AD36" i="1"/>
  <c r="AD37" i="1" l="1"/>
  <c r="BI17" i="1"/>
  <c r="H4" i="9" s="1"/>
  <c r="BG17" i="1"/>
  <c r="U30" i="2" s="1"/>
  <c r="U29" i="2" s="1"/>
  <c r="U26" i="2"/>
  <c r="U25" i="2" s="1"/>
  <c r="R32" i="1"/>
  <c r="AD32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S37" i="1"/>
  <c r="AS38" i="1"/>
  <c r="BA19" i="1"/>
  <c r="BB18" i="1" s="1"/>
  <c r="AD41" i="1" l="1"/>
  <c r="AW6" i="1"/>
  <c r="AX6" i="1" s="1"/>
  <c r="AW7" i="1"/>
  <c r="AX7" i="1" s="1"/>
  <c r="AW9" i="1"/>
  <c r="AX9" i="1" s="1"/>
  <c r="BB17" i="1"/>
  <c r="AY10" i="1" s="1"/>
  <c r="AZ10" i="1" s="1"/>
  <c r="AW10" i="1"/>
  <c r="AX10" i="1" s="1"/>
  <c r="AW8" i="1"/>
  <c r="AX8" i="1" s="1"/>
  <c r="AW11" i="1"/>
  <c r="AX11" i="1" s="1"/>
  <c r="AY11" i="1" l="1"/>
  <c r="AZ11" i="1" s="1"/>
  <c r="AY8" i="1"/>
  <c r="AZ8" i="1" s="1"/>
  <c r="BB10" i="1"/>
  <c r="BB8" i="1"/>
  <c r="AY7" i="1"/>
  <c r="AZ7" i="1" s="1"/>
  <c r="BB7" i="1" s="1"/>
  <c r="AY9" i="1"/>
  <c r="AZ9" i="1" s="1"/>
  <c r="BB9" i="1" s="1"/>
  <c r="AY6" i="1"/>
  <c r="AZ6" i="1" s="1"/>
  <c r="BB6" i="1" s="1"/>
  <c r="BB11" i="1"/>
  <c r="AX13" i="1"/>
  <c r="H14" i="9"/>
  <c r="I14" i="9" s="1"/>
  <c r="AZ13" i="1" l="1"/>
  <c r="H18" i="9"/>
  <c r="I18" i="9" s="1"/>
  <c r="H16" i="9"/>
  <c r="I16" i="9" s="1"/>
  <c r="H17" i="9"/>
  <c r="I17" i="9" s="1"/>
  <c r="Q39" i="1" l="1"/>
  <c r="F4" i="9" s="1"/>
  <c r="AA35" i="1" l="1"/>
  <c r="Z35" i="1"/>
  <c r="Y35" i="1"/>
  <c r="AA34" i="1"/>
  <c r="Z34" i="1"/>
  <c r="Y34" i="1"/>
  <c r="AA33" i="1"/>
  <c r="Z33" i="1"/>
  <c r="Y33" i="1"/>
  <c r="AA32" i="1"/>
  <c r="Z32" i="1"/>
  <c r="Y32" i="1"/>
  <c r="AA31" i="1"/>
  <c r="Z31" i="1"/>
  <c r="Y31" i="1"/>
  <c r="AA30" i="1"/>
  <c r="Z30" i="1"/>
  <c r="Y30" i="1"/>
  <c r="AA29" i="1"/>
  <c r="Z29" i="1"/>
  <c r="Y29" i="1"/>
  <c r="AA28" i="1"/>
  <c r="Z28" i="1"/>
  <c r="Y28" i="1"/>
  <c r="Y40" i="1" s="1"/>
  <c r="U15" i="2" s="1"/>
  <c r="AA27" i="1"/>
  <c r="Z27" i="1"/>
  <c r="Y27" i="1"/>
  <c r="AA26" i="1"/>
  <c r="Z26" i="1"/>
  <c r="Y26" i="1"/>
  <c r="AA25" i="1"/>
  <c r="Z25" i="1"/>
  <c r="Y25" i="1"/>
  <c r="S28" i="1"/>
  <c r="T28" i="1"/>
  <c r="U28" i="1"/>
  <c r="S29" i="1"/>
  <c r="T29" i="1"/>
  <c r="U29" i="1"/>
  <c r="S30" i="1"/>
  <c r="T30" i="1"/>
  <c r="U30" i="1"/>
  <c r="S31" i="1"/>
  <c r="T31" i="1"/>
  <c r="U31" i="1"/>
  <c r="S32" i="1"/>
  <c r="T32" i="1"/>
  <c r="U32" i="1"/>
  <c r="S33" i="1"/>
  <c r="T33" i="1"/>
  <c r="U33" i="1"/>
  <c r="S34" i="1"/>
  <c r="T34" i="1"/>
  <c r="U34" i="1"/>
  <c r="S35" i="1"/>
  <c r="T35" i="1"/>
  <c r="U35" i="1"/>
  <c r="S36" i="1"/>
  <c r="T36" i="1"/>
  <c r="U36" i="1"/>
  <c r="S37" i="1"/>
  <c r="T37" i="1"/>
  <c r="U37" i="1"/>
  <c r="M39" i="1"/>
  <c r="Y18" i="2" s="1"/>
  <c r="N39" i="1"/>
  <c r="Y19" i="2" s="1"/>
  <c r="P39" i="1"/>
  <c r="Y20" i="2" s="1"/>
  <c r="R39" i="1"/>
  <c r="J37" i="1"/>
  <c r="J36" i="1"/>
  <c r="J35" i="1"/>
  <c r="J34" i="1"/>
  <c r="J33" i="1"/>
  <c r="J32" i="1"/>
  <c r="J31" i="1"/>
  <c r="J30" i="1"/>
  <c r="J29" i="1"/>
  <c r="J28" i="1"/>
  <c r="H40" i="1"/>
  <c r="Z40" i="1" l="1"/>
  <c r="U16" i="2" s="1"/>
  <c r="AA40" i="1"/>
  <c r="U17" i="2" s="1"/>
  <c r="U39" i="1"/>
  <c r="T39" i="1"/>
  <c r="S39" i="1"/>
  <c r="AD39" i="1"/>
  <c r="AB35" i="1"/>
  <c r="AE35" i="1" s="1"/>
  <c r="AG35" i="1" s="1"/>
  <c r="V29" i="1"/>
  <c r="V37" i="1"/>
  <c r="V30" i="1"/>
  <c r="V34" i="1"/>
  <c r="V36" i="1"/>
  <c r="V28" i="1"/>
  <c r="V33" i="1"/>
  <c r="V31" i="1"/>
  <c r="V35" i="1"/>
  <c r="G5" i="9"/>
  <c r="V32" i="1"/>
  <c r="AB25" i="1"/>
  <c r="AB34" i="1"/>
  <c r="AE34" i="1" s="1"/>
  <c r="AI34" i="1" s="1"/>
  <c r="AB29" i="1"/>
  <c r="AE29" i="1" s="1"/>
  <c r="AI29" i="1" s="1"/>
  <c r="AB30" i="1"/>
  <c r="AE30" i="1" s="1"/>
  <c r="AI30" i="1" s="1"/>
  <c r="AB33" i="1"/>
  <c r="AE33" i="1" s="1"/>
  <c r="AG33" i="1" s="1"/>
  <c r="AB27" i="1"/>
  <c r="AB28" i="1"/>
  <c r="AB32" i="1"/>
  <c r="AE32" i="1" s="1"/>
  <c r="AI32" i="1" s="1"/>
  <c r="AB31" i="1"/>
  <c r="AE31" i="1" s="1"/>
  <c r="AH31" i="1" s="1"/>
  <c r="AB26" i="1"/>
  <c r="U34" i="2"/>
  <c r="U33" i="2" s="1"/>
  <c r="AC17" i="2" l="1"/>
  <c r="AE28" i="1"/>
  <c r="AI28" i="1" s="1"/>
  <c r="AB40" i="1"/>
  <c r="V39" i="1"/>
  <c r="AH35" i="1"/>
  <c r="AI35" i="1"/>
  <c r="AI33" i="1"/>
  <c r="AG32" i="1"/>
  <c r="AH29" i="1"/>
  <c r="AH32" i="1"/>
  <c r="AG29" i="1"/>
  <c r="AG34" i="1"/>
  <c r="AH33" i="1"/>
  <c r="AH34" i="1"/>
  <c r="AI31" i="1"/>
  <c r="AG31" i="1"/>
  <c r="AG30" i="1"/>
  <c r="AH30" i="1"/>
  <c r="AJ35" i="1" l="1"/>
  <c r="AH28" i="1"/>
  <c r="AH40" i="1" s="1"/>
  <c r="Y16" i="2" s="1"/>
  <c r="AI40" i="1"/>
  <c r="Y17" i="2" s="1"/>
  <c r="AG28" i="1"/>
  <c r="AG40" i="1" s="1"/>
  <c r="Y15" i="2" s="1"/>
  <c r="AE40" i="1"/>
  <c r="AJ33" i="1"/>
  <c r="AJ32" i="1"/>
  <c r="AJ34" i="1"/>
  <c r="AJ29" i="1"/>
  <c r="AJ31" i="1"/>
  <c r="AJ30" i="1"/>
  <c r="AJ28" i="1" l="1"/>
  <c r="AJ40" i="1"/>
  <c r="V5" i="2"/>
  <c r="W4" i="2"/>
  <c r="W6" i="2" s="1"/>
  <c r="V4" i="2"/>
  <c r="U4" i="2"/>
  <c r="M4" i="7"/>
  <c r="Y4" i="2" s="1"/>
  <c r="Y6" i="2" s="1"/>
  <c r="L4" i="7" l="1"/>
  <c r="X4" i="2" s="1"/>
  <c r="X6" i="2" s="1"/>
  <c r="V6" i="2"/>
  <c r="D39" i="1"/>
  <c r="C39" i="1"/>
  <c r="H39" i="1"/>
  <c r="U5" i="2" l="1"/>
  <c r="U6" i="2" s="1"/>
  <c r="X15" i="2"/>
  <c r="W15" i="2"/>
  <c r="D19" i="2" l="1"/>
  <c r="I4" i="9" l="1"/>
  <c r="F13" i="9" s="1"/>
  <c r="F18" i="9" s="1"/>
  <c r="I9" i="9" l="1"/>
  <c r="G9" i="9" s="1"/>
  <c r="I7" i="9"/>
  <c r="Q7" i="9" s="1"/>
  <c r="I8" i="9"/>
  <c r="Q8" i="9" s="1"/>
  <c r="K5" i="9"/>
  <c r="J5" i="9" s="1"/>
  <c r="H5" i="9" s="1"/>
  <c r="F16" i="9"/>
  <c r="J16" i="9" s="1"/>
  <c r="E14" i="9"/>
  <c r="G14" i="9" s="1"/>
  <c r="F17" i="9"/>
  <c r="E17" i="9" s="1"/>
  <c r="G17" i="9" s="1"/>
  <c r="J18" i="9"/>
  <c r="E18" i="9"/>
  <c r="G18" i="9" s="1"/>
  <c r="J17" i="9" l="1"/>
  <c r="K17" i="9" s="1"/>
  <c r="O17" i="9" s="1"/>
  <c r="P17" i="9" s="1"/>
  <c r="E16" i="9"/>
  <c r="G16" i="9" s="1"/>
  <c r="Q9" i="9"/>
  <c r="K16" i="9"/>
  <c r="K18" i="9"/>
  <c r="O18" i="9" s="1"/>
  <c r="P18" i="9" s="1"/>
  <c r="V20" i="2"/>
  <c r="U20" i="2" s="1"/>
  <c r="V18" i="2"/>
  <c r="O16" i="9" l="1"/>
  <c r="P16" i="9" s="1"/>
  <c r="U18" i="2"/>
  <c r="Y21" i="2"/>
  <c r="U38" i="2" s="1"/>
  <c r="U37" i="2" s="1"/>
  <c r="V19" i="2"/>
  <c r="U19" i="2" s="1"/>
  <c r="AC20" i="2" l="1"/>
  <c r="U21" i="2"/>
  <c r="F69" i="2" s="1"/>
  <c r="G4" i="9"/>
  <c r="U32" i="2"/>
  <c r="J13" i="9" l="1"/>
  <c r="K14" i="9"/>
  <c r="O14" i="9" s="1"/>
  <c r="P14" i="9" s="1"/>
  <c r="F5" i="9"/>
  <c r="G7" i="9"/>
  <c r="D4" i="9"/>
  <c r="E4" i="9" s="1"/>
  <c r="AJ48" i="5"/>
  <c r="AI48" i="5"/>
  <c r="AH48" i="5"/>
  <c r="I53" i="5" s="1"/>
  <c r="AG48" i="5"/>
  <c r="I54" i="5" s="1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L13" i="9" l="1"/>
  <c r="E9" i="9"/>
  <c r="M5" i="9"/>
  <c r="N5" i="9" s="1"/>
  <c r="R14" i="9" s="1"/>
  <c r="I52" i="5"/>
  <c r="I51" i="5"/>
  <c r="I50" i="5"/>
  <c r="D7" i="9"/>
  <c r="W30" i="2" s="1"/>
  <c r="W29" i="2" s="1"/>
  <c r="D8" i="9"/>
  <c r="X30" i="2" s="1"/>
  <c r="X29" i="2" s="1"/>
  <c r="E7" i="9" l="1"/>
  <c r="H7" i="9" s="1"/>
  <c r="W26" i="2" s="1"/>
  <c r="W25" i="2" s="1"/>
  <c r="E8" i="9"/>
  <c r="M14" i="9"/>
  <c r="L16" i="9"/>
  <c r="M16" i="9" s="1"/>
  <c r="L17" i="9"/>
  <c r="M17" i="9" s="1"/>
  <c r="L18" i="9"/>
  <c r="M18" i="9" s="1"/>
  <c r="D5" i="9"/>
  <c r="D21" i="2"/>
  <c r="D20" i="2"/>
  <c r="I56" i="5"/>
  <c r="V21" i="2"/>
  <c r="D9" i="9"/>
  <c r="Y30" i="2" s="1"/>
  <c r="Y29" i="2" s="1"/>
  <c r="D23" i="2"/>
  <c r="K7" i="9" l="1"/>
  <c r="J7" i="9" s="1"/>
  <c r="F7" i="9"/>
  <c r="W34" i="2" s="1"/>
  <c r="W33" i="2" s="1"/>
  <c r="D22" i="2"/>
  <c r="U28" i="2"/>
  <c r="M69" i="2"/>
  <c r="M7" i="9" l="1"/>
  <c r="N7" i="9" s="1"/>
  <c r="W38" i="2" l="1"/>
  <c r="W37" i="2" s="1"/>
  <c r="G8" i="9" l="1"/>
  <c r="H8" i="9" s="1"/>
  <c r="X26" i="2" s="1"/>
  <c r="X25" i="2" s="1"/>
  <c r="H9" i="9"/>
  <c r="K9" i="9" l="1"/>
  <c r="J9" i="9" s="1"/>
  <c r="Z15" i="2" s="1"/>
  <c r="Y26" i="2"/>
  <c r="Y25" i="2" s="1"/>
  <c r="K8" i="9"/>
  <c r="J8" i="9" s="1"/>
  <c r="F8" i="9"/>
  <c r="F9" i="9"/>
  <c r="Z18" i="2" s="1"/>
  <c r="Z21" i="2" l="1"/>
  <c r="M9" i="9"/>
  <c r="Y34" i="2"/>
  <c r="Y33" i="2" s="1"/>
  <c r="M8" i="9"/>
  <c r="X34" i="2"/>
  <c r="X33" i="2" s="1"/>
  <c r="N8" i="9" l="1"/>
  <c r="X38" i="2"/>
  <c r="X37" i="2" s="1"/>
  <c r="N9" i="9"/>
  <c r="Y38" i="2"/>
  <c r="Y3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D2" authorId="0" shapeId="0" xr:uid="{4A8E847D-DBA8-473D-91E3-21A898D298D9}">
      <text>
        <r>
          <rPr>
            <b/>
            <u/>
            <sz val="9"/>
            <color indexed="81"/>
            <rFont val="Tahoma"/>
            <family val="2"/>
          </rPr>
          <t>Subject</t>
        </r>
        <r>
          <rPr>
            <b/>
            <sz val="9"/>
            <color indexed="81"/>
            <rFont val="Tahoma"/>
            <family val="2"/>
          </rPr>
          <t xml:space="preserve">
Population
Fishery
Hatchery</t>
        </r>
      </text>
    </comment>
    <comment ref="F2" authorId="0" shapeId="0" xr:uid="{A55635E5-B815-4F9D-8722-F61B2A0EA57A}">
      <text>
        <r>
          <rPr>
            <b/>
            <sz val="9"/>
            <color indexed="81"/>
            <rFont val="Tahoma"/>
            <family val="2"/>
          </rPr>
          <t>fill these in when final</t>
        </r>
      </text>
    </comment>
    <comment ref="I2" authorId="0" shapeId="0" xr:uid="{F65D0EC6-19F1-4371-8308-ECD7F8FEE68A}">
      <text>
        <r>
          <rPr>
            <b/>
            <u/>
            <sz val="9"/>
            <color indexed="81"/>
            <rFont val="Tahoma"/>
            <family val="2"/>
          </rPr>
          <t>Natural Production (eg)</t>
        </r>
        <r>
          <rPr>
            <b/>
            <sz val="9"/>
            <color indexed="81"/>
            <rFont val="Tahoma"/>
            <family val="2"/>
          </rPr>
          <t xml:space="preserve">
(current)
spawning ground survey 
dam count
weir count
EDT model (patient)
expert judgement
(historical)
Reference period estimate
EDT model (template)
Other model
Harvest expansion
???
(goals)
</t>
        </r>
        <r>
          <rPr>
            <b/>
            <u/>
            <sz val="9"/>
            <color indexed="81"/>
            <rFont val="Tahoma"/>
            <family val="2"/>
          </rPr>
          <t>Hatchery</t>
        </r>
        <r>
          <rPr>
            <b/>
            <sz val="9"/>
            <color indexed="81"/>
            <rFont val="Tahoma"/>
            <family val="2"/>
          </rPr>
          <t xml:space="preserve">
release
adult return</t>
        </r>
      </text>
    </comment>
    <comment ref="J2" authorId="0" shapeId="0" xr:uid="{6C874654-E254-4731-A94D-B4B78FA929F6}">
      <text>
        <r>
          <rPr>
            <b/>
            <sz val="9"/>
            <color indexed="81"/>
            <rFont val="Tahoma"/>
            <family val="2"/>
          </rPr>
          <t>if applicable</t>
        </r>
      </text>
    </comment>
    <comment ref="L2" authorId="0" shapeId="0" xr:uid="{F3FCF8F0-28DB-4081-BE0B-164DD88F6456}">
      <text>
        <r>
          <rPr>
            <b/>
            <u/>
            <sz val="9"/>
            <color indexed="81"/>
            <rFont val="Tahoma"/>
            <family val="2"/>
          </rPr>
          <t>Reference (short form)</t>
        </r>
        <r>
          <rPr>
            <b/>
            <sz val="9"/>
            <color indexed="81"/>
            <rFont val="Tahoma"/>
            <family val="2"/>
          </rPr>
          <t xml:space="preserve">
Recovery plan
Subbasin plan
Technical report
Website
Agency unpublished
etc.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Stuart Ellis</author>
  </authors>
  <commentList>
    <comment ref="F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Stuart Ellis:</t>
        </r>
        <r>
          <rPr>
            <sz val="9"/>
            <color indexed="81"/>
            <rFont val="Tahoma"/>
            <family val="2"/>
          </rPr>
          <t xml:space="preserve">
These are bright stock fish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P3" authorId="0" shapeId="0" xr:uid="{66AE9941-64E1-442F-AE6A-871B73A1041C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  <comment ref="E4" authorId="0" shapeId="0" xr:uid="{6F56F499-833C-4885-9E53-C01395528AF3}">
      <text>
        <r>
          <rPr>
            <b/>
            <sz val="9"/>
            <color indexed="81"/>
            <rFont val="Tahoma"/>
            <family val="2"/>
          </rPr>
          <t>For this example solved to force match to number of spawners (because averages don't always align perfectly)</t>
        </r>
      </text>
    </comment>
    <comment ref="Q7" authorId="0" shapeId="0" xr:uid="{B050A668-A4B9-4943-8BE2-E932860D88C6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Q8" authorId="0" shapeId="0" xr:uid="{647178F4-7A84-460C-8AC3-821410F11793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G9" authorId="0" shapeId="0" xr:uid="{356E48B2-F089-4870-958F-B7CD775B88C2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Q9" authorId="0" shapeId="0" xr:uid="{A868EE2D-29A9-49AD-8B58-B2F505F2E7A8}">
      <text>
        <r>
          <rPr>
            <b/>
            <sz val="9"/>
            <color indexed="81"/>
            <rFont val="Tahoma"/>
            <family val="2"/>
          </rPr>
          <t>need to select this so that total matches target (col M = col O)</t>
        </r>
      </text>
    </comment>
    <comment ref="M12" authorId="0" shapeId="0" xr:uid="{79A02717-8883-4FC0-813E-F40CC9C525A4}">
      <text>
        <r>
          <rPr>
            <b/>
            <sz val="9"/>
            <color indexed="81"/>
            <rFont val="Tahoma"/>
            <family val="2"/>
          </rPr>
          <t>this ideally should include hatchery rack returns &amp; strays into natural spawning grounds</t>
        </r>
      </text>
    </comment>
    <comment ref="R12" authorId="0" shapeId="0" xr:uid="{262A68F8-6183-4E0C-82F0-806773881C9C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</authors>
  <commentList>
    <comment ref="G4" authorId="0" shapeId="0" xr:uid="{9100DBCF-B722-44C1-834F-2E83DC9D9EF3}">
      <text>
        <r>
          <rPr>
            <b/>
            <sz val="8"/>
            <color indexed="81"/>
            <rFont val="Tahoma"/>
            <family val="2"/>
          </rPr>
          <t>SaSI based on McIsaac PhD</t>
        </r>
      </text>
    </comment>
  </commentList>
</comments>
</file>

<file path=xl/sharedStrings.xml><?xml version="1.0" encoding="utf-8"?>
<sst xmlns="http://schemas.openxmlformats.org/spreadsheetml/2006/main" count="798" uniqueCount="251">
  <si>
    <t>Sandy</t>
  </si>
  <si>
    <t>Year</t>
  </si>
  <si>
    <t>ESA: Threatened</t>
  </si>
  <si>
    <t>Total</t>
  </si>
  <si>
    <t>Hatchery</t>
  </si>
  <si>
    <t>@ Columbia R Mouth</t>
  </si>
  <si>
    <t>Totals</t>
  </si>
  <si>
    <t>Natural Production</t>
  </si>
  <si>
    <t>Abundance</t>
  </si>
  <si>
    <t>Potential Goal Range</t>
  </si>
  <si>
    <t>Fisheries / Harvest</t>
  </si>
  <si>
    <t>Exploitation rate</t>
  </si>
  <si>
    <t>Harvest</t>
  </si>
  <si>
    <t>MPG</t>
  </si>
  <si>
    <t>Population</t>
  </si>
  <si>
    <t>Historical</t>
  </si>
  <si>
    <t>Low</t>
  </si>
  <si>
    <t>Med</t>
  </si>
  <si>
    <t>High</t>
  </si>
  <si>
    <t>Location</t>
  </si>
  <si>
    <t>Goal</t>
  </si>
  <si>
    <t>Wild/Natural</t>
  </si>
  <si>
    <t>Ocean (AK)</t>
  </si>
  <si>
    <t>Ocean (Can)</t>
  </si>
  <si>
    <t>Ocean (WA/OR)</t>
  </si>
  <si>
    <t>Col sport</t>
  </si>
  <si>
    <t>Col commercial</t>
  </si>
  <si>
    <t>Total Return</t>
  </si>
  <si>
    <t>@ Goals</t>
  </si>
  <si>
    <t>% hatchery</t>
  </si>
  <si>
    <t>Current Production</t>
  </si>
  <si>
    <t>Return</t>
  </si>
  <si>
    <t>Location (Program)</t>
  </si>
  <si>
    <t>Brood</t>
  </si>
  <si>
    <t>Smolts</t>
  </si>
  <si>
    <t>Fry</t>
  </si>
  <si>
    <t>Current</t>
  </si>
  <si>
    <t>production</t>
  </si>
  <si>
    <t>Sandy River</t>
  </si>
  <si>
    <t>North Fork Lewis River</t>
  </si>
  <si>
    <t>Table 2.1.15. Escapement of lower Columbia River bright fall Chinook stocks</t>
  </si>
  <si>
    <t>Est</t>
  </si>
  <si>
    <t>Ages</t>
  </si>
  <si>
    <t>AABM Fishery</t>
  </si>
  <si>
    <t>ISBM Fishery</t>
  </si>
  <si>
    <t>Terminal Fishery</t>
  </si>
  <si>
    <t>Escapement</t>
  </si>
  <si>
    <t>Catch</t>
  </si>
  <si>
    <t># of</t>
  </si>
  <si>
    <t>SEAK</t>
  </si>
  <si>
    <t>NBC</t>
  </si>
  <si>
    <t>WCVI</t>
  </si>
  <si>
    <t>NBC &amp; CBC</t>
  </si>
  <si>
    <t>Southern BC</t>
  </si>
  <si>
    <t>N Falcon</t>
  </si>
  <si>
    <t>S Falcon</t>
  </si>
  <si>
    <t>WAC</t>
  </si>
  <si>
    <t>Puget Sd</t>
  </si>
  <si>
    <t>Canada</t>
  </si>
  <si>
    <t>Southern US</t>
  </si>
  <si>
    <t>Stray</t>
  </si>
  <si>
    <t>Esc.</t>
  </si>
  <si>
    <t>CWT</t>
  </si>
  <si>
    <t>T</t>
  </si>
  <si>
    <t>N</t>
  </si>
  <si>
    <t>S</t>
  </si>
  <si>
    <t>Failed Criteria</t>
  </si>
  <si>
    <t>-</t>
  </si>
  <si>
    <t>2,3</t>
  </si>
  <si>
    <t>2,3,4</t>
  </si>
  <si>
    <t>3,4,5</t>
  </si>
  <si>
    <t>4,5</t>
  </si>
  <si>
    <t>2,5</t>
  </si>
  <si>
    <t>2,3,4,5</t>
  </si>
  <si>
    <t>2,4,5</t>
  </si>
  <si>
    <t>2,3,5</t>
  </si>
  <si>
    <t>NA</t>
  </si>
  <si>
    <t>79–84</t>
  </si>
  <si>
    <t>85–95</t>
  </si>
  <si>
    <t>96–98</t>
  </si>
  <si>
    <t>99–08</t>
  </si>
  <si>
    <t>09–15</t>
  </si>
  <si>
    <t>North Fork Lewis</t>
  </si>
  <si>
    <t>baseline</t>
  </si>
  <si>
    <t>historical</t>
  </si>
  <si>
    <t>target</t>
  </si>
  <si>
    <t>OR</t>
  </si>
  <si>
    <t>Broad Sense</t>
  </si>
  <si>
    <t>WA</t>
  </si>
  <si>
    <t>PFC+</t>
  </si>
  <si>
    <t xml:space="preserve">  Year</t>
  </si>
  <si>
    <t>Lower River Wild (LRW)</t>
  </si>
  <si>
    <t>BA tables</t>
  </si>
  <si>
    <t>LRW</t>
  </si>
  <si>
    <t>adults</t>
  </si>
  <si>
    <t>MSY</t>
  </si>
  <si>
    <t>Late Fall</t>
  </si>
  <si>
    <t>None</t>
  </si>
  <si>
    <t xml:space="preserve">Lower Columbia Late Fall Chinook </t>
  </si>
  <si>
    <t>Life History: Late Fall, Ocean type rearing</t>
  </si>
  <si>
    <t xml:space="preserve">Recovery </t>
  </si>
  <si>
    <t xml:space="preserve">Plan </t>
  </si>
  <si>
    <t>Target</t>
  </si>
  <si>
    <t>2 times</t>
  </si>
  <si>
    <t>Low Goal</t>
  </si>
  <si>
    <t>Midpoint</t>
  </si>
  <si>
    <t>Treaty</t>
  </si>
  <si>
    <t>Average</t>
  </si>
  <si>
    <t>Run Size</t>
  </si>
  <si>
    <t>Harvest Rates</t>
  </si>
  <si>
    <t>Trib sport</t>
  </si>
  <si>
    <t>Ocean E.R. (%)</t>
  </si>
  <si>
    <t>Col R</t>
  </si>
  <si>
    <t>Ocean</t>
  </si>
  <si>
    <t>Ocean Harvest (#)</t>
  </si>
  <si>
    <t>Alaska</t>
  </si>
  <si>
    <t>WA/OR</t>
  </si>
  <si>
    <t>Run</t>
  </si>
  <si>
    <t>Abund</t>
  </si>
  <si>
    <t>late fall Chinook</t>
  </si>
  <si>
    <t>NF Lewis</t>
  </si>
  <si>
    <t>Spp-Pop</t>
  </si>
  <si>
    <t>Species</t>
  </si>
  <si>
    <t>Strata</t>
  </si>
  <si>
    <t>Designation</t>
  </si>
  <si>
    <t>NOR_MinViabilityGoal</t>
  </si>
  <si>
    <t>NOR_Abu</t>
  </si>
  <si>
    <t>geomean</t>
  </si>
  <si>
    <t>Recent</t>
  </si>
  <si>
    <t>Potential</t>
  </si>
  <si>
    <t>35-70%</t>
  </si>
  <si>
    <t>Low goal</t>
  </si>
  <si>
    <t>Med goal</t>
  </si>
  <si>
    <t>High goal</t>
  </si>
  <si>
    <t>North Fork Lewis Goals</t>
  </si>
  <si>
    <t>1986-2017</t>
  </si>
  <si>
    <t>2008-2017</t>
  </si>
  <si>
    <t>Proportion</t>
  </si>
  <si>
    <t>Number</t>
  </si>
  <si>
    <t>Math</t>
  </si>
  <si>
    <t>Total 1/</t>
  </si>
  <si>
    <t>Lates 2/</t>
  </si>
  <si>
    <t>Lates</t>
  </si>
  <si>
    <t>Tules 2/</t>
  </si>
  <si>
    <t>Tules</t>
  </si>
  <si>
    <t>Check</t>
  </si>
  <si>
    <t>1/ Source: ODFW annual reports (https://odfw.forestry.oregonstate.edu/spawn/reports.htm)</t>
  </si>
  <si>
    <t>2/ Source: Table 6-3 or Table 6-36 of Recovery Plan</t>
  </si>
  <si>
    <t>Stock</t>
  </si>
  <si>
    <t>Record type</t>
  </si>
  <si>
    <t>Subject</t>
  </si>
  <si>
    <t>Variable</t>
  </si>
  <si>
    <t>Value</t>
  </si>
  <si>
    <t>Metric</t>
  </si>
  <si>
    <t>Units</t>
  </si>
  <si>
    <t>Method</t>
  </si>
  <si>
    <t>Years</t>
  </si>
  <si>
    <t>Quantitative Goal Rules</t>
  </si>
  <si>
    <t>Reference</t>
  </si>
  <si>
    <t>Reference Link</t>
  </si>
  <si>
    <t>Notes</t>
  </si>
  <si>
    <t>Lower Columbia Late Fall Chinook</t>
  </si>
  <si>
    <t>natural origin spawners adults</t>
  </si>
  <si>
    <t>spawning ground surveys (GRTS methodology)</t>
  </si>
  <si>
    <t>no rules apply</t>
  </si>
  <si>
    <t>LCFRB database</t>
  </si>
  <si>
    <t>LCFRB/WDFW Conservation and Sustainable Fishery Plan Annual Report (Draft in progress)</t>
  </si>
  <si>
    <t>spawning ground surveys (GRTS methodology) with AUC estimates</t>
  </si>
  <si>
    <t>2013-2017</t>
  </si>
  <si>
    <t xml:space="preserve">Annual Summary of Fall Chinook Monitoring in the Lower Columbia </t>
  </si>
  <si>
    <t>https://odfw.forestry.oregonstate.edu/spawn/reports.htm</t>
  </si>
  <si>
    <t>habitat based analysis (EDT)</t>
  </si>
  <si>
    <t>not applicable</t>
  </si>
  <si>
    <t>habitat based analysis (HPVA)</t>
  </si>
  <si>
    <t>https://www.dfw.state.or.us/fish/crp/conservation_recovery_plans.asp</t>
  </si>
  <si>
    <t>Population Viability Analysis (PVA) using a Stochastic Stock Recruitment Model (Popcycle)</t>
  </si>
  <si>
    <t>1 - delisting abundance goal (desired status)</t>
  </si>
  <si>
    <t>low goal exceeds minimum viability threshold which is necessary to support recovery targets across populations and strata to achieve recovery of ESU, as per TRT guidance</t>
  </si>
  <si>
    <t>Conservation Assessment Tool for Anadromous Salmonids (CATAS) population viability model</t>
  </si>
  <si>
    <t>midpoint between low and high goals</t>
  </si>
  <si>
    <t>2 - mid-way between low- and high-range goals</t>
  </si>
  <si>
    <t>CBP Recommendations Report</t>
  </si>
  <si>
    <t>https://www.westcoast.fisheries.noaa.gov/columbia_river/index.html</t>
  </si>
  <si>
    <t>calculated - 2 times delisting goal</t>
  </si>
  <si>
    <t>default rule of 3 times current would exceed historic abundance with 3-dam complex in place</t>
  </si>
  <si>
    <t>broad sense goal same as delisting goal, calculated high goal as 2 times low goal consistent with North Fork Lewis Population</t>
  </si>
  <si>
    <t>estimates for total abundance only, proportion late stock calculated using current abunance estimates presented in the Lower Columbia Recovery Plan (Table 6-3 or Table 6-36)</t>
  </si>
  <si>
    <t>2010 Washington Recovery Plan - Volume 1 - Chapter 6 - Table 6-1</t>
  </si>
  <si>
    <t>Oregon Recovery Plan -  Chapter 6- Table 6-3</t>
  </si>
  <si>
    <t>Oregon Recovery Plan - Chapter 6 - Table 6-36</t>
  </si>
  <si>
    <t>https://www.lcfrb.gen.wa.us/librarysalmonrecovery</t>
  </si>
  <si>
    <t xml:space="preserve"> 4 - default value, 2 times low-range value</t>
  </si>
  <si>
    <t>Cascade</t>
  </si>
  <si>
    <t>Primary</t>
  </si>
  <si>
    <t>Avg (v ocn)</t>
  </si>
  <si>
    <t>Avg (v CR)</t>
  </si>
  <si>
    <t>--</t>
  </si>
  <si>
    <t>Recent avg</t>
  </si>
  <si>
    <t>(2008-2017)</t>
  </si>
  <si>
    <t>Harvest (Total)</t>
  </si>
  <si>
    <t>Catch Year</t>
  </si>
  <si>
    <t xml:space="preserve"> </t>
  </si>
  <si>
    <t>total</t>
  </si>
  <si>
    <t>(less esc)</t>
  </si>
  <si>
    <t>tcchinook 18-1 v2</t>
  </si>
  <si>
    <t>09–16</t>
  </si>
  <si>
    <t>Appendix C21-Percent distribution of Lewis River Wild (Lewis River Wild) total fishing mortalities among fisheries and escapement.</t>
  </si>
  <si>
    <t>from fishery sheet</t>
  </si>
  <si>
    <t>old calc</t>
  </si>
  <si>
    <t>Medium goal</t>
  </si>
  <si>
    <t>Natural</t>
  </si>
  <si>
    <t>Natl loss rate convertion to escape</t>
  </si>
  <si>
    <t>Columia River run</t>
  </si>
  <si>
    <t>No. of spawners</t>
  </si>
  <si>
    <t>Ocean fishery impact rate (v ocn)</t>
  </si>
  <si>
    <t>Ocean abundance</t>
  </si>
  <si>
    <t>avg</t>
  </si>
  <si>
    <t>Ocean harvest</t>
  </si>
  <si>
    <t>Current (derived)</t>
  </si>
  <si>
    <t>Current (inputs)</t>
  </si>
  <si>
    <t>Freshwater fishery harvest</t>
  </si>
  <si>
    <t>Freshwater fishery impact rate (v Col R)</t>
  </si>
  <si>
    <t>Total harvest</t>
  </si>
  <si>
    <t>Total explitation rate (v ocn)</t>
  </si>
  <si>
    <t>target exploitation rate (v ocn)</t>
  </si>
  <si>
    <t>target freshwater exploitation rate (v col R)</t>
  </si>
  <si>
    <t>Hatchery releases</t>
  </si>
  <si>
    <t>SAR (to Col R)</t>
  </si>
  <si>
    <t>No. escaping</t>
  </si>
  <si>
    <t>blue shaded cells are user inputs (should link to values identified elsewhere in workbook)</t>
  </si>
  <si>
    <t>Data from WDFW Spawning Ground Surveys database.  Data provided by Amelia Johnson with LCFRB.</t>
  </si>
  <si>
    <t>ODFW spawning ground surveys estimtate total Chinook abundance that includes both Tule and Late Bright stock.  Stock breakdowns are not provided via surveys; therefore, used proportion of Tule and Lates from Recovery Plan (current abundance estiamtes) to apportion annual fall Chinook abundance estimates.</t>
  </si>
  <si>
    <t>Harvest data from Big Sheet provided by Cindy LeFleur</t>
  </si>
  <si>
    <t>Columbia Sport</t>
  </si>
  <si>
    <t>Columbia Commercial</t>
  </si>
  <si>
    <t>Tributary Sport</t>
  </si>
  <si>
    <t>Natural Escapement plus Harvest</t>
  </si>
  <si>
    <t>Lewis</t>
  </si>
  <si>
    <t>Calculations for total return to Columbia River mouth</t>
  </si>
  <si>
    <t>Sandy 1/</t>
  </si>
  <si>
    <t>1/ Data for 2012-2017 is from this spreadsheet and data from 2008-2011 is from the Big Sheet</t>
  </si>
  <si>
    <t>Delisting</t>
  </si>
  <si>
    <t>Sandy Goals</t>
  </si>
  <si>
    <t>Average (08-15)</t>
  </si>
  <si>
    <t>Average (08-17)</t>
  </si>
  <si>
    <t>average</t>
  </si>
  <si>
    <t>Anticipated</t>
  </si>
  <si>
    <t>Limits</t>
  </si>
  <si>
    <t>Hatchery Production</t>
  </si>
  <si>
    <t>Harvest (Col basin)</t>
  </si>
  <si>
    <t>Ray Added 4/6/2021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</si>
</sst>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"/>
    <numFmt numFmtId="166" formatCode="0.000"/>
    <numFmt numFmtId="167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i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1"/>
      <color rgb="FFFF0000"/>
      <name val="Calibri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9"/>
      <color indexed="81"/>
      <name val="Tahoma"/>
      <family val="2"/>
    </font>
    <font>
      <sz val="10"/>
      <color rgb="FF000000"/>
      <name val="Calibri"/>
      <family val="2"/>
    </font>
    <font>
      <sz val="11"/>
      <color theme="9" tint="-0.499984740745262"/>
      <name val="HelveticaNeueLT Pro 65 Md"/>
      <family val="2"/>
    </font>
    <font>
      <b/>
      <sz val="14"/>
      <color theme="9" tint="-0.499984740745262"/>
      <name val="HelveticaNeueLT Pro 65 Md"/>
      <family val="2"/>
    </font>
    <font>
      <sz val="11"/>
      <color theme="9" tint="-0.499984740745262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name val="Calibri"/>
      <family val="2"/>
    </font>
    <font>
      <b/>
      <sz val="10"/>
      <color theme="1"/>
      <name val="Calibri"/>
      <family val="2"/>
    </font>
    <font>
      <b/>
      <i/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DD894"/>
        <bgColor indexed="64"/>
      </patternFill>
    </fill>
    <fill>
      <patternFill patternType="solid">
        <fgColor rgb="FFE1E8B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ck">
        <color rgb="FF006600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344">
    <xf numFmtId="0" fontId="0" fillId="0" borderId="0" xfId="0"/>
    <xf numFmtId="0" fontId="0" fillId="2" borderId="0" xfId="0" applyFill="1"/>
    <xf numFmtId="0" fontId="5" fillId="0" borderId="4" xfId="0" applyFont="1" applyBorder="1"/>
    <xf numFmtId="3" fontId="0" fillId="0" borderId="0" xfId="0" applyNumberFormat="1"/>
    <xf numFmtId="0" fontId="0" fillId="0" borderId="4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/>
    <xf numFmtId="0" fontId="0" fillId="0" borderId="7" xfId="0" applyBorder="1"/>
    <xf numFmtId="0" fontId="5" fillId="8" borderId="14" xfId="0" applyFont="1" applyFill="1" applyBorder="1" applyAlignment="1">
      <alignment horizontal="left" vertical="top" wrapText="1"/>
    </xf>
    <xf numFmtId="0" fontId="9" fillId="8" borderId="14" xfId="0" applyFont="1" applyFill="1" applyBorder="1" applyAlignment="1">
      <alignment horizontal="right" vertical="top" wrapText="1" indent="1"/>
    </xf>
    <xf numFmtId="0" fontId="9" fillId="8" borderId="18" xfId="0" applyFont="1" applyFill="1" applyBorder="1" applyAlignment="1">
      <alignment horizontal="left" vertical="top" wrapText="1"/>
    </xf>
    <xf numFmtId="0" fontId="9" fillId="8" borderId="18" xfId="0" applyFont="1" applyFill="1" applyBorder="1" applyAlignment="1">
      <alignment horizontal="right" vertical="top" wrapText="1" indent="1"/>
    </xf>
    <xf numFmtId="0" fontId="5" fillId="9" borderId="23" xfId="0" applyFont="1" applyFill="1" applyBorder="1" applyAlignment="1">
      <alignment horizontal="left" vertical="top" wrapText="1"/>
    </xf>
    <xf numFmtId="0" fontId="9" fillId="9" borderId="16" xfId="0" applyFont="1" applyFill="1" applyBorder="1" applyAlignment="1">
      <alignment horizontal="right" vertical="top" wrapText="1"/>
    </xf>
    <xf numFmtId="0" fontId="5" fillId="9" borderId="24" xfId="0" applyFont="1" applyFill="1" applyBorder="1" applyAlignment="1">
      <alignment horizontal="left" vertical="top" wrapText="1"/>
    </xf>
    <xf numFmtId="0" fontId="9" fillId="9" borderId="14" xfId="0" applyFont="1" applyFill="1" applyBorder="1" applyAlignment="1">
      <alignment horizontal="right" vertical="top" wrapText="1"/>
    </xf>
    <xf numFmtId="0" fontId="9" fillId="8" borderId="17" xfId="0" applyFont="1" applyFill="1" applyBorder="1" applyAlignment="1">
      <alignment horizontal="left" vertical="top" wrapText="1"/>
    </xf>
    <xf numFmtId="0" fontId="9" fillId="8" borderId="17" xfId="0" applyFont="1" applyFill="1" applyBorder="1" applyAlignment="1">
      <alignment horizontal="right" vertical="top" wrapText="1"/>
    </xf>
    <xf numFmtId="0" fontId="9" fillId="9" borderId="25" xfId="0" applyFont="1" applyFill="1" applyBorder="1" applyAlignment="1">
      <alignment horizontal="center" vertical="top" wrapText="1"/>
    </xf>
    <xf numFmtId="0" fontId="9" fillId="9" borderId="26" xfId="0" applyFont="1" applyFill="1" applyBorder="1" applyAlignment="1">
      <alignment horizontal="center" vertical="top" wrapText="1"/>
    </xf>
    <xf numFmtId="0" fontId="9" fillId="9" borderId="27" xfId="0" applyFont="1" applyFill="1" applyBorder="1" applyAlignment="1">
      <alignment horizontal="right" vertical="top" wrapText="1" indent="1"/>
    </xf>
    <xf numFmtId="0" fontId="9" fillId="9" borderId="27" xfId="0" applyFont="1" applyFill="1" applyBorder="1" applyAlignment="1">
      <alignment horizontal="center" vertical="top" wrapText="1"/>
    </xf>
    <xf numFmtId="0" fontId="9" fillId="9" borderId="25" xfId="0" applyFont="1" applyFill="1" applyBorder="1" applyAlignment="1">
      <alignment horizontal="right" vertical="top" wrapText="1" indent="1"/>
    </xf>
    <xf numFmtId="0" fontId="9" fillId="9" borderId="26" xfId="0" applyFont="1" applyFill="1" applyBorder="1" applyAlignment="1">
      <alignment horizontal="right" vertical="top" wrapText="1" indent="1"/>
    </xf>
    <xf numFmtId="0" fontId="9" fillId="9" borderId="17" xfId="0" applyFont="1" applyFill="1" applyBorder="1" applyAlignment="1">
      <alignment horizontal="center" vertical="top" wrapText="1"/>
    </xf>
    <xf numFmtId="0" fontId="9" fillId="9" borderId="25" xfId="0" applyFont="1" applyFill="1" applyBorder="1" applyAlignment="1">
      <alignment horizontal="left" vertical="top" wrapText="1" indent="1"/>
    </xf>
    <xf numFmtId="1" fontId="9" fillId="0" borderId="14" xfId="0" applyNumberFormat="1" applyFont="1" applyBorder="1" applyAlignment="1">
      <alignment horizontal="left" vertical="top" wrapText="1"/>
    </xf>
    <xf numFmtId="1" fontId="9" fillId="0" borderId="14" xfId="0" applyNumberFormat="1" applyFont="1" applyBorder="1" applyAlignment="1">
      <alignment horizontal="right" vertical="top" wrapText="1"/>
    </xf>
    <xf numFmtId="0" fontId="9" fillId="0" borderId="16" xfId="0" applyFont="1" applyBorder="1" applyAlignment="1">
      <alignment horizontal="right" vertical="top" wrapText="1"/>
    </xf>
    <xf numFmtId="0" fontId="9" fillId="0" borderId="24" xfId="0" applyFont="1" applyBorder="1" applyAlignment="1">
      <alignment horizontal="right" vertical="top" wrapText="1"/>
    </xf>
    <xf numFmtId="0" fontId="9" fillId="0" borderId="23" xfId="0" applyFont="1" applyBorder="1" applyAlignment="1">
      <alignment horizontal="right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23" xfId="0" applyFont="1" applyBorder="1" applyAlignment="1">
      <alignment horizontal="center" vertical="top" wrapText="1"/>
    </xf>
    <xf numFmtId="1" fontId="9" fillId="10" borderId="18" xfId="0" applyNumberFormat="1" applyFont="1" applyFill="1" applyBorder="1" applyAlignment="1">
      <alignment horizontal="left" vertical="top" wrapText="1"/>
    </xf>
    <xf numFmtId="1" fontId="9" fillId="10" borderId="18" xfId="0" applyNumberFormat="1" applyFont="1" applyFill="1" applyBorder="1" applyAlignment="1">
      <alignment horizontal="right" vertical="top" wrapText="1"/>
    </xf>
    <xf numFmtId="0" fontId="9" fillId="10" borderId="18" xfId="0" applyFont="1" applyFill="1" applyBorder="1" applyAlignment="1">
      <alignment horizontal="left" vertical="top" wrapText="1"/>
    </xf>
    <xf numFmtId="165" fontId="9" fillId="10" borderId="19" xfId="0" applyNumberFormat="1" applyFont="1" applyFill="1" applyBorder="1" applyAlignment="1">
      <alignment horizontal="right" vertical="top" wrapText="1"/>
    </xf>
    <xf numFmtId="165" fontId="9" fillId="10" borderId="0" xfId="0" applyNumberFormat="1" applyFont="1" applyFill="1" applyAlignment="1">
      <alignment horizontal="right" vertical="top" wrapText="1"/>
    </xf>
    <xf numFmtId="165" fontId="9" fillId="10" borderId="28" xfId="0" applyNumberFormat="1" applyFont="1" applyFill="1" applyBorder="1" applyAlignment="1">
      <alignment horizontal="right" vertical="top" wrapText="1"/>
    </xf>
    <xf numFmtId="165" fontId="9" fillId="10" borderId="0" xfId="0" applyNumberFormat="1" applyFont="1" applyFill="1" applyAlignment="1">
      <alignment horizontal="center" vertical="top" wrapText="1"/>
    </xf>
    <xf numFmtId="165" fontId="9" fillId="10" borderId="19" xfId="0" applyNumberFormat="1" applyFont="1" applyFill="1" applyBorder="1" applyAlignment="1">
      <alignment horizontal="left" vertical="top" wrapText="1"/>
    </xf>
    <xf numFmtId="165" fontId="9" fillId="10" borderId="19" xfId="0" applyNumberFormat="1" applyFont="1" applyFill="1" applyBorder="1" applyAlignment="1">
      <alignment horizontal="center" vertical="top" wrapText="1"/>
    </xf>
    <xf numFmtId="1" fontId="9" fillId="0" borderId="18" xfId="0" applyNumberFormat="1" applyFont="1" applyBorder="1" applyAlignment="1">
      <alignment horizontal="left" vertical="top" wrapText="1"/>
    </xf>
    <xf numFmtId="1" fontId="9" fillId="0" borderId="18" xfId="0" applyNumberFormat="1" applyFont="1" applyBorder="1" applyAlignment="1">
      <alignment horizontal="right" vertical="top" wrapText="1"/>
    </xf>
    <xf numFmtId="0" fontId="9" fillId="0" borderId="18" xfId="0" applyFont="1" applyBorder="1" applyAlignment="1">
      <alignment horizontal="left" vertical="top" wrapText="1"/>
    </xf>
    <xf numFmtId="165" fontId="9" fillId="0" borderId="19" xfId="0" applyNumberFormat="1" applyFont="1" applyBorder="1" applyAlignment="1">
      <alignment horizontal="right" vertical="top" wrapText="1"/>
    </xf>
    <xf numFmtId="165" fontId="9" fillId="0" borderId="0" xfId="0" applyNumberFormat="1" applyFont="1" applyAlignment="1">
      <alignment horizontal="right" vertical="top" wrapText="1"/>
    </xf>
    <xf numFmtId="165" fontId="9" fillId="0" borderId="28" xfId="0" applyNumberFormat="1" applyFont="1" applyBorder="1" applyAlignment="1">
      <alignment horizontal="right" vertical="top" wrapText="1"/>
    </xf>
    <xf numFmtId="165" fontId="9" fillId="0" borderId="0" xfId="0" applyNumberFormat="1" applyFont="1" applyAlignment="1">
      <alignment horizontal="center" vertical="top" wrapText="1"/>
    </xf>
    <xf numFmtId="165" fontId="9" fillId="0" borderId="19" xfId="0" applyNumberFormat="1" applyFont="1" applyBorder="1" applyAlignment="1">
      <alignment horizontal="left" vertical="top" wrapText="1"/>
    </xf>
    <xf numFmtId="165" fontId="9" fillId="0" borderId="19" xfId="0" applyNumberFormat="1" applyFont="1" applyBorder="1" applyAlignment="1">
      <alignment horizontal="center" vertical="top" wrapText="1"/>
    </xf>
    <xf numFmtId="1" fontId="9" fillId="10" borderId="0" xfId="0" applyNumberFormat="1" applyFont="1" applyFill="1" applyAlignment="1">
      <alignment horizontal="left" vertical="top" wrapText="1"/>
    </xf>
    <xf numFmtId="1" fontId="9" fillId="10" borderId="0" xfId="0" applyNumberFormat="1" applyFont="1" applyFill="1" applyAlignment="1">
      <alignment horizontal="right" vertical="top" wrapText="1"/>
    </xf>
    <xf numFmtId="0" fontId="9" fillId="10" borderId="0" xfId="0" applyFont="1" applyFill="1" applyAlignment="1">
      <alignment horizontal="left" vertical="top" wrapText="1"/>
    </xf>
    <xf numFmtId="165" fontId="9" fillId="10" borderId="0" xfId="0" applyNumberFormat="1" applyFont="1" applyFill="1" applyAlignment="1">
      <alignment horizontal="left" vertical="top" wrapText="1"/>
    </xf>
    <xf numFmtId="1" fontId="9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165" fontId="9" fillId="0" borderId="0" xfId="0" applyNumberFormat="1" applyFont="1" applyAlignment="1">
      <alignment horizontal="left" vertical="top" wrapText="1"/>
    </xf>
    <xf numFmtId="1" fontId="9" fillId="0" borderId="26" xfId="0" applyNumberFormat="1" applyFont="1" applyBorder="1" applyAlignment="1">
      <alignment horizontal="left" vertical="top" wrapText="1"/>
    </xf>
    <xf numFmtId="0" fontId="9" fillId="0" borderId="26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left" vertical="top" wrapText="1"/>
    </xf>
    <xf numFmtId="0" fontId="9" fillId="0" borderId="26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left" vertical="top" wrapText="1"/>
    </xf>
    <xf numFmtId="1" fontId="9" fillId="0" borderId="15" xfId="0" applyNumberFormat="1" applyFont="1" applyBorder="1" applyAlignment="1">
      <alignment horizontal="right" vertical="top" wrapText="1"/>
    </xf>
    <xf numFmtId="0" fontId="5" fillId="0" borderId="15" xfId="0" applyFont="1" applyBorder="1" applyAlignment="1">
      <alignment horizontal="left" vertical="top" wrapText="1"/>
    </xf>
    <xf numFmtId="165" fontId="9" fillId="0" borderId="20" xfId="0" applyNumberFormat="1" applyFont="1" applyBorder="1" applyAlignment="1">
      <alignment horizontal="right" vertical="top" wrapText="1"/>
    </xf>
    <xf numFmtId="165" fontId="9" fillId="0" borderId="22" xfId="0" applyNumberFormat="1" applyFont="1" applyBorder="1" applyAlignment="1">
      <alignment horizontal="right" vertical="top" wrapText="1"/>
    </xf>
    <xf numFmtId="165" fontId="9" fillId="0" borderId="21" xfId="0" applyNumberFormat="1" applyFont="1" applyBorder="1" applyAlignment="1">
      <alignment horizontal="right" vertical="top" wrapText="1"/>
    </xf>
    <xf numFmtId="165" fontId="9" fillId="0" borderId="22" xfId="0" applyNumberFormat="1" applyFont="1" applyBorder="1" applyAlignment="1">
      <alignment horizontal="center" vertical="top" wrapText="1"/>
    </xf>
    <xf numFmtId="165" fontId="9" fillId="0" borderId="20" xfId="0" applyNumberFormat="1" applyFont="1" applyBorder="1" applyAlignment="1">
      <alignment horizontal="left" vertical="top" wrapText="1"/>
    </xf>
    <xf numFmtId="165" fontId="9" fillId="0" borderId="20" xfId="0" applyNumberFormat="1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3" fontId="12" fillId="0" borderId="0" xfId="0" applyNumberFormat="1" applyFont="1" applyAlignment="1">
      <alignment horizontal="center" vertical="top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0" fontId="0" fillId="0" borderId="0" xfId="0" applyAlignment="1">
      <alignment horizontal="right"/>
    </xf>
    <xf numFmtId="0" fontId="0" fillId="0" borderId="7" xfId="0" applyBorder="1" applyAlignment="1">
      <alignment horizontal="right"/>
    </xf>
    <xf numFmtId="164" fontId="0" fillId="0" borderId="0" xfId="0" applyNumberFormat="1"/>
    <xf numFmtId="3" fontId="0" fillId="0" borderId="0" xfId="0" applyNumberFormat="1" applyAlignment="1">
      <alignment horizontal="right"/>
    </xf>
    <xf numFmtId="0" fontId="15" fillId="11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11" borderId="0" xfId="0" applyFill="1" applyAlignment="1">
      <alignment horizontal="left"/>
    </xf>
    <xf numFmtId="0" fontId="6" fillId="11" borderId="0" xfId="0" applyFont="1" applyFill="1"/>
    <xf numFmtId="0" fontId="4" fillId="0" borderId="0" xfId="0" applyFont="1"/>
    <xf numFmtId="0" fontId="4" fillId="11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3" fontId="0" fillId="2" borderId="0" xfId="0" applyNumberFormat="1" applyFill="1"/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0" fontId="0" fillId="0" borderId="7" xfId="0" applyBorder="1" applyAlignment="1">
      <alignment horizontal="center"/>
    </xf>
    <xf numFmtId="0" fontId="4" fillId="12" borderId="0" xfId="0" applyFont="1" applyFill="1"/>
    <xf numFmtId="0" fontId="4" fillId="12" borderId="0" xfId="0" applyFont="1" applyFill="1" applyAlignment="1">
      <alignment horizontal="center"/>
    </xf>
    <xf numFmtId="0" fontId="4" fillId="12" borderId="0" xfId="0" applyFont="1" applyFill="1" applyAlignment="1">
      <alignment wrapText="1"/>
    </xf>
    <xf numFmtId="0" fontId="16" fillId="0" borderId="0" xfId="2"/>
    <xf numFmtId="0" fontId="16" fillId="0" borderId="0" xfId="2" applyAlignment="1">
      <alignment vertical="center"/>
    </xf>
    <xf numFmtId="0" fontId="13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0" fillId="5" borderId="0" xfId="0" applyFill="1"/>
    <xf numFmtId="0" fontId="1" fillId="8" borderId="32" xfId="0" applyFont="1" applyFill="1" applyBorder="1" applyAlignment="1">
      <alignment horizontal="center" vertical="center" wrapText="1"/>
    </xf>
    <xf numFmtId="0" fontId="1" fillId="8" borderId="36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 wrapText="1"/>
    </xf>
    <xf numFmtId="0" fontId="0" fillId="0" borderId="39" xfId="0" applyBorder="1" applyAlignment="1">
      <alignment horizontal="center" vertical="top" wrapText="1"/>
    </xf>
    <xf numFmtId="0" fontId="1" fillId="0" borderId="38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8" fillId="8" borderId="35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right" vertical="center" wrapText="1"/>
    </xf>
    <xf numFmtId="0" fontId="18" fillId="8" borderId="0" xfId="0" applyFont="1" applyFill="1" applyAlignment="1">
      <alignment vertical="center" wrapText="1"/>
    </xf>
    <xf numFmtId="0" fontId="18" fillId="8" borderId="36" xfId="0" applyFont="1" applyFill="1" applyBorder="1" applyAlignment="1">
      <alignment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0" fontId="18" fillId="0" borderId="36" xfId="0" applyFont="1" applyBorder="1" applyAlignment="1">
      <alignment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right" vertical="center" wrapText="1"/>
    </xf>
    <xf numFmtId="0" fontId="18" fillId="0" borderId="39" xfId="0" applyFont="1" applyBorder="1" applyAlignment="1">
      <alignment vertical="center" wrapText="1"/>
    </xf>
    <xf numFmtId="0" fontId="18" fillId="0" borderId="41" xfId="0" applyFont="1" applyBorder="1" applyAlignment="1">
      <alignment horizontal="right" vertical="center" wrapText="1"/>
    </xf>
    <xf numFmtId="0" fontId="18" fillId="0" borderId="41" xfId="0" applyFont="1" applyBorder="1" applyAlignment="1">
      <alignment horizontal="left" vertical="center" wrapText="1" indent="1"/>
    </xf>
    <xf numFmtId="0" fontId="18" fillId="0" borderId="41" xfId="0" applyFont="1" applyBorder="1" applyAlignment="1">
      <alignment vertical="center" wrapText="1"/>
    </xf>
    <xf numFmtId="165" fontId="0" fillId="5" borderId="0" xfId="0" applyNumberFormat="1" applyFill="1"/>
    <xf numFmtId="3" fontId="0" fillId="5" borderId="0" xfId="0" applyNumberFormat="1" applyFill="1"/>
    <xf numFmtId="0" fontId="0" fillId="5" borderId="0" xfId="0" applyFill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7" xfId="0" applyFont="1" applyBorder="1" applyAlignment="1">
      <alignment horizontal="right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textRotation="90" wrapText="1"/>
    </xf>
    <xf numFmtId="0" fontId="0" fillId="7" borderId="0" xfId="0" applyFill="1"/>
    <xf numFmtId="3" fontId="0" fillId="7" borderId="0" xfId="0" applyNumberFormat="1" applyFill="1"/>
    <xf numFmtId="9" fontId="0" fillId="0" borderId="0" xfId="1" applyFont="1"/>
    <xf numFmtId="166" fontId="0" fillId="0" borderId="0" xfId="1" applyNumberFormat="1" applyFont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166" fontId="0" fillId="7" borderId="0" xfId="0" applyNumberFormat="1" applyFill="1" applyAlignment="1">
      <alignment horizontal="center"/>
    </xf>
    <xf numFmtId="166" fontId="0" fillId="7" borderId="0" xfId="1" applyNumberFormat="1" applyFont="1" applyFill="1" applyAlignment="1">
      <alignment horizontal="center"/>
    </xf>
    <xf numFmtId="3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6" fontId="0" fillId="7" borderId="0" xfId="0" applyNumberFormat="1" applyFill="1"/>
    <xf numFmtId="166" fontId="0" fillId="0" borderId="0" xfId="0" applyNumberFormat="1" applyAlignment="1">
      <alignment horizontal="right"/>
    </xf>
    <xf numFmtId="167" fontId="0" fillId="0" borderId="0" xfId="3" applyNumberFormat="1" applyFont="1"/>
    <xf numFmtId="167" fontId="0" fillId="0" borderId="0" xfId="0" applyNumberFormat="1"/>
    <xf numFmtId="167" fontId="0" fillId="0" borderId="7" xfId="3" applyNumberFormat="1" applyFont="1" applyBorder="1"/>
    <xf numFmtId="167" fontId="0" fillId="0" borderId="7" xfId="0" applyNumberFormat="1" applyBorder="1"/>
    <xf numFmtId="0" fontId="20" fillId="2" borderId="42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3" fillId="2" borderId="0" xfId="0" applyFont="1" applyFill="1"/>
    <xf numFmtId="0" fontId="23" fillId="0" borderId="9" xfId="0" applyFont="1" applyBorder="1"/>
    <xf numFmtId="3" fontId="25" fillId="0" borderId="9" xfId="0" applyNumberFormat="1" applyFont="1" applyBorder="1" applyAlignment="1">
      <alignment horizontal="center"/>
    </xf>
    <xf numFmtId="3" fontId="23" fillId="0" borderId="11" xfId="0" applyNumberFormat="1" applyFont="1" applyBorder="1" applyAlignment="1">
      <alignment horizontal="center"/>
    </xf>
    <xf numFmtId="3" fontId="23" fillId="0" borderId="0" xfId="0" applyNumberFormat="1" applyFont="1" applyAlignment="1">
      <alignment horizontal="center"/>
    </xf>
    <xf numFmtId="0" fontId="23" fillId="0" borderId="6" xfId="0" applyFont="1" applyBorder="1"/>
    <xf numFmtId="3" fontId="25" fillId="0" borderId="6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/>
    </xf>
    <xf numFmtId="3" fontId="25" fillId="0" borderId="7" xfId="0" applyNumberFormat="1" applyFont="1" applyBorder="1" applyAlignment="1">
      <alignment horizontal="center"/>
    </xf>
    <xf numFmtId="3" fontId="25" fillId="0" borderId="8" xfId="0" applyNumberFormat="1" applyFont="1" applyBorder="1" applyAlignment="1">
      <alignment horizontal="center"/>
    </xf>
    <xf numFmtId="3" fontId="23" fillId="2" borderId="0" xfId="0" applyNumberFormat="1" applyFont="1" applyFill="1"/>
    <xf numFmtId="3" fontId="23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22" fillId="6" borderId="1" xfId="0" applyFont="1" applyFill="1" applyBorder="1"/>
    <xf numFmtId="0" fontId="23" fillId="6" borderId="3" xfId="0" applyFont="1" applyFill="1" applyBorder="1"/>
    <xf numFmtId="0" fontId="24" fillId="7" borderId="10" xfId="0" applyFont="1" applyFill="1" applyBorder="1" applyAlignment="1">
      <alignment horizontal="centerContinuous"/>
    </xf>
    <xf numFmtId="0" fontId="22" fillId="7" borderId="10" xfId="0" applyFont="1" applyFill="1" applyBorder="1" applyAlignment="1">
      <alignment horizontal="centerContinuous"/>
    </xf>
    <xf numFmtId="0" fontId="22" fillId="7" borderId="10" xfId="0" applyFont="1" applyFill="1" applyBorder="1" applyAlignment="1">
      <alignment horizontal="center"/>
    </xf>
    <xf numFmtId="0" fontId="22" fillId="7" borderId="11" xfId="0" applyFont="1" applyFill="1" applyBorder="1" applyAlignment="1">
      <alignment horizontal="center"/>
    </xf>
    <xf numFmtId="0" fontId="22" fillId="7" borderId="6" xfId="0" applyFont="1" applyFill="1" applyBorder="1"/>
    <xf numFmtId="0" fontId="22" fillId="7" borderId="7" xfId="0" applyFont="1" applyFill="1" applyBorder="1"/>
    <xf numFmtId="0" fontId="22" fillId="7" borderId="7" xfId="0" applyFont="1" applyFill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3" fontId="23" fillId="0" borderId="1" xfId="0" applyNumberFormat="1" applyFont="1" applyBorder="1"/>
    <xf numFmtId="0" fontId="23" fillId="0" borderId="2" xfId="0" applyFont="1" applyBorder="1"/>
    <xf numFmtId="3" fontId="23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3" fontId="23" fillId="0" borderId="3" xfId="0" applyNumberFormat="1" applyFont="1" applyBorder="1" applyAlignment="1">
      <alignment horizontal="center"/>
    </xf>
    <xf numFmtId="0" fontId="22" fillId="7" borderId="1" xfId="0" applyFont="1" applyFill="1" applyBorder="1"/>
    <xf numFmtId="0" fontId="22" fillId="7" borderId="2" xfId="0" applyFont="1" applyFill="1" applyBorder="1"/>
    <xf numFmtId="3" fontId="22" fillId="7" borderId="2" xfId="0" applyNumberFormat="1" applyFont="1" applyFill="1" applyBorder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22" fillId="7" borderId="3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left"/>
    </xf>
    <xf numFmtId="0" fontId="22" fillId="3" borderId="2" xfId="0" applyFont="1" applyFill="1" applyBorder="1" applyAlignment="1">
      <alignment horizontal="centerContinuous"/>
    </xf>
    <xf numFmtId="0" fontId="24" fillId="4" borderId="9" xfId="0" applyFont="1" applyFill="1" applyBorder="1" applyAlignment="1">
      <alignment horizontal="centerContinuous"/>
    </xf>
    <xf numFmtId="0" fontId="24" fillId="4" borderId="10" xfId="0" applyFont="1" applyFill="1" applyBorder="1" applyAlignment="1">
      <alignment horizontal="centerContinuous"/>
    </xf>
    <xf numFmtId="0" fontId="22" fillId="4" borderId="11" xfId="0" applyFont="1" applyFill="1" applyBorder="1" applyAlignment="1">
      <alignment horizontal="centerContinuous"/>
    </xf>
    <xf numFmtId="0" fontId="24" fillId="4" borderId="11" xfId="0" applyFont="1" applyFill="1" applyBorder="1" applyAlignment="1">
      <alignment horizontal="centerContinuous"/>
    </xf>
    <xf numFmtId="0" fontId="22" fillId="4" borderId="6" xfId="0" applyFont="1" applyFill="1" applyBorder="1"/>
    <xf numFmtId="0" fontId="22" fillId="4" borderId="7" xfId="0" applyFont="1" applyFill="1" applyBorder="1"/>
    <xf numFmtId="0" fontId="22" fillId="4" borderId="7" xfId="0" applyFont="1" applyFill="1" applyBorder="1" applyAlignment="1">
      <alignment horizontal="center"/>
    </xf>
    <xf numFmtId="0" fontId="22" fillId="4" borderId="8" xfId="0" applyFont="1" applyFill="1" applyBorder="1" applyAlignment="1">
      <alignment horizontal="center"/>
    </xf>
    <xf numFmtId="0" fontId="25" fillId="0" borderId="29" xfId="0" applyFont="1" applyBorder="1"/>
    <xf numFmtId="164" fontId="23" fillId="0" borderId="10" xfId="1" applyNumberFormat="1" applyFont="1" applyBorder="1" applyAlignment="1">
      <alignment horizontal="center"/>
    </xf>
    <xf numFmtId="0" fontId="23" fillId="0" borderId="10" xfId="0" quotePrefix="1" applyFont="1" applyBorder="1" applyAlignment="1">
      <alignment horizontal="center"/>
    </xf>
    <xf numFmtId="0" fontId="25" fillId="0" borderId="12" xfId="0" applyFont="1" applyBorder="1"/>
    <xf numFmtId="164" fontId="23" fillId="0" borderId="0" xfId="1" applyNumberFormat="1" applyFont="1" applyAlignment="1">
      <alignment horizontal="center"/>
    </xf>
    <xf numFmtId="0" fontId="23" fillId="0" borderId="0" xfId="0" quotePrefix="1" applyFont="1" applyAlignment="1">
      <alignment horizontal="center"/>
    </xf>
    <xf numFmtId="0" fontId="23" fillId="0" borderId="12" xfId="0" applyFont="1" applyBorder="1"/>
    <xf numFmtId="0" fontId="23" fillId="0" borderId="13" xfId="0" applyFont="1" applyBorder="1"/>
    <xf numFmtId="164" fontId="23" fillId="0" borderId="7" xfId="1" applyNumberFormat="1" applyFont="1" applyBorder="1" applyAlignment="1">
      <alignment horizontal="center"/>
    </xf>
    <xf numFmtId="0" fontId="27" fillId="4" borderId="1" xfId="0" applyFont="1" applyFill="1" applyBorder="1"/>
    <xf numFmtId="164" fontId="22" fillId="4" borderId="1" xfId="0" applyNumberFormat="1" applyFont="1" applyFill="1" applyBorder="1" applyAlignment="1">
      <alignment horizontal="center"/>
    </xf>
    <xf numFmtId="164" fontId="27" fillId="4" borderId="2" xfId="1" applyNumberFormat="1" applyFont="1" applyFill="1" applyBorder="1" applyAlignment="1">
      <alignment horizontal="center"/>
    </xf>
    <xf numFmtId="164" fontId="27" fillId="4" borderId="2" xfId="0" applyNumberFormat="1" applyFont="1" applyFill="1" applyBorder="1" applyAlignment="1">
      <alignment horizontal="center"/>
    </xf>
    <xf numFmtId="3" fontId="22" fillId="4" borderId="2" xfId="0" applyNumberFormat="1" applyFont="1" applyFill="1" applyBorder="1" applyAlignment="1">
      <alignment horizontal="center"/>
    </xf>
    <xf numFmtId="3" fontId="22" fillId="4" borderId="3" xfId="0" quotePrefix="1" applyNumberFormat="1" applyFont="1" applyFill="1" applyBorder="1" applyAlignment="1">
      <alignment horizontal="center"/>
    </xf>
    <xf numFmtId="0" fontId="23" fillId="0" borderId="10" xfId="0" applyFont="1" applyBorder="1"/>
    <xf numFmtId="0" fontId="23" fillId="0" borderId="7" xfId="0" applyFont="1" applyBorder="1"/>
    <xf numFmtId="0" fontId="22" fillId="0" borderId="9" xfId="0" quotePrefix="1" applyFont="1" applyBorder="1" applyAlignment="1">
      <alignment horizontal="left"/>
    </xf>
    <xf numFmtId="3" fontId="22" fillId="0" borderId="10" xfId="0" applyNumberFormat="1" applyFont="1" applyBorder="1" applyAlignment="1">
      <alignment horizontal="center"/>
    </xf>
    <xf numFmtId="3" fontId="22" fillId="0" borderId="11" xfId="0" applyNumberFormat="1" applyFont="1" applyBorder="1" applyAlignment="1">
      <alignment horizontal="center"/>
    </xf>
    <xf numFmtId="0" fontId="23" fillId="0" borderId="4" xfId="0" applyFont="1" applyBorder="1"/>
    <xf numFmtId="0" fontId="23" fillId="0" borderId="0" xfId="0" applyFont="1"/>
    <xf numFmtId="0" fontId="23" fillId="0" borderId="0" xfId="0" applyFont="1" applyAlignment="1">
      <alignment horizontal="center"/>
    </xf>
    <xf numFmtId="3" fontId="23" fillId="0" borderId="5" xfId="0" applyNumberFormat="1" applyFont="1" applyBorder="1" applyAlignment="1">
      <alignment horizontal="center"/>
    </xf>
    <xf numFmtId="9" fontId="23" fillId="0" borderId="7" xfId="1" applyFont="1" applyBorder="1" applyAlignment="1">
      <alignment horizontal="center"/>
    </xf>
    <xf numFmtId="9" fontId="23" fillId="0" borderId="8" xfId="1" applyFont="1" applyBorder="1" applyAlignment="1">
      <alignment horizontal="center"/>
    </xf>
    <xf numFmtId="0" fontId="22" fillId="0" borderId="9" xfId="0" applyFont="1" applyBorder="1"/>
    <xf numFmtId="0" fontId="22" fillId="0" borderId="4" xfId="0" applyFont="1" applyBorder="1"/>
    <xf numFmtId="9" fontId="23" fillId="2" borderId="0" xfId="1" applyFont="1" applyFill="1" applyAlignment="1">
      <alignment horizontal="center"/>
    </xf>
    <xf numFmtId="9" fontId="23" fillId="0" borderId="0" xfId="1" applyFont="1" applyAlignment="1">
      <alignment horizontal="center"/>
    </xf>
    <xf numFmtId="164" fontId="23" fillId="0" borderId="0" xfId="0" applyNumberFormat="1" applyFont="1"/>
    <xf numFmtId="0" fontId="22" fillId="13" borderId="1" xfId="0" applyFont="1" applyFill="1" applyBorder="1"/>
    <xf numFmtId="0" fontId="23" fillId="13" borderId="2" xfId="0" applyFont="1" applyFill="1" applyBorder="1"/>
    <xf numFmtId="0" fontId="24" fillId="14" borderId="9" xfId="0" applyFont="1" applyFill="1" applyBorder="1" applyAlignment="1">
      <alignment horizontal="centerContinuous"/>
    </xf>
    <xf numFmtId="0" fontId="23" fillId="14" borderId="11" xfId="0" applyFont="1" applyFill="1" applyBorder="1" applyAlignment="1">
      <alignment horizontal="centerContinuous"/>
    </xf>
    <xf numFmtId="0" fontId="24" fillId="14" borderId="10" xfId="0" applyFont="1" applyFill="1" applyBorder="1" applyAlignment="1">
      <alignment horizontal="centerContinuous"/>
    </xf>
    <xf numFmtId="0" fontId="22" fillId="14" borderId="10" xfId="0" applyFont="1" applyFill="1" applyBorder="1" applyAlignment="1">
      <alignment horizontal="centerContinuous"/>
    </xf>
    <xf numFmtId="0" fontId="22" fillId="14" borderId="11" xfId="0" applyFont="1" applyFill="1" applyBorder="1" applyAlignment="1">
      <alignment horizontal="centerContinuous"/>
    </xf>
    <xf numFmtId="0" fontId="22" fillId="14" borderId="4" xfId="0" applyFont="1" applyFill="1" applyBorder="1" applyAlignment="1">
      <alignment horizontal="center" vertical="center"/>
    </xf>
    <xf numFmtId="0" fontId="22" fillId="14" borderId="5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22" fillId="14" borderId="8" xfId="0" applyFont="1" applyFill="1" applyBorder="1" applyAlignment="1">
      <alignment horizontal="center" vertical="center"/>
    </xf>
    <xf numFmtId="0" fontId="22" fillId="14" borderId="1" xfId="0" applyFont="1" applyFill="1" applyBorder="1" applyAlignment="1">
      <alignment horizontal="centerContinuous"/>
    </xf>
    <xf numFmtId="0" fontId="23" fillId="14" borderId="7" xfId="0" applyFont="1" applyFill="1" applyBorder="1" applyAlignment="1">
      <alignment horizontal="centerContinuous"/>
    </xf>
    <xf numFmtId="3" fontId="22" fillId="14" borderId="6" xfId="0" applyNumberFormat="1" applyFont="1" applyFill="1" applyBorder="1" applyAlignment="1">
      <alignment horizontal="center"/>
    </xf>
    <xf numFmtId="3" fontId="22" fillId="14" borderId="8" xfId="0" applyNumberFormat="1" applyFont="1" applyFill="1" applyBorder="1" applyAlignment="1">
      <alignment horizontal="center"/>
    </xf>
    <xf numFmtId="0" fontId="22" fillId="14" borderId="1" xfId="0" applyFont="1" applyFill="1" applyBorder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22" fillId="16" borderId="2" xfId="0" quotePrefix="1" applyFont="1" applyFill="1" applyBorder="1" applyAlignment="1">
      <alignment horizontal="center"/>
    </xf>
    <xf numFmtId="0" fontId="22" fillId="16" borderId="3" xfId="0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 vertical="center"/>
    </xf>
    <xf numFmtId="0" fontId="22" fillId="16" borderId="8" xfId="0" applyFont="1" applyFill="1" applyBorder="1" applyAlignment="1">
      <alignment horizontal="center" vertical="center"/>
    </xf>
    <xf numFmtId="0" fontId="28" fillId="2" borderId="0" xfId="0" applyFont="1" applyFill="1"/>
    <xf numFmtId="0" fontId="29" fillId="2" borderId="1" xfId="0" applyFont="1" applyFill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3" fontId="29" fillId="2" borderId="3" xfId="0" applyNumberFormat="1" applyFont="1" applyFill="1" applyBorder="1" applyAlignment="1">
      <alignment horizontal="center"/>
    </xf>
    <xf numFmtId="0" fontId="30" fillId="0" borderId="0" xfId="0" applyFont="1"/>
    <xf numFmtId="0" fontId="28" fillId="0" borderId="0" xfId="0" applyFont="1"/>
    <xf numFmtId="167" fontId="0" fillId="7" borderId="0" xfId="3" applyNumberFormat="1" applyFont="1" applyFill="1"/>
    <xf numFmtId="0" fontId="0" fillId="0" borderId="0" xfId="0" applyFill="1" applyAlignment="1">
      <alignment horizontal="right" vertical="center" wrapText="1"/>
    </xf>
    <xf numFmtId="0" fontId="0" fillId="0" borderId="0" xfId="0" applyFill="1"/>
    <xf numFmtId="3" fontId="0" fillId="0" borderId="0" xfId="0" applyNumberFormat="1" applyFill="1"/>
    <xf numFmtId="0" fontId="22" fillId="15" borderId="9" xfId="0" applyFont="1" applyFill="1" applyBorder="1" applyAlignment="1">
      <alignment horizontal="center" vertical="center"/>
    </xf>
    <xf numFmtId="0" fontId="23" fillId="15" borderId="11" xfId="0" applyFont="1" applyFill="1" applyBorder="1" applyAlignment="1">
      <alignment horizontal="center" vertical="center"/>
    </xf>
    <xf numFmtId="0" fontId="23" fillId="15" borderId="6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26" fillId="0" borderId="29" xfId="0" applyFont="1" applyBorder="1" applyAlignment="1">
      <alignment horizontal="center" vertical="center" textRotation="90"/>
    </xf>
    <xf numFmtId="0" fontId="26" fillId="0" borderId="12" xfId="0" applyFont="1" applyBorder="1" applyAlignment="1">
      <alignment horizontal="center" vertical="center" textRotation="90"/>
    </xf>
    <xf numFmtId="0" fontId="26" fillId="0" borderId="13" xfId="0" applyFont="1" applyBorder="1" applyAlignment="1">
      <alignment horizontal="center" vertical="center" textRotation="90"/>
    </xf>
    <xf numFmtId="3" fontId="23" fillId="0" borderId="9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3" fontId="23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164" fontId="23" fillId="0" borderId="10" xfId="0" quotePrefix="1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164" fontId="23" fillId="0" borderId="11" xfId="0" quotePrefix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3" fontId="23" fillId="0" borderId="11" xfId="0" quotePrefix="1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5" xfId="0" quotePrefix="1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9" fontId="23" fillId="0" borderId="7" xfId="1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3" fontId="22" fillId="0" borderId="10" xfId="0" applyNumberFormat="1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16" borderId="9" xfId="0" applyFont="1" applyFill="1" applyBorder="1" applyAlignment="1">
      <alignment horizontal="center"/>
    </xf>
    <xf numFmtId="0" fontId="23" fillId="16" borderId="10" xfId="0" applyFont="1" applyFill="1" applyBorder="1"/>
    <xf numFmtId="0" fontId="22" fillId="16" borderId="6" xfId="0" applyFont="1" applyFill="1" applyBorder="1" applyAlignment="1">
      <alignment horizontal="center" vertical="center"/>
    </xf>
    <xf numFmtId="0" fontId="23" fillId="16" borderId="7" xfId="0" applyFont="1" applyFill="1" applyBorder="1"/>
    <xf numFmtId="0" fontId="0" fillId="0" borderId="7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9" fillId="0" borderId="23" xfId="0" applyFont="1" applyBorder="1" applyAlignment="1">
      <alignment horizontal="left" vertical="top" wrapText="1" indent="1"/>
    </xf>
    <xf numFmtId="0" fontId="9" fillId="0" borderId="16" xfId="0" applyFont="1" applyBorder="1" applyAlignment="1">
      <alignment horizontal="left" vertical="top" wrapText="1" indent="1"/>
    </xf>
    <xf numFmtId="0" fontId="9" fillId="9" borderId="23" xfId="0" applyFont="1" applyFill="1" applyBorder="1" applyAlignment="1">
      <alignment horizontal="left" vertical="top" wrapText="1"/>
    </xf>
    <xf numFmtId="0" fontId="9" fillId="9" borderId="24" xfId="0" applyFont="1" applyFill="1" applyBorder="1" applyAlignment="1">
      <alignment horizontal="left" vertical="top" wrapText="1"/>
    </xf>
    <xf numFmtId="0" fontId="9" fillId="9" borderId="23" xfId="0" applyFont="1" applyFill="1" applyBorder="1" applyAlignment="1">
      <alignment horizontal="left" vertical="top" wrapText="1" indent="1"/>
    </xf>
    <xf numFmtId="0" fontId="9" fillId="9" borderId="24" xfId="0" applyFont="1" applyFill="1" applyBorder="1" applyAlignment="1">
      <alignment horizontal="left" vertical="top" wrapText="1" indent="1"/>
    </xf>
    <xf numFmtId="0" fontId="9" fillId="9" borderId="16" xfId="0" applyFont="1" applyFill="1" applyBorder="1" applyAlignment="1">
      <alignment horizontal="left" vertical="top" wrapText="1" indent="1"/>
    </xf>
    <xf numFmtId="0" fontId="9" fillId="8" borderId="14" xfId="0" applyFont="1" applyFill="1" applyBorder="1" applyAlignment="1">
      <alignment horizontal="left" wrapText="1" indent="1"/>
    </xf>
    <xf numFmtId="0" fontId="9" fillId="8" borderId="18" xfId="0" applyFont="1" applyFill="1" applyBorder="1" applyAlignment="1">
      <alignment horizontal="left" wrapText="1" indent="1"/>
    </xf>
    <xf numFmtId="0" fontId="9" fillId="8" borderId="17" xfId="0" applyFont="1" applyFill="1" applyBorder="1" applyAlignment="1">
      <alignment horizontal="left" wrapText="1" indent="1"/>
    </xf>
    <xf numFmtId="0" fontId="9" fillId="9" borderId="20" xfId="0" applyFont="1" applyFill="1" applyBorder="1" applyAlignment="1">
      <alignment horizontal="center" vertical="top" wrapText="1"/>
    </xf>
    <xf numFmtId="0" fontId="9" fillId="9" borderId="22" xfId="0" applyFont="1" applyFill="1" applyBorder="1" applyAlignment="1">
      <alignment horizontal="center" vertical="top" wrapText="1"/>
    </xf>
    <xf numFmtId="0" fontId="9" fillId="9" borderId="21" xfId="0" applyFont="1" applyFill="1" applyBorder="1" applyAlignment="1">
      <alignment horizontal="center" vertical="top" wrapText="1"/>
    </xf>
    <xf numFmtId="0" fontId="9" fillId="9" borderId="20" xfId="0" applyFont="1" applyFill="1" applyBorder="1" applyAlignment="1">
      <alignment horizontal="left" vertical="top" wrapText="1"/>
    </xf>
    <xf numFmtId="0" fontId="9" fillId="9" borderId="21" xfId="0" applyFont="1" applyFill="1" applyBorder="1" applyAlignment="1">
      <alignment horizontal="left" vertical="top" wrapText="1"/>
    </xf>
    <xf numFmtId="0" fontId="9" fillId="9" borderId="14" xfId="0" applyFont="1" applyFill="1" applyBorder="1" applyAlignment="1">
      <alignment horizontal="left" vertical="center" wrapText="1"/>
    </xf>
    <xf numFmtId="0" fontId="9" fillId="9" borderId="17" xfId="0" applyFont="1" applyFill="1" applyBorder="1" applyAlignment="1">
      <alignment horizontal="left" vertical="center" wrapText="1"/>
    </xf>
    <xf numFmtId="0" fontId="1" fillId="8" borderId="31" xfId="0" applyFont="1" applyFill="1" applyBorder="1" applyAlignment="1">
      <alignment vertical="center" wrapText="1"/>
    </xf>
    <xf numFmtId="0" fontId="1" fillId="8" borderId="35" xfId="0" applyFont="1" applyFill="1" applyBorder="1" applyAlignment="1">
      <alignment vertical="center" wrapText="1"/>
    </xf>
    <xf numFmtId="0" fontId="1" fillId="8" borderId="40" xfId="0" applyFont="1" applyFill="1" applyBorder="1" applyAlignment="1">
      <alignment vertical="center" wrapText="1"/>
    </xf>
    <xf numFmtId="0" fontId="1" fillId="8" borderId="31" xfId="0" applyFont="1" applyFill="1" applyBorder="1" applyAlignment="1">
      <alignment horizontal="right" vertical="center" wrapText="1"/>
    </xf>
    <xf numFmtId="0" fontId="1" fillId="8" borderId="35" xfId="0" applyFont="1" applyFill="1" applyBorder="1" applyAlignment="1">
      <alignment horizontal="right" vertical="center" wrapText="1"/>
    </xf>
    <xf numFmtId="0" fontId="1" fillId="8" borderId="37" xfId="0" applyFont="1" applyFill="1" applyBorder="1" applyAlignment="1">
      <alignment horizontal="right" vertical="center" wrapText="1"/>
    </xf>
    <xf numFmtId="0" fontId="1" fillId="8" borderId="40" xfId="0" applyFont="1" applyFill="1" applyBorder="1" applyAlignment="1">
      <alignment horizontal="right" vertical="center" wrapText="1"/>
    </xf>
    <xf numFmtId="0" fontId="1" fillId="8" borderId="33" xfId="0" applyFont="1" applyFill="1" applyBorder="1" applyAlignment="1">
      <alignment vertical="center" wrapText="1"/>
    </xf>
    <xf numFmtId="0" fontId="1" fillId="8" borderId="37" xfId="0" applyFont="1" applyFill="1" applyBorder="1" applyAlignment="1">
      <alignment vertical="center" wrapText="1"/>
    </xf>
    <xf numFmtId="0" fontId="1" fillId="8" borderId="34" xfId="0" applyFont="1" applyFill="1" applyBorder="1" applyAlignment="1">
      <alignment vertical="center" wrapText="1"/>
    </xf>
    <xf numFmtId="0" fontId="1" fillId="8" borderId="0" xfId="0" applyFont="1" applyFill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" fillId="8" borderId="32" xfId="0" applyFont="1" applyFill="1" applyBorder="1" applyAlignment="1">
      <alignment vertical="center" wrapText="1"/>
    </xf>
    <xf numFmtId="0" fontId="1" fillId="8" borderId="36" xfId="0" applyFont="1" applyFill="1" applyBorder="1" applyAlignment="1">
      <alignment vertical="center" wrapText="1"/>
    </xf>
    <xf numFmtId="0" fontId="1" fillId="8" borderId="34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34" xfId="0" applyFont="1" applyFill="1" applyBorder="1" applyAlignment="1">
      <alignment horizontal="right" vertical="center" wrapText="1"/>
    </xf>
    <xf numFmtId="0" fontId="1" fillId="8" borderId="0" xfId="0" applyFont="1" applyFill="1" applyAlignment="1">
      <alignment horizontal="right" vertical="center" wrapText="1"/>
    </xf>
    <xf numFmtId="0" fontId="1" fillId="8" borderId="33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8" borderId="38" xfId="0" applyFont="1" applyFill="1" applyBorder="1" applyAlignment="1">
      <alignment horizontal="center" vertical="center" wrapText="1"/>
    </xf>
    <xf numFmtId="0" fontId="1" fillId="8" borderId="39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right" vertical="center" wrapText="1"/>
    </xf>
    <xf numFmtId="0" fontId="1" fillId="0" borderId="39" xfId="0" applyFont="1" applyBorder="1" applyAlignment="1">
      <alignment horizontal="right" vertical="center" wrapText="1"/>
    </xf>
    <xf numFmtId="0" fontId="1" fillId="0" borderId="34" xfId="0" applyFont="1" applyBorder="1" applyAlignment="1">
      <alignment horizontal="right" vertical="center" wrapText="1"/>
    </xf>
    <xf numFmtId="0" fontId="1" fillId="0" borderId="38" xfId="0" applyFont="1" applyBorder="1" applyAlignment="1">
      <alignment horizontal="right" vertical="center" wrapText="1"/>
    </xf>
  </cellXfs>
  <cellStyles count="4">
    <cellStyle name="Comma" xfId="3" builtinId="3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E1E8BE"/>
      <color rgb="FFCDD894"/>
      <color rgb="FF47501C"/>
      <color rgb="FF667228"/>
      <color rgb="FFADC050"/>
      <color rgb="FF8D9D38"/>
      <color rgb="FF717F2D"/>
      <color rgb="FFC7DBD3"/>
      <color rgb="FF558335"/>
      <color rgb="FF7FAD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6768332920673"/>
          <c:y val="5.0925925925925923E-2"/>
          <c:w val="0.87974333299046359"/>
          <c:h val="0.82149291783431011"/>
        </c:manualLayout>
      </c:layout>
      <c:barChart>
        <c:barDir val="col"/>
        <c:grouping val="stacked"/>
        <c:varyColors val="0"/>
        <c:ser>
          <c:idx val="0"/>
          <c:order val="0"/>
          <c:tx>
            <c:v>Adults</c:v>
          </c:tx>
          <c:spPr>
            <a:solidFill>
              <a:srgbClr val="47501C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Run!$B$5:$B$37</c:f>
              <c:numCache>
                <c:formatCode>General</c:formatCode>
                <c:ptCount val="33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</c:numCache>
            </c:numRef>
          </c:cat>
          <c:val>
            <c:numRef>
              <c:f>Run!$H$5:$H$37</c:f>
              <c:numCache>
                <c:formatCode>#,##0</c:formatCode>
                <c:ptCount val="33"/>
                <c:pt idx="0">
                  <c:v>13300</c:v>
                </c:pt>
                <c:pt idx="1">
                  <c:v>24500</c:v>
                </c:pt>
                <c:pt idx="2">
                  <c:v>37900</c:v>
                </c:pt>
                <c:pt idx="3">
                  <c:v>41700</c:v>
                </c:pt>
                <c:pt idx="4">
                  <c:v>38600</c:v>
                </c:pt>
                <c:pt idx="5">
                  <c:v>20300</c:v>
                </c:pt>
                <c:pt idx="6">
                  <c:v>19800</c:v>
                </c:pt>
                <c:pt idx="7">
                  <c:v>12500</c:v>
                </c:pt>
                <c:pt idx="8">
                  <c:v>13300</c:v>
                </c:pt>
                <c:pt idx="9">
                  <c:v>12200</c:v>
                </c:pt>
                <c:pt idx="10">
                  <c:v>16000</c:v>
                </c:pt>
                <c:pt idx="11">
                  <c:v>14600</c:v>
                </c:pt>
                <c:pt idx="12">
                  <c:v>12300</c:v>
                </c:pt>
                <c:pt idx="13">
                  <c:v>7300</c:v>
                </c:pt>
                <c:pt idx="14">
                  <c:v>3300</c:v>
                </c:pt>
                <c:pt idx="15">
                  <c:v>10200</c:v>
                </c:pt>
                <c:pt idx="16">
                  <c:v>15700</c:v>
                </c:pt>
                <c:pt idx="17">
                  <c:v>25200</c:v>
                </c:pt>
                <c:pt idx="18">
                  <c:v>25400</c:v>
                </c:pt>
                <c:pt idx="19">
                  <c:v>21100</c:v>
                </c:pt>
                <c:pt idx="20">
                  <c:v>16300</c:v>
                </c:pt>
                <c:pt idx="21">
                  <c:v>12600</c:v>
                </c:pt>
                <c:pt idx="22">
                  <c:v>4900</c:v>
                </c:pt>
                <c:pt idx="23">
                  <c:v>7800</c:v>
                </c:pt>
                <c:pt idx="24">
                  <c:v>8400</c:v>
                </c:pt>
                <c:pt idx="25">
                  <c:v>11500</c:v>
                </c:pt>
                <c:pt idx="26">
                  <c:v>15400</c:v>
                </c:pt>
                <c:pt idx="27">
                  <c:v>12100</c:v>
                </c:pt>
                <c:pt idx="28">
                  <c:v>25800</c:v>
                </c:pt>
                <c:pt idx="29">
                  <c:v>25800</c:v>
                </c:pt>
                <c:pt idx="30">
                  <c:v>32400</c:v>
                </c:pt>
                <c:pt idx="31">
                  <c:v>12300</c:v>
                </c:pt>
                <c:pt idx="32">
                  <c:v>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C-4812-9EF7-1879F7063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3636224"/>
        <c:axId val="83637760"/>
      </c:barChart>
      <c:catAx>
        <c:axId val="83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377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8363776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chemeClr val="tx1"/>
                    </a:solidFill>
                  </a:rPr>
                  <a:t>Columbia River Mouth Return</a:t>
                </a:r>
              </a:p>
            </c:rich>
          </c:tx>
          <c:layout>
            <c:manualLayout>
              <c:xMode val="edge"/>
              <c:yMode val="edge"/>
              <c:x val="4.3172771834610445E-3"/>
              <c:y val="9.66360454943132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362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u="none">
                <a:solidFill>
                  <a:schemeClr val="tx1"/>
                </a:solidFill>
              </a:rPr>
              <a:t>Harvest Distribution</a:t>
            </a:r>
          </a:p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u="none">
                <a:solidFill>
                  <a:schemeClr val="tx1"/>
                </a:solidFill>
              </a:rPr>
              <a:t>(% Exploitation vs Ocean Adults)</a:t>
            </a:r>
          </a:p>
        </c:rich>
      </c:tx>
      <c:layout>
        <c:manualLayout>
          <c:xMode val="edge"/>
          <c:yMode val="edge"/>
          <c:x val="0.23935355228150054"/>
          <c:y val="2.55102126219309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523636170382379"/>
          <c:y val="0.22136818863050742"/>
          <c:w val="0.59506415864683582"/>
          <c:h val="0.71706444522147395"/>
        </c:manualLayout>
      </c:layout>
      <c:pieChart>
        <c:varyColors val="1"/>
        <c:ser>
          <c:idx val="0"/>
          <c:order val="0"/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667228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6-4335-81F6-2CD8A3888613}"/>
              </c:ext>
            </c:extLst>
          </c:dPt>
          <c:dPt>
            <c:idx val="1"/>
            <c:bubble3D val="0"/>
            <c:spPr>
              <a:solidFill>
                <a:srgbClr val="717F2D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B6-4335-81F6-2CD8A3888613}"/>
              </c:ext>
            </c:extLst>
          </c:dPt>
          <c:dPt>
            <c:idx val="2"/>
            <c:bubble3D val="0"/>
            <c:spPr>
              <a:solidFill>
                <a:srgbClr val="8D9D38"/>
              </a:solidFill>
              <a:ln w="3175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B6-4335-81F6-2CD8A3888613}"/>
              </c:ext>
            </c:extLst>
          </c:dPt>
          <c:dPt>
            <c:idx val="3"/>
            <c:bubble3D val="0"/>
            <c:spPr>
              <a:solidFill>
                <a:srgbClr val="ADC050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E007-4F06-8DCC-B349384DB511}"/>
              </c:ext>
            </c:extLst>
          </c:dPt>
          <c:dPt>
            <c:idx val="4"/>
            <c:bubble3D val="0"/>
            <c:spPr>
              <a:solidFill>
                <a:srgbClr val="CDD894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007-4F06-8DCC-B349384DB511}"/>
              </c:ext>
            </c:extLst>
          </c:dPt>
          <c:dPt>
            <c:idx val="5"/>
            <c:bubble3D val="0"/>
            <c:spPr>
              <a:solidFill>
                <a:srgbClr val="E1E8BE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007-4F06-8DCC-B349384DB511}"/>
              </c:ext>
            </c:extLst>
          </c:dPt>
          <c:dLbls>
            <c:dLbl>
              <c:idx val="0"/>
              <c:layout>
                <c:manualLayout>
                  <c:x val="-0.131531172677151"/>
                  <c:y val="-1.70285284837335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335-81F6-2CD8A3888613}"/>
                </c:ext>
              </c:extLst>
            </c:dLbl>
            <c:dLbl>
              <c:idx val="1"/>
              <c:layout>
                <c:manualLayout>
                  <c:x val="1.6959139610737216E-2"/>
                  <c:y val="-3.75633248402988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874471099136039"/>
                      <c:h val="0.150234192547739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0B6-4335-81F6-2CD8A3888613}"/>
                </c:ext>
              </c:extLst>
            </c:dLbl>
            <c:dLbl>
              <c:idx val="2"/>
              <c:layout>
                <c:manualLayout>
                  <c:x val="2.9862759884102957E-2"/>
                  <c:y val="6.75776147255205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99883494113692"/>
                      <c:h val="0.154491324668672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0B6-4335-81F6-2CD8A3888613}"/>
                </c:ext>
              </c:extLst>
            </c:dLbl>
            <c:dLbl>
              <c:idx val="3"/>
              <c:layout>
                <c:manualLayout>
                  <c:x val="-2.0607817090918189E-3"/>
                  <c:y val="1.9451071305622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07-4F06-8DCC-B349384DB511}"/>
                </c:ext>
              </c:extLst>
            </c:dLbl>
            <c:dLbl>
              <c:idx val="4"/>
              <c:layout>
                <c:manualLayout>
                  <c:x val="4.0955069644255972E-3"/>
                  <c:y val="1.70141145718280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629075029429603"/>
                      <c:h val="0.2543636442257701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007-4F06-8DCC-B349384DB511}"/>
                </c:ext>
              </c:extLst>
            </c:dLbl>
            <c:dLbl>
              <c:idx val="5"/>
              <c:layout>
                <c:manualLayout>
                  <c:x val="1.8823336985536485E-2"/>
                  <c:y val="-1.35018129684311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7-4F06-8DCC-B349384DB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Summary!$T$15:$T$20</c:f>
              <c:strCache>
                <c:ptCount val="6"/>
                <c:pt idx="0">
                  <c:v>Ocean (AK)</c:v>
                </c:pt>
                <c:pt idx="1">
                  <c:v>Ocean (Can)</c:v>
                </c:pt>
                <c:pt idx="2">
                  <c:v>Ocean (WA/OR)</c:v>
                </c:pt>
                <c:pt idx="3">
                  <c:v>Col sport</c:v>
                </c:pt>
                <c:pt idx="4">
                  <c:v>Col commercial</c:v>
                </c:pt>
                <c:pt idx="5">
                  <c:v>Trib sport</c:v>
                </c:pt>
              </c:strCache>
            </c:strRef>
          </c:cat>
          <c:val>
            <c:numRef>
              <c:f>Summary!$U$15:$U$20</c:f>
              <c:numCache>
                <c:formatCode>0.0%</c:formatCode>
                <c:ptCount val="6"/>
                <c:pt idx="0">
                  <c:v>0.10199999999999999</c:v>
                </c:pt>
                <c:pt idx="1">
                  <c:v>0.161</c:v>
                </c:pt>
                <c:pt idx="2">
                  <c:v>7.8E-2</c:v>
                </c:pt>
                <c:pt idx="3">
                  <c:v>2.1747000000000002E-2</c:v>
                </c:pt>
                <c:pt idx="4">
                  <c:v>4.7447999999999997E-2</c:v>
                </c:pt>
                <c:pt idx="5">
                  <c:v>6.2605000000000008E-2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6-4335-81F6-2CD8A38886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157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Natural</a:t>
            </a:r>
          </a:p>
          <a:p>
            <a:pPr>
              <a:defRPr sz="1600" b="1"/>
            </a:pPr>
            <a:r>
              <a:rPr lang="en-US"/>
              <a:t>Production</a:t>
            </a:r>
          </a:p>
        </c:rich>
      </c:tx>
      <c:layout>
        <c:manualLayout>
          <c:xMode val="edge"/>
          <c:yMode val="edge"/>
          <c:x val="0.65251208874415567"/>
          <c:y val="7.4791574387579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381356535482255"/>
          <c:y val="3.1547114383986989E-2"/>
          <c:w val="0.68244119180285068"/>
          <c:h val="0.8227580816057633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D9D38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Summary!$C$19:$C$23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</c:v>
                </c:pt>
              </c:strCache>
            </c:strRef>
          </c:cat>
          <c:val>
            <c:numRef>
              <c:f>Summary!$D$19:$D$23</c:f>
              <c:numCache>
                <c:formatCode>#,##0</c:formatCode>
                <c:ptCount val="5"/>
                <c:pt idx="0">
                  <c:v>10800</c:v>
                </c:pt>
                <c:pt idx="1">
                  <c:v>11100</c:v>
                </c:pt>
                <c:pt idx="2">
                  <c:v>16700</c:v>
                </c:pt>
                <c:pt idx="3">
                  <c:v>22200</c:v>
                </c:pt>
                <c:pt idx="4">
                  <c:v>33000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Natural Production</c:v>
                </c15:tx>
              </c15:filteredSeriesTitle>
            </c:ext>
            <c:ext xmlns:c16="http://schemas.microsoft.com/office/drawing/2014/chart" uri="{C3380CC4-5D6E-409C-BE32-E72D297353CC}">
              <c16:uniqueId val="{00000000-9859-4FA3-BB27-3BDDD3D07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1835776"/>
        <c:axId val="91878528"/>
      </c:barChart>
      <c:catAx>
        <c:axId val="91835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78528"/>
        <c:crosses val="autoZero"/>
        <c:auto val="1"/>
        <c:lblAlgn val="ctr"/>
        <c:lblOffset val="100"/>
        <c:noMultiLvlLbl val="0"/>
      </c:catAx>
      <c:valAx>
        <c:axId val="9187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357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59535</xdr:colOff>
      <xdr:row>1</xdr:row>
      <xdr:rowOff>95248</xdr:rowOff>
    </xdr:from>
    <xdr:to>
      <xdr:col>7</xdr:col>
      <xdr:colOff>178592</xdr:colOff>
      <xdr:row>17</xdr:row>
      <xdr:rowOff>154781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9535" y="369092"/>
          <a:ext cx="3821901" cy="29289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10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60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"bright" stock is o</a:t>
          </a: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 of three types, along with a spring run and a "tule" Fall stock, in the listed lower Columbia River Chinook ESU.</a:t>
          </a:r>
          <a:endParaRPr lang="en-US" sz="1600" i="0">
            <a:effectLst/>
            <a:latin typeface="+mn-lt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"late fall" stock is distinguished from the lower river tule stock by a later run timing and earlier stage of  maturation at freshwater entry.</a:t>
          </a:r>
          <a:endParaRPr lang="en-US" sz="1600" i="0">
            <a:effectLst/>
            <a:latin typeface="+mn-lt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Returns are entirely wild-origin, for this reason the stock is also referred to as Lower River Wild or LRW.</a:t>
          </a:r>
          <a:endParaRPr lang="en-US" sz="1600" i="0">
            <a:latin typeface="+mn-lt"/>
          </a:endParaRPr>
        </a:p>
        <a:p>
          <a:pPr marL="171450" indent="-171450">
            <a:buFont typeface="Arial" panose="020B0604020202020204" pitchFamily="34" charset="0"/>
            <a:buChar char="•"/>
          </a:pPr>
          <a:endParaRPr lang="en-US" sz="1600" i="0">
            <a:latin typeface="+mn-lt"/>
          </a:endParaRPr>
        </a:p>
      </xdr:txBody>
    </xdr:sp>
    <xdr:clientData/>
  </xdr:twoCellAnchor>
  <xdr:twoCellAnchor>
    <xdr:from>
      <xdr:col>1</xdr:col>
      <xdr:colOff>1904</xdr:colOff>
      <xdr:row>30</xdr:row>
      <xdr:rowOff>83343</xdr:rowOff>
    </xdr:from>
    <xdr:to>
      <xdr:col>16</xdr:col>
      <xdr:colOff>123825</xdr:colOff>
      <xdr:row>49</xdr:row>
      <xdr:rowOff>130968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223838</xdr:colOff>
      <xdr:row>49</xdr:row>
      <xdr:rowOff>74772</xdr:rowOff>
    </xdr:from>
    <xdr:to>
      <xdr:col>7</xdr:col>
      <xdr:colOff>528162</xdr:colOff>
      <xdr:row>67</xdr:row>
      <xdr:rowOff>97155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281940</xdr:colOff>
      <xdr:row>1</xdr:row>
      <xdr:rowOff>114774</xdr:rowOff>
    </xdr:from>
    <xdr:to>
      <xdr:col>15</xdr:col>
      <xdr:colOff>744380</xdr:colOff>
      <xdr:row>30</xdr:row>
      <xdr:rowOff>16242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65"/>
        <a:stretch/>
      </xdr:blipFill>
      <xdr:spPr bwMode="auto">
        <a:xfrm>
          <a:off x="3984784" y="388618"/>
          <a:ext cx="5217320" cy="5086878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246696</xdr:colOff>
      <xdr:row>59</xdr:row>
      <xdr:rowOff>12383</xdr:rowOff>
    </xdr:from>
    <xdr:ext cx="2072427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771196" y="8834914"/>
          <a:ext cx="20724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No</a:t>
          </a:r>
          <a:r>
            <a:rPr lang="en-US" sz="1100" b="1" baseline="0"/>
            <a:t> Current Hatchery Production</a:t>
          </a:r>
        </a:p>
      </xdr:txBody>
    </xdr:sp>
    <xdr:clientData/>
  </xdr:oneCellAnchor>
  <xdr:twoCellAnchor>
    <xdr:from>
      <xdr:col>0</xdr:col>
      <xdr:colOff>83345</xdr:colOff>
      <xdr:row>17</xdr:row>
      <xdr:rowOff>120966</xdr:rowOff>
    </xdr:from>
    <xdr:to>
      <xdr:col>7</xdr:col>
      <xdr:colOff>179071</xdr:colOff>
      <xdr:row>30</xdr:row>
      <xdr:rowOff>20000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712187-2F18-4E2A-94C4-E12A22C2F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219075</xdr:colOff>
      <xdr:row>1</xdr:row>
      <xdr:rowOff>44449</xdr:rowOff>
    </xdr:from>
    <xdr:to>
      <xdr:col>58</xdr:col>
      <xdr:colOff>289349</xdr:colOff>
      <xdr:row>24</xdr:row>
      <xdr:rowOff>19684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5296F-9312-4AFA-9403-2D2A514D5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5725" y="234949"/>
          <a:ext cx="6779684" cy="434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130</xdr:row>
      <xdr:rowOff>179917</xdr:rowOff>
    </xdr:from>
    <xdr:to>
      <xdr:col>35</xdr:col>
      <xdr:colOff>112607</xdr:colOff>
      <xdr:row>164</xdr:row>
      <xdr:rowOff>36840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D9496A-F855-41D2-81DC-91317AC8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7732" y="24944917"/>
          <a:ext cx="7431617" cy="633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8</xdr:row>
      <xdr:rowOff>142875</xdr:rowOff>
    </xdr:from>
    <xdr:to>
      <xdr:col>21</xdr:col>
      <xdr:colOff>274627</xdr:colOff>
      <xdr:row>29</xdr:row>
      <xdr:rowOff>123326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B527B-6720-4F05-9C47-FC66BD8F2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1666875"/>
          <a:ext cx="13352452" cy="3980951"/>
        </a:xfrm>
        <a:prstGeom prst="rect">
          <a:avLst/>
        </a:prstGeom>
      </xdr:spPr>
    </xdr:pic>
    <xdr:clientData/>
  </xdr:twoCellAnchor>
  <xdr:twoCellAnchor editAs="oneCell">
    <xdr:from>
      <xdr:col>35</xdr:col>
      <xdr:colOff>390525</xdr:colOff>
      <xdr:row>17</xdr:row>
      <xdr:rowOff>19050</xdr:rowOff>
    </xdr:from>
    <xdr:to>
      <xdr:col>46</xdr:col>
      <xdr:colOff>227783</xdr:colOff>
      <xdr:row>49</xdr:row>
      <xdr:rowOff>94478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2C10F0-FF68-4483-A4F4-697DB2F1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31975" y="3257550"/>
          <a:ext cx="6542858" cy="6180953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48</xdr:row>
      <xdr:rowOff>85725</xdr:rowOff>
    </xdr:from>
    <xdr:to>
      <xdr:col>46</xdr:col>
      <xdr:colOff>435430</xdr:colOff>
      <xdr:row>80</xdr:row>
      <xdr:rowOff>54488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9BEDBA-D614-4BF9-B2E0-DD0AE6AAD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51050" y="9229725"/>
          <a:ext cx="6523810" cy="6057143"/>
        </a:xfrm>
        <a:prstGeom prst="rect">
          <a:avLst/>
        </a:prstGeom>
      </xdr:spPr>
    </xdr:pic>
    <xdr:clientData/>
  </xdr:twoCellAnchor>
  <xdr:twoCellAnchor editAs="oneCell">
    <xdr:from>
      <xdr:col>35</xdr:col>
      <xdr:colOff>504825</xdr:colOff>
      <xdr:row>81</xdr:row>
      <xdr:rowOff>47625</xdr:rowOff>
    </xdr:from>
    <xdr:to>
      <xdr:col>46</xdr:col>
      <xdr:colOff>246843</xdr:colOff>
      <xdr:row>107</xdr:row>
      <xdr:rowOff>37482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D80856-FC04-42B2-B669-F2AB61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346275" y="15478125"/>
          <a:ext cx="6457143" cy="4942857"/>
        </a:xfrm>
        <a:prstGeom prst="rect">
          <a:avLst/>
        </a:prstGeom>
      </xdr:spPr>
    </xdr:pic>
    <xdr:clientData/>
  </xdr:twoCellAnchor>
  <xdr:twoCellAnchor editAs="oneCell">
    <xdr:from>
      <xdr:col>24</xdr:col>
      <xdr:colOff>148167</xdr:colOff>
      <xdr:row>45</xdr:row>
      <xdr:rowOff>79375</xdr:rowOff>
    </xdr:from>
    <xdr:to>
      <xdr:col>35</xdr:col>
      <xdr:colOff>133996</xdr:colOff>
      <xdr:row>59</xdr:row>
      <xdr:rowOff>130471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EC297D-4ACB-49DF-BF04-25AB927C0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4017" y="8651875"/>
          <a:ext cx="6695239" cy="2714286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34</xdr:col>
      <xdr:colOff>16382</xdr:colOff>
      <xdr:row>8</xdr:row>
      <xdr:rowOff>56975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BBD960-2173-4DCE-8BC2-FDA3A253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35850" y="190500"/>
          <a:ext cx="6104762" cy="1400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600075</xdr:colOff>
      <xdr:row>1</xdr:row>
      <xdr:rowOff>57150</xdr:rowOff>
    </xdr:from>
    <xdr:to>
      <xdr:col>46</xdr:col>
      <xdr:colOff>437331</xdr:colOff>
      <xdr:row>15</xdr:row>
      <xdr:rowOff>174910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8958B5-65A3-498E-B158-C9BE5C2D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41525" y="247650"/>
          <a:ext cx="6552381" cy="2800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10</xdr:row>
      <xdr:rowOff>9525</xdr:rowOff>
    </xdr:from>
    <xdr:to>
      <xdr:col>34</xdr:col>
      <xdr:colOff>456381</xdr:colOff>
      <xdr:row>44</xdr:row>
      <xdr:rowOff>37287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E6FD13-9D1A-40EA-B21A-BDEA86C7C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35850" y="1914525"/>
          <a:ext cx="6552381" cy="650476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59</xdr:row>
      <xdr:rowOff>171450</xdr:rowOff>
    </xdr:from>
    <xdr:to>
      <xdr:col>36</xdr:col>
      <xdr:colOff>317107</xdr:colOff>
      <xdr:row>91</xdr:row>
      <xdr:rowOff>168785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EE85076-4697-4F57-ADDE-9D46B03D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66934" y="11410950"/>
          <a:ext cx="8228572" cy="6085715"/>
        </a:xfrm>
        <a:prstGeom prst="rect">
          <a:avLst/>
        </a:prstGeom>
      </xdr:spPr>
    </xdr:pic>
    <xdr:clientData/>
  </xdr:twoCellAnchor>
  <xdr:twoCellAnchor editAs="oneCell">
    <xdr:from>
      <xdr:col>36</xdr:col>
      <xdr:colOff>28577</xdr:colOff>
      <xdr:row>109</xdr:row>
      <xdr:rowOff>139698</xdr:rowOff>
    </xdr:from>
    <xdr:to>
      <xdr:col>50</xdr:col>
      <xdr:colOff>249943</xdr:colOff>
      <xdr:row>128</xdr:row>
      <xdr:rowOff>171627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5928474-36E5-49C1-A487-E5F2E28C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479627" y="20904198"/>
          <a:ext cx="8767196" cy="364761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166</xdr:row>
      <xdr:rowOff>28575</xdr:rowOff>
    </xdr:from>
    <xdr:to>
      <xdr:col>33</xdr:col>
      <xdr:colOff>151619</xdr:colOff>
      <xdr:row>205</xdr:row>
      <xdr:rowOff>120981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6F33DD3-B6F3-48BF-B5A5-93E83B44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612100" y="31651575"/>
          <a:ext cx="6247619" cy="752190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207</xdr:row>
      <xdr:rowOff>28575</xdr:rowOff>
    </xdr:from>
    <xdr:to>
      <xdr:col>33</xdr:col>
      <xdr:colOff>323047</xdr:colOff>
      <xdr:row>235</xdr:row>
      <xdr:rowOff>12669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90F79-83FC-401D-A88D-FB8264E8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431125" y="39462075"/>
          <a:ext cx="6419047" cy="5318094"/>
        </a:xfrm>
        <a:prstGeom prst="rect">
          <a:avLst/>
        </a:prstGeom>
      </xdr:spPr>
    </xdr:pic>
    <xdr:clientData/>
  </xdr:twoCellAnchor>
  <xdr:twoCellAnchor editAs="oneCell">
    <xdr:from>
      <xdr:col>36</xdr:col>
      <xdr:colOff>59267</xdr:colOff>
      <xdr:row>130</xdr:row>
      <xdr:rowOff>170392</xdr:rowOff>
    </xdr:from>
    <xdr:to>
      <xdr:col>57</xdr:col>
      <xdr:colOff>245606</xdr:colOff>
      <xdr:row>164</xdr:row>
      <xdr:rowOff>21012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09DCA1-BF3C-4D63-94F0-77829042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510317" y="24935392"/>
          <a:ext cx="12984129" cy="632381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93</xdr:row>
      <xdr:rowOff>127001</xdr:rowOff>
    </xdr:from>
    <xdr:to>
      <xdr:col>35</xdr:col>
      <xdr:colOff>374226</xdr:colOff>
      <xdr:row>129</xdr:row>
      <xdr:rowOff>59747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E2C5C50-155C-4BB7-9A10-2A874FD1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11900" y="17843501"/>
          <a:ext cx="7685616" cy="6802176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265</xdr:row>
      <xdr:rowOff>171450</xdr:rowOff>
    </xdr:from>
    <xdr:to>
      <xdr:col>32</xdr:col>
      <xdr:colOff>380269</xdr:colOff>
      <xdr:row>303</xdr:row>
      <xdr:rowOff>75306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5A548DF-DB11-4427-BA4A-9412A28F3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69275" y="50653950"/>
          <a:ext cx="5847619" cy="714285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237</xdr:row>
      <xdr:rowOff>104775</xdr:rowOff>
    </xdr:from>
    <xdr:to>
      <xdr:col>32</xdr:col>
      <xdr:colOff>511697</xdr:colOff>
      <xdr:row>263</xdr:row>
      <xdr:rowOff>123203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1794E27-ED0E-46BA-81B8-8B39146D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659725" y="45253275"/>
          <a:ext cx="5998097" cy="49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533400</xdr:colOff>
      <xdr:row>23</xdr:row>
      <xdr:rowOff>100965</xdr:rowOff>
    </xdr:from>
    <xdr:to>
      <xdr:col>51</xdr:col>
      <xdr:colOff>554355</xdr:colOff>
      <xdr:row>41</xdr:row>
      <xdr:rowOff>110490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F4E7F7-112F-4496-9B5E-6C7D86A2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4675" y="4263390"/>
          <a:ext cx="9260205" cy="32670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oneCellAnchor>
    <xdr:from>
      <xdr:col>39</xdr:col>
      <xdr:colOff>352425</xdr:colOff>
      <xdr:row>8</xdr:row>
      <xdr:rowOff>156209</xdr:rowOff>
    </xdr:from>
    <xdr:ext cx="2362200" cy="113728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F7CCCD4-E459-4A7B-966F-285640DD20FB}"/>
            </a:ext>
          </a:extLst>
        </xdr:cNvPr>
        <xdr:cNvSpPr txBox="1"/>
      </xdr:nvSpPr>
      <xdr:spPr>
        <a:xfrm>
          <a:off x="19392900" y="1604009"/>
          <a:ext cx="2362200" cy="1137285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Pat: I moved all the other data to the "run"</a:t>
          </a:r>
          <a:r>
            <a:rPr lang="en-US" sz="1100" baseline="0"/>
            <a:t> sheet. I've been using that as the master to collect all the annual data in one place</a:t>
          </a:r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cfrb.gen.wa.us/librarysalmonrecovery" TargetMode="External"/><Relationship Id="rId3" Type="http://schemas.openxmlformats.org/officeDocument/2006/relationships/hyperlink" Target="https://www.dfw.state.or.us/fish/crp/conservation_recovery_plans.asp" TargetMode="External"/><Relationship Id="rId7" Type="http://schemas.openxmlformats.org/officeDocument/2006/relationships/hyperlink" Target="https://www.westcoast.fisheries.noaa.gov/columbia_river/index.html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s://www.dfw.state.or.us/fish/crp/conservation_recovery_plans.asp" TargetMode="External"/><Relationship Id="rId1" Type="http://schemas.openxmlformats.org/officeDocument/2006/relationships/hyperlink" Target="https://odfw.forestry.oregonstate.edu/spawn/reports.htm" TargetMode="External"/><Relationship Id="rId6" Type="http://schemas.openxmlformats.org/officeDocument/2006/relationships/hyperlink" Target="https://www.westcoast.fisheries.noaa.gov/columbia_river/index.html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westcoast.fisheries.noaa.gov/columbia_river/index.html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westcoast.fisheries.noaa.gov/columbia_river/index.html" TargetMode="External"/><Relationship Id="rId9" Type="http://schemas.openxmlformats.org/officeDocument/2006/relationships/hyperlink" Target="https://www.lcfrb.gen.wa.us/librarysalmonrecove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82"/>
  <sheetViews>
    <sheetView topLeftCell="A15" zoomScale="80" zoomScaleNormal="80" workbookViewId="0">
      <selection activeCell="R20" sqref="R20"/>
    </sheetView>
  </sheetViews>
  <sheetFormatPr defaultRowHeight="14.4" x14ac:dyDescent="0.3"/>
  <cols>
    <col min="1" max="1" width="1.88671875" customWidth="1"/>
    <col min="2" max="15" width="8.77734375" customWidth="1"/>
    <col min="16" max="16" width="11.5546875" customWidth="1"/>
    <col min="17" max="17" width="2.5546875" customWidth="1"/>
    <col min="18" max="18" width="8.88671875" style="1"/>
    <col min="19" max="19" width="6.33203125" style="223" customWidth="1"/>
    <col min="20" max="20" width="19.88671875" style="223" customWidth="1"/>
    <col min="21" max="21" width="11.44140625" style="223" customWidth="1"/>
    <col min="22" max="22" width="10.6640625" style="223" customWidth="1"/>
    <col min="23" max="23" width="11" style="223" customWidth="1"/>
    <col min="24" max="24" width="10.44140625" style="223" customWidth="1"/>
    <col min="25" max="25" width="15.77734375" style="223" customWidth="1"/>
    <col min="26" max="26" width="10.88671875" style="223" customWidth="1"/>
    <col min="27" max="27" width="2.109375" style="1" customWidth="1"/>
  </cols>
  <sheetData>
    <row r="1" spans="1:26" s="157" customFormat="1" ht="21.6" customHeight="1" thickBot="1" x14ac:dyDescent="0.35">
      <c r="A1" s="155"/>
      <c r="B1" s="155" t="s">
        <v>98</v>
      </c>
      <c r="C1" s="155"/>
      <c r="D1" s="155"/>
      <c r="E1" s="155"/>
      <c r="F1" s="155"/>
      <c r="G1" s="155"/>
      <c r="H1" s="155" t="s">
        <v>2</v>
      </c>
      <c r="I1" s="155"/>
      <c r="J1" s="155"/>
      <c r="K1" s="155" t="s">
        <v>99</v>
      </c>
      <c r="L1" s="155"/>
      <c r="M1" s="155"/>
      <c r="N1" s="155"/>
      <c r="O1" s="155"/>
      <c r="P1" s="155"/>
      <c r="Q1" s="156"/>
      <c r="S1" s="158"/>
      <c r="T1" s="158"/>
      <c r="U1" s="158"/>
      <c r="V1" s="158"/>
      <c r="W1" s="158"/>
      <c r="X1" s="158"/>
      <c r="Y1" s="158"/>
      <c r="Z1" s="158"/>
    </row>
    <row r="2" spans="1:26" ht="15" thickTop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S2" s="233" t="s">
        <v>7</v>
      </c>
      <c r="T2" s="234"/>
      <c r="U2" s="235" t="s">
        <v>8</v>
      </c>
      <c r="V2" s="236"/>
      <c r="W2" s="237" t="s">
        <v>9</v>
      </c>
      <c r="X2" s="238"/>
      <c r="Y2" s="239"/>
      <c r="Z2" s="159"/>
    </row>
    <row r="3" spans="1:26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248" t="s">
        <v>13</v>
      </c>
      <c r="T3" s="249" t="s">
        <v>14</v>
      </c>
      <c r="U3" s="240" t="s">
        <v>128</v>
      </c>
      <c r="V3" s="241" t="s">
        <v>15</v>
      </c>
      <c r="W3" s="242" t="s">
        <v>16</v>
      </c>
      <c r="X3" s="242" t="s">
        <v>17</v>
      </c>
      <c r="Y3" s="243" t="s">
        <v>18</v>
      </c>
      <c r="Z3" s="159"/>
    </row>
    <row r="4" spans="1:26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S4" s="271" t="s">
        <v>96</v>
      </c>
      <c r="T4" s="160" t="s">
        <v>82</v>
      </c>
      <c r="U4" s="161">
        <f>ROUND(Run!AS38,-2)</f>
        <v>9700</v>
      </c>
      <c r="V4" s="162">
        <f>Spawners!D4</f>
        <v>23000</v>
      </c>
      <c r="W4" s="163">
        <f>ROUND(Spawners!K4,-2)</f>
        <v>7300</v>
      </c>
      <c r="X4" s="163">
        <f>ROUND(Spawners!L4,-2)</f>
        <v>11000</v>
      </c>
      <c r="Y4" s="162">
        <f>ROUND(Spawners!M4,-2)</f>
        <v>14600</v>
      </c>
      <c r="Z4" s="159"/>
    </row>
    <row r="5" spans="1:26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S5" s="272"/>
      <c r="T5" s="164" t="s">
        <v>0</v>
      </c>
      <c r="U5" s="165">
        <f>ROUND(Run!AX13,-2)</f>
        <v>1100</v>
      </c>
      <c r="V5" s="166">
        <f>Spawners!D5</f>
        <v>10000</v>
      </c>
      <c r="W5" s="167">
        <f>Spawners!O4</f>
        <v>3800</v>
      </c>
      <c r="X5" s="167">
        <f>Spawners!P4</f>
        <v>5700</v>
      </c>
      <c r="Y5" s="168">
        <f>Spawners!Q4</f>
        <v>7600</v>
      </c>
      <c r="Z5" s="159"/>
    </row>
    <row r="6" spans="1:26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244" t="s">
        <v>6</v>
      </c>
      <c r="T6" s="245"/>
      <c r="U6" s="246">
        <f>SUM(U4:U5)</f>
        <v>10800</v>
      </c>
      <c r="V6" s="247">
        <f>SUM(V4:V5)</f>
        <v>33000</v>
      </c>
      <c r="W6" s="247">
        <f>SUM(W4:W5)</f>
        <v>11100</v>
      </c>
      <c r="X6" s="247">
        <f>SUM(X4:X5)</f>
        <v>16700</v>
      </c>
      <c r="Y6" s="247">
        <f>SUM(Y4:Y5)</f>
        <v>22200</v>
      </c>
      <c r="Z6" s="159"/>
    </row>
    <row r="7" spans="1:26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S7" s="169"/>
      <c r="T7" s="159"/>
      <c r="U7" s="273"/>
      <c r="V7" s="274"/>
      <c r="W7" s="170"/>
      <c r="X7" s="169"/>
      <c r="Y7" s="169"/>
      <c r="Z7" s="169"/>
    </row>
    <row r="8" spans="1:26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S8" s="172" t="s">
        <v>248</v>
      </c>
      <c r="T8" s="173"/>
      <c r="U8" s="174" t="s">
        <v>30</v>
      </c>
      <c r="V8" s="175"/>
      <c r="W8" s="175"/>
      <c r="X8" s="176" t="s">
        <v>31</v>
      </c>
      <c r="Y8" s="177" t="s">
        <v>246</v>
      </c>
      <c r="Z8" s="159"/>
    </row>
    <row r="9" spans="1:26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S9" s="178" t="s">
        <v>32</v>
      </c>
      <c r="T9" s="179"/>
      <c r="U9" s="180" t="s">
        <v>33</v>
      </c>
      <c r="V9" s="180" t="s">
        <v>34</v>
      </c>
      <c r="W9" s="180" t="s">
        <v>35</v>
      </c>
      <c r="X9" s="180" t="s">
        <v>20</v>
      </c>
      <c r="Y9" s="181" t="s">
        <v>37</v>
      </c>
      <c r="Z9" s="159"/>
    </row>
    <row r="10" spans="1:26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S10" s="182" t="s">
        <v>97</v>
      </c>
      <c r="T10" s="183"/>
      <c r="U10" s="184">
        <v>0</v>
      </c>
      <c r="V10" s="185">
        <v>0</v>
      </c>
      <c r="W10" s="184">
        <v>0</v>
      </c>
      <c r="X10" s="184">
        <v>0</v>
      </c>
      <c r="Y10" s="186">
        <v>0</v>
      </c>
      <c r="Z10" s="159"/>
    </row>
    <row r="11" spans="1:26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S11" s="187" t="s">
        <v>6</v>
      </c>
      <c r="T11" s="188"/>
      <c r="U11" s="189">
        <v>0</v>
      </c>
      <c r="V11" s="189">
        <v>0</v>
      </c>
      <c r="W11" s="189">
        <v>0</v>
      </c>
      <c r="X11" s="190">
        <v>0</v>
      </c>
      <c r="Y11" s="191">
        <v>0</v>
      </c>
      <c r="Z11" s="159"/>
    </row>
    <row r="12" spans="1:26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S12" s="159"/>
      <c r="T12" s="159"/>
      <c r="U12" s="159"/>
      <c r="V12" s="159"/>
      <c r="W12" s="159"/>
      <c r="X12" s="159"/>
      <c r="Y12" s="159"/>
      <c r="Z12" s="159"/>
    </row>
    <row r="13" spans="1:26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S13" s="192" t="s">
        <v>10</v>
      </c>
      <c r="T13" s="193"/>
      <c r="U13" s="194" t="s">
        <v>11</v>
      </c>
      <c r="V13" s="195"/>
      <c r="W13" s="195"/>
      <c r="X13" s="196"/>
      <c r="Y13" s="195" t="s">
        <v>12</v>
      </c>
      <c r="Z13" s="197"/>
    </row>
    <row r="14" spans="1:26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98"/>
      <c r="T14" s="199" t="s">
        <v>19</v>
      </c>
      <c r="U14" s="199" t="s">
        <v>194</v>
      </c>
      <c r="V14" s="200" t="s">
        <v>195</v>
      </c>
      <c r="W14" s="200" t="s">
        <v>247</v>
      </c>
      <c r="X14" s="201" t="s">
        <v>129</v>
      </c>
      <c r="Y14" s="200" t="s">
        <v>128</v>
      </c>
      <c r="Z14" s="201" t="s">
        <v>129</v>
      </c>
    </row>
    <row r="15" spans="1:26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S15" s="268" t="s">
        <v>21</v>
      </c>
      <c r="T15" s="202" t="s">
        <v>22</v>
      </c>
      <c r="U15" s="203">
        <f>ROUND(Run!Y40/100,3)</f>
        <v>0.10199999999999999</v>
      </c>
      <c r="V15" s="204" t="s">
        <v>196</v>
      </c>
      <c r="W15" s="275" t="str">
        <f>W21</f>
        <v>35-70%</v>
      </c>
      <c r="X15" s="278" t="str">
        <f>X21</f>
        <v>35-70%</v>
      </c>
      <c r="Y15" s="163">
        <f>ROUND(Run!AG40,-2)</f>
        <v>2100</v>
      </c>
      <c r="Z15" s="281">
        <f>ROUND(Conv!J9,-2)</f>
        <v>17300</v>
      </c>
    </row>
    <row r="16" spans="1:26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S16" s="269"/>
      <c r="T16" s="205" t="s">
        <v>23</v>
      </c>
      <c r="U16" s="206">
        <f>ROUND(Run!Z40/100,3)</f>
        <v>0.161</v>
      </c>
      <c r="V16" s="207" t="s">
        <v>196</v>
      </c>
      <c r="W16" s="276"/>
      <c r="X16" s="279"/>
      <c r="Y16" s="163">
        <f>ROUND(Run!AH40,-2)</f>
        <v>3400</v>
      </c>
      <c r="Z16" s="282"/>
    </row>
    <row r="17" spans="1:29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269"/>
      <c r="T17" s="205" t="s">
        <v>24</v>
      </c>
      <c r="U17" s="206">
        <f>ROUND(Run!AA40/100,3)</f>
        <v>7.8E-2</v>
      </c>
      <c r="V17" s="207" t="s">
        <v>196</v>
      </c>
      <c r="W17" s="276"/>
      <c r="X17" s="279"/>
      <c r="Y17" s="163">
        <f>ROUND(Run!AI40,-2)</f>
        <v>2000</v>
      </c>
      <c r="Z17" s="282"/>
      <c r="AB17" s="141"/>
      <c r="AC17" s="79">
        <f>SUM(U15:U17)</f>
        <v>0.34100000000000003</v>
      </c>
    </row>
    <row r="18" spans="1:29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S18" s="269"/>
      <c r="T18" s="208" t="s">
        <v>25</v>
      </c>
      <c r="U18" s="206">
        <f>V18*(1-SUM(U$15:U$17))</f>
        <v>2.1747000000000002E-2</v>
      </c>
      <c r="V18" s="206">
        <f>ROUND(Run!S39,3)</f>
        <v>3.3000000000000002E-2</v>
      </c>
      <c r="W18" s="276"/>
      <c r="X18" s="279"/>
      <c r="Y18" s="163">
        <f>ROUND(Run!M39,-2)</f>
        <v>600</v>
      </c>
      <c r="Z18" s="283">
        <f>ROUND(Conv!F9,-2)</f>
        <v>9600</v>
      </c>
    </row>
    <row r="19" spans="1:29" x14ac:dyDescent="0.3">
      <c r="A19" s="1"/>
      <c r="B19" s="1"/>
      <c r="C19" s="1" t="s">
        <v>36</v>
      </c>
      <c r="D19" s="88">
        <f>U6</f>
        <v>10800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S19" s="269"/>
      <c r="T19" s="208" t="s">
        <v>26</v>
      </c>
      <c r="U19" s="206">
        <f t="shared" ref="U19:U20" si="0">V19*(1-SUM(U$15:U$17))</f>
        <v>4.7447999999999997E-2</v>
      </c>
      <c r="V19" s="206">
        <f>ROUND(Run!T39,3)</f>
        <v>7.1999999999999995E-2</v>
      </c>
      <c r="W19" s="276"/>
      <c r="X19" s="279"/>
      <c r="Y19" s="163">
        <f>ROUND(Run!N39,-2)</f>
        <v>900</v>
      </c>
      <c r="Z19" s="279"/>
    </row>
    <row r="20" spans="1:29" x14ac:dyDescent="0.3">
      <c r="A20" s="1"/>
      <c r="B20" s="1"/>
      <c r="C20" s="1" t="s">
        <v>131</v>
      </c>
      <c r="D20" s="88">
        <f>W6</f>
        <v>11100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S20" s="269"/>
      <c r="T20" s="209" t="s">
        <v>110</v>
      </c>
      <c r="U20" s="206">
        <f t="shared" si="0"/>
        <v>6.2605000000000008E-2</v>
      </c>
      <c r="V20" s="210">
        <f>ROUND(Run!U39,3)</f>
        <v>9.5000000000000001E-2</v>
      </c>
      <c r="W20" s="277"/>
      <c r="X20" s="280"/>
      <c r="Y20" s="163">
        <f>ROUND(Run!P39,-2)</f>
        <v>1300</v>
      </c>
      <c r="Z20" s="280"/>
      <c r="AB20" s="3"/>
      <c r="AC20" s="79">
        <f>SUM(U18:U20)</f>
        <v>0.13180000000000003</v>
      </c>
    </row>
    <row r="21" spans="1:29" x14ac:dyDescent="0.3">
      <c r="A21" s="1"/>
      <c r="B21" s="1"/>
      <c r="C21" s="1" t="s">
        <v>132</v>
      </c>
      <c r="D21" s="88">
        <f>X6</f>
        <v>16700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270"/>
      <c r="T21" s="211" t="s">
        <v>3</v>
      </c>
      <c r="U21" s="212">
        <f>SUM(U15:U20)</f>
        <v>0.47280000000000005</v>
      </c>
      <c r="V21" s="213">
        <f>SUM(V15:V20)</f>
        <v>0.2</v>
      </c>
      <c r="W21" s="214" t="s">
        <v>130</v>
      </c>
      <c r="X21" s="214" t="s">
        <v>130</v>
      </c>
      <c r="Y21" s="215">
        <f>SUM(Y15:Y20)</f>
        <v>10300</v>
      </c>
      <c r="Z21" s="216">
        <f>ROUND(Z15+Z18,-2)</f>
        <v>26900</v>
      </c>
    </row>
    <row r="22" spans="1:29" ht="14.4" customHeight="1" x14ac:dyDescent="0.3">
      <c r="A22" s="1"/>
      <c r="B22" s="1"/>
      <c r="C22" s="1" t="s">
        <v>133</v>
      </c>
      <c r="D22" s="88">
        <f>Y6</f>
        <v>22200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S22" s="159"/>
      <c r="T22" s="159"/>
      <c r="U22" s="159"/>
      <c r="V22" s="159"/>
      <c r="W22" s="159"/>
      <c r="X22" s="159"/>
      <c r="Y22" s="159"/>
      <c r="Z22" s="159"/>
    </row>
    <row r="23" spans="1:29" x14ac:dyDescent="0.3">
      <c r="A23" s="1"/>
      <c r="B23" s="1"/>
      <c r="C23" s="1" t="s">
        <v>15</v>
      </c>
      <c r="D23" s="88">
        <f>V6</f>
        <v>33000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S23" s="264" t="s">
        <v>27</v>
      </c>
      <c r="T23" s="265"/>
      <c r="U23" s="290" t="s">
        <v>197</v>
      </c>
      <c r="V23" s="291"/>
      <c r="W23" s="250"/>
      <c r="X23" s="250" t="s">
        <v>28</v>
      </c>
      <c r="Y23" s="251"/>
      <c r="Z23" s="159"/>
    </row>
    <row r="24" spans="1:29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S24" s="266"/>
      <c r="T24" s="267"/>
      <c r="U24" s="292" t="s">
        <v>198</v>
      </c>
      <c r="V24" s="293"/>
      <c r="W24" s="252" t="s">
        <v>16</v>
      </c>
      <c r="X24" s="252" t="s">
        <v>17</v>
      </c>
      <c r="Y24" s="253" t="s">
        <v>18</v>
      </c>
      <c r="Z24" s="159"/>
    </row>
    <row r="25" spans="1:29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S25" s="219" t="s">
        <v>5</v>
      </c>
      <c r="T25" s="217"/>
      <c r="U25" s="288">
        <f>U26+U27</f>
        <v>14500</v>
      </c>
      <c r="V25" s="289"/>
      <c r="W25" s="220">
        <f>W26+W27</f>
        <v>14900</v>
      </c>
      <c r="X25" s="220">
        <f>X26+X27</f>
        <v>23700</v>
      </c>
      <c r="Y25" s="221">
        <f>Y26+Y27</f>
        <v>33500</v>
      </c>
      <c r="Z25" s="159"/>
    </row>
    <row r="26" spans="1:29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S26" s="222"/>
      <c r="T26" s="223" t="s">
        <v>210</v>
      </c>
      <c r="U26" s="284">
        <f>ROUND(Run!BI17,-2)</f>
        <v>14500</v>
      </c>
      <c r="V26" s="285"/>
      <c r="W26" s="163">
        <f>ROUND(Conv!H7,-2)</f>
        <v>14900</v>
      </c>
      <c r="X26" s="163">
        <f>ROUND(Conv!H8,-2)</f>
        <v>23700</v>
      </c>
      <c r="Y26" s="225">
        <f>ROUND(Conv!H9,-2)</f>
        <v>33500</v>
      </c>
      <c r="Z26" s="159"/>
    </row>
    <row r="27" spans="1:29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S27" s="222"/>
      <c r="T27" s="223" t="s">
        <v>4</v>
      </c>
      <c r="U27" s="284">
        <v>0</v>
      </c>
      <c r="V27" s="285"/>
      <c r="W27" s="163">
        <v>0</v>
      </c>
      <c r="X27" s="163">
        <v>0</v>
      </c>
      <c r="Y27" s="225">
        <v>0</v>
      </c>
      <c r="Z27" s="159"/>
    </row>
    <row r="28" spans="1:29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S28" s="164"/>
      <c r="T28" s="218" t="s">
        <v>29</v>
      </c>
      <c r="U28" s="286">
        <f>U27/U25</f>
        <v>0</v>
      </c>
      <c r="V28" s="287"/>
      <c r="W28" s="226">
        <v>0</v>
      </c>
      <c r="X28" s="226">
        <v>0</v>
      </c>
      <c r="Y28" s="227">
        <v>0</v>
      </c>
      <c r="Z28" s="159"/>
    </row>
    <row r="29" spans="1:29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S29" s="228" t="s">
        <v>46</v>
      </c>
      <c r="T29" s="217"/>
      <c r="U29" s="288">
        <f>U30+U31</f>
        <v>11700</v>
      </c>
      <c r="V29" s="289"/>
      <c r="W29" s="220">
        <f>W30+W31</f>
        <v>12000</v>
      </c>
      <c r="X29" s="220">
        <f>X30+X31</f>
        <v>18100</v>
      </c>
      <c r="Y29" s="221">
        <f>Y30+Y31</f>
        <v>24100</v>
      </c>
      <c r="Z29" s="159"/>
    </row>
    <row r="30" spans="1:29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S30" s="222"/>
      <c r="T30" s="223" t="s">
        <v>210</v>
      </c>
      <c r="U30" s="284">
        <f>ROUND(Run!BG17,-2)</f>
        <v>11700</v>
      </c>
      <c r="V30" s="285"/>
      <c r="W30" s="163">
        <f>ROUND(Conv!D7,-2)</f>
        <v>12000</v>
      </c>
      <c r="X30" s="163">
        <f>ROUND(Conv!D8,-2)</f>
        <v>18100</v>
      </c>
      <c r="Y30" s="225">
        <f>ROUND(Conv!D9,-2)</f>
        <v>24100</v>
      </c>
      <c r="Z30" s="159"/>
    </row>
    <row r="31" spans="1:29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S31" s="222"/>
      <c r="T31" s="223" t="s">
        <v>4</v>
      </c>
      <c r="U31" s="284">
        <v>0</v>
      </c>
      <c r="V31" s="285"/>
      <c r="W31" s="163">
        <v>0</v>
      </c>
      <c r="X31" s="163">
        <v>0</v>
      </c>
      <c r="Y31" s="225">
        <v>0</v>
      </c>
      <c r="Z31" s="159"/>
    </row>
    <row r="32" spans="1:29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S32" s="164"/>
      <c r="T32" s="218" t="s">
        <v>29</v>
      </c>
      <c r="U32" s="286">
        <f>U31/U29</f>
        <v>0</v>
      </c>
      <c r="V32" s="287"/>
      <c r="W32" s="226">
        <v>0</v>
      </c>
      <c r="X32" s="226">
        <v>0</v>
      </c>
      <c r="Y32" s="227">
        <v>0</v>
      </c>
      <c r="Z32" s="159"/>
    </row>
    <row r="33" spans="1:26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S33" s="229" t="s">
        <v>249</v>
      </c>
      <c r="U33" s="288">
        <f>U34+U35</f>
        <v>2800</v>
      </c>
      <c r="V33" s="289"/>
      <c r="W33" s="220">
        <f>W34+W35</f>
        <v>3000</v>
      </c>
      <c r="X33" s="220">
        <f>X34+X35</f>
        <v>5800</v>
      </c>
      <c r="Y33" s="221">
        <f>Y34+Y35</f>
        <v>9600</v>
      </c>
      <c r="Z33" s="159"/>
    </row>
    <row r="34" spans="1:26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S34" s="222"/>
      <c r="T34" s="223" t="s">
        <v>210</v>
      </c>
      <c r="U34" s="284">
        <f>SUM(Y18:Y20)</f>
        <v>2800</v>
      </c>
      <c r="V34" s="285"/>
      <c r="W34" s="163">
        <f>ROUND(Conv!F7,-2)</f>
        <v>3000</v>
      </c>
      <c r="X34" s="163">
        <f>ROUND(Conv!F8,-2)</f>
        <v>5800</v>
      </c>
      <c r="Y34" s="225">
        <f>ROUND(Conv!F9,-2)</f>
        <v>9600</v>
      </c>
      <c r="Z34" s="159"/>
    </row>
    <row r="35" spans="1:26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S35" s="222"/>
      <c r="T35" s="223" t="s">
        <v>4</v>
      </c>
      <c r="U35" s="284">
        <v>0</v>
      </c>
      <c r="V35" s="285"/>
      <c r="W35" s="163">
        <v>0</v>
      </c>
      <c r="X35" s="163">
        <v>0</v>
      </c>
      <c r="Y35" s="225">
        <v>0</v>
      </c>
      <c r="Z35" s="159"/>
    </row>
    <row r="36" spans="1:26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S36" s="164"/>
      <c r="T36" s="218" t="s">
        <v>29</v>
      </c>
      <c r="U36" s="286">
        <v>0</v>
      </c>
      <c r="V36" s="287"/>
      <c r="W36" s="226">
        <v>0</v>
      </c>
      <c r="X36" s="226">
        <v>0</v>
      </c>
      <c r="Y36" s="227">
        <v>0</v>
      </c>
      <c r="Z36" s="159"/>
    </row>
    <row r="37" spans="1:26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S37" s="229" t="s">
        <v>199</v>
      </c>
      <c r="U37" s="288">
        <f>U38+U39</f>
        <v>10300</v>
      </c>
      <c r="V37" s="289"/>
      <c r="W37" s="220">
        <f>W38+W39</f>
        <v>10700</v>
      </c>
      <c r="X37" s="220">
        <f>X38+X39</f>
        <v>18100</v>
      </c>
      <c r="Y37" s="221">
        <f>Y38+Y39</f>
        <v>26900</v>
      </c>
      <c r="Z37" s="159"/>
    </row>
    <row r="38" spans="1:26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222"/>
      <c r="T38" s="223" t="s">
        <v>210</v>
      </c>
      <c r="U38" s="284">
        <f>Y21</f>
        <v>10300</v>
      </c>
      <c r="V38" s="285"/>
      <c r="W38" s="163">
        <f>ROUND(Conv!M7,-2)</f>
        <v>10700</v>
      </c>
      <c r="X38" s="163">
        <f>ROUND(Conv!M8,-2)</f>
        <v>18100</v>
      </c>
      <c r="Y38" s="225">
        <f>ROUND(Conv!M9,-2)</f>
        <v>26900</v>
      </c>
      <c r="Z38" s="159"/>
    </row>
    <row r="39" spans="1:26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S39" s="222"/>
      <c r="T39" s="223" t="s">
        <v>4</v>
      </c>
      <c r="U39" s="284">
        <v>0</v>
      </c>
      <c r="V39" s="285"/>
      <c r="W39" s="163">
        <v>0</v>
      </c>
      <c r="X39" s="163">
        <v>0</v>
      </c>
      <c r="Y39" s="225">
        <v>0</v>
      </c>
      <c r="Z39" s="159"/>
    </row>
    <row r="40" spans="1:26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164"/>
      <c r="T40" s="218" t="s">
        <v>29</v>
      </c>
      <c r="U40" s="286">
        <v>0</v>
      </c>
      <c r="V40" s="287"/>
      <c r="W40" s="226">
        <v>0</v>
      </c>
      <c r="X40" s="226">
        <v>0</v>
      </c>
      <c r="Y40" s="227">
        <v>0</v>
      </c>
      <c r="Z40" s="159"/>
    </row>
    <row r="41" spans="1:26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159"/>
      <c r="T41" s="159"/>
      <c r="U41" s="230"/>
      <c r="V41" s="171"/>
      <c r="W41" s="230"/>
      <c r="X41" s="230"/>
      <c r="Y41" s="230"/>
      <c r="Z41" s="159"/>
    </row>
    <row r="42" spans="1:26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U42" s="231"/>
      <c r="V42" s="224"/>
      <c r="W42" s="231"/>
      <c r="X42" s="231"/>
      <c r="Y42" s="231"/>
      <c r="Z42" s="159"/>
    </row>
    <row r="43" spans="1:26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U43" s="231"/>
      <c r="V43" s="224"/>
      <c r="W43" s="231"/>
      <c r="X43" s="231"/>
      <c r="Y43" s="231"/>
      <c r="Z43" s="159"/>
    </row>
    <row r="44" spans="1:26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S44" s="159"/>
      <c r="T44" s="159"/>
      <c r="U44" s="230"/>
      <c r="V44" s="171"/>
      <c r="W44" s="230"/>
      <c r="X44" s="230"/>
      <c r="Y44" s="230"/>
      <c r="Z44" s="159"/>
    </row>
    <row r="45" spans="1:26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U45" s="231"/>
      <c r="V45" s="224"/>
      <c r="W45" s="231"/>
      <c r="X45" s="231"/>
      <c r="Y45" s="231"/>
      <c r="Z45" s="159"/>
    </row>
    <row r="46" spans="1:26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159"/>
      <c r="T46" s="159"/>
      <c r="U46" s="159"/>
      <c r="V46" s="159"/>
      <c r="W46" s="159"/>
      <c r="X46" s="159"/>
      <c r="Y46" s="159"/>
      <c r="Z46" s="159"/>
    </row>
    <row r="47" spans="1:26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26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2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21" ht="1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U50" s="232"/>
    </row>
    <row r="51" spans="1:2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2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2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2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2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2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2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2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21" ht="1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21" ht="1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21" ht="1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21" ht="1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21" ht="1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21" ht="1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27" ht="1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27" ht="1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2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2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27" s="259" customFormat="1" ht="18" x14ac:dyDescent="0.35">
      <c r="A69" s="254"/>
      <c r="B69" s="254"/>
      <c r="C69" s="254"/>
      <c r="D69" s="254"/>
      <c r="E69" s="255" t="s">
        <v>6</v>
      </c>
      <c r="F69" s="256">
        <f>U21</f>
        <v>0.47280000000000005</v>
      </c>
      <c r="G69" s="254"/>
      <c r="H69" s="254"/>
      <c r="I69" s="254"/>
      <c r="J69" s="254"/>
      <c r="K69" s="254"/>
      <c r="L69" s="255" t="s">
        <v>6</v>
      </c>
      <c r="M69" s="257">
        <f>V11</f>
        <v>0</v>
      </c>
      <c r="N69" s="254"/>
      <c r="O69" s="254"/>
      <c r="P69" s="254"/>
      <c r="Q69" s="254"/>
      <c r="R69" s="254"/>
      <c r="S69" s="258"/>
      <c r="T69" s="258"/>
      <c r="U69" s="258"/>
      <c r="V69" s="258"/>
      <c r="W69" s="258"/>
      <c r="X69" s="258"/>
      <c r="Y69" s="258"/>
      <c r="Z69" s="258"/>
      <c r="AA69" s="254"/>
    </row>
    <row r="70" spans="1:27" ht="1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27" x14ac:dyDescent="0.3">
      <c r="A71" s="1"/>
    </row>
    <row r="72" spans="1:27" x14ac:dyDescent="0.3">
      <c r="A72" s="1"/>
    </row>
    <row r="73" spans="1:27" x14ac:dyDescent="0.3">
      <c r="A73" s="1"/>
    </row>
    <row r="74" spans="1:27" x14ac:dyDescent="0.3">
      <c r="A74" s="1"/>
    </row>
    <row r="75" spans="1:27" x14ac:dyDescent="0.3">
      <c r="A75" s="1"/>
    </row>
    <row r="76" spans="1:27" ht="15" customHeight="1" x14ac:dyDescent="0.3">
      <c r="A76" s="1"/>
    </row>
    <row r="77" spans="1:27" x14ac:dyDescent="0.3">
      <c r="A77" s="1"/>
      <c r="B77" s="6"/>
      <c r="D77" s="6"/>
      <c r="E77" s="7"/>
      <c r="F77" s="3"/>
      <c r="G77" s="3"/>
      <c r="H77" s="6"/>
      <c r="I77" s="6"/>
    </row>
    <row r="78" spans="1:27" x14ac:dyDescent="0.3">
      <c r="A78" s="1"/>
      <c r="B78" s="3"/>
      <c r="D78" s="3"/>
      <c r="E78" s="7"/>
      <c r="F78" s="3"/>
      <c r="G78" s="3"/>
      <c r="H78" s="6"/>
      <c r="I78" s="6"/>
    </row>
    <row r="79" spans="1:27" x14ac:dyDescent="0.3">
      <c r="A79" s="1"/>
      <c r="B79" s="3"/>
      <c r="D79" s="3"/>
      <c r="E79" s="7"/>
      <c r="F79" s="3"/>
      <c r="G79" s="3"/>
      <c r="H79" s="6"/>
      <c r="I79" s="6"/>
    </row>
    <row r="80" spans="1:27" x14ac:dyDescent="0.3">
      <c r="A80" s="1"/>
      <c r="B80" s="3"/>
      <c r="D80" s="3"/>
      <c r="E80" s="7"/>
      <c r="F80" s="3"/>
      <c r="G80" s="3"/>
      <c r="H80" s="6"/>
      <c r="I80" s="6"/>
    </row>
    <row r="81" spans="2:9" x14ac:dyDescent="0.3">
      <c r="B81" s="3"/>
      <c r="D81" s="3"/>
      <c r="E81" s="7"/>
      <c r="F81" s="3"/>
      <c r="G81" s="3"/>
      <c r="H81" s="6"/>
      <c r="I81" s="6"/>
    </row>
    <row r="82" spans="2:9" x14ac:dyDescent="0.3">
      <c r="E82" s="7"/>
      <c r="F82" s="3"/>
      <c r="H82" s="6"/>
      <c r="I82" s="6"/>
    </row>
  </sheetData>
  <mergeCells count="26">
    <mergeCell ref="U37:V37"/>
    <mergeCell ref="U38:V38"/>
    <mergeCell ref="U39:V39"/>
    <mergeCell ref="U40:V40"/>
    <mergeCell ref="U23:V23"/>
    <mergeCell ref="U24:V24"/>
    <mergeCell ref="U36:V36"/>
    <mergeCell ref="U35:V35"/>
    <mergeCell ref="U33:V33"/>
    <mergeCell ref="U34:V34"/>
    <mergeCell ref="U25:V25"/>
    <mergeCell ref="U26:V26"/>
    <mergeCell ref="U27:V27"/>
    <mergeCell ref="U28:V28"/>
    <mergeCell ref="U30:V30"/>
    <mergeCell ref="U29:V29"/>
    <mergeCell ref="X15:X20"/>
    <mergeCell ref="Z15:Z17"/>
    <mergeCell ref="Z18:Z20"/>
    <mergeCell ref="U31:V31"/>
    <mergeCell ref="U32:V32"/>
    <mergeCell ref="S23:T24"/>
    <mergeCell ref="S15:S21"/>
    <mergeCell ref="S4:S5"/>
    <mergeCell ref="U7:V7"/>
    <mergeCell ref="W15:W2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D943-CF5C-4D9F-8D5D-2896AF1069DE}">
  <dimension ref="A2:N12"/>
  <sheetViews>
    <sheetView workbookViewId="0"/>
  </sheetViews>
  <sheetFormatPr defaultRowHeight="14.4" x14ac:dyDescent="0.3"/>
  <cols>
    <col min="1" max="1" width="3.33203125" customWidth="1"/>
    <col min="2" max="2" width="31.88671875" customWidth="1"/>
    <col min="3" max="3" width="18" customWidth="1"/>
    <col min="4" max="4" width="16.44140625" customWidth="1"/>
    <col min="5" max="5" width="10" customWidth="1"/>
    <col min="7" max="7" width="28.44140625" customWidth="1"/>
    <col min="8" max="8" width="9.88671875" customWidth="1"/>
    <col min="9" max="9" width="84.6640625" customWidth="1"/>
    <col min="10" max="10" width="14" customWidth="1"/>
    <col min="11" max="11" width="44.109375" customWidth="1"/>
    <col min="12" max="12" width="62" customWidth="1"/>
    <col min="13" max="13" width="81.44140625" customWidth="1"/>
    <col min="14" max="14" width="166.6640625" customWidth="1"/>
  </cols>
  <sheetData>
    <row r="2" spans="1:14" x14ac:dyDescent="0.3">
      <c r="A2" s="95"/>
      <c r="B2" s="95" t="s">
        <v>148</v>
      </c>
      <c r="C2" s="95" t="s">
        <v>149</v>
      </c>
      <c r="D2" s="95" t="s">
        <v>150</v>
      </c>
      <c r="E2" s="95" t="s">
        <v>151</v>
      </c>
      <c r="F2" s="96" t="s">
        <v>152</v>
      </c>
      <c r="G2" s="95" t="s">
        <v>153</v>
      </c>
      <c r="H2" s="95" t="s">
        <v>154</v>
      </c>
      <c r="I2" s="95" t="s">
        <v>155</v>
      </c>
      <c r="J2" s="95" t="s">
        <v>156</v>
      </c>
      <c r="K2" s="95" t="s">
        <v>157</v>
      </c>
      <c r="L2" s="95" t="s">
        <v>158</v>
      </c>
      <c r="M2" s="95" t="s">
        <v>159</v>
      </c>
      <c r="N2" s="97" t="s">
        <v>160</v>
      </c>
    </row>
    <row r="3" spans="1:14" x14ac:dyDescent="0.3">
      <c r="B3" t="s">
        <v>161</v>
      </c>
      <c r="C3" t="s">
        <v>7</v>
      </c>
      <c r="D3" t="s">
        <v>82</v>
      </c>
      <c r="E3" t="s">
        <v>128</v>
      </c>
      <c r="F3" s="3">
        <v>9730</v>
      </c>
      <c r="G3" t="s">
        <v>162</v>
      </c>
      <c r="H3" t="s">
        <v>127</v>
      </c>
      <c r="I3" t="s">
        <v>163</v>
      </c>
      <c r="J3" t="s">
        <v>136</v>
      </c>
      <c r="K3" t="s">
        <v>164</v>
      </c>
      <c r="L3" t="s">
        <v>165</v>
      </c>
      <c r="M3" t="s">
        <v>166</v>
      </c>
    </row>
    <row r="4" spans="1:14" x14ac:dyDescent="0.3">
      <c r="B4" t="s">
        <v>161</v>
      </c>
      <c r="C4" t="s">
        <v>7</v>
      </c>
      <c r="D4" t="s">
        <v>0</v>
      </c>
      <c r="E4" t="s">
        <v>128</v>
      </c>
      <c r="F4" s="3">
        <v>1104</v>
      </c>
      <c r="G4" t="s">
        <v>162</v>
      </c>
      <c r="H4" t="s">
        <v>127</v>
      </c>
      <c r="I4" t="s">
        <v>167</v>
      </c>
      <c r="J4" t="s">
        <v>168</v>
      </c>
      <c r="K4" t="s">
        <v>164</v>
      </c>
      <c r="L4" t="s">
        <v>169</v>
      </c>
      <c r="M4" s="98" t="s">
        <v>170</v>
      </c>
      <c r="N4" t="s">
        <v>186</v>
      </c>
    </row>
    <row r="5" spans="1:14" x14ac:dyDescent="0.3">
      <c r="B5" t="s">
        <v>161</v>
      </c>
      <c r="C5" t="s">
        <v>7</v>
      </c>
      <c r="D5" t="s">
        <v>82</v>
      </c>
      <c r="E5" t="s">
        <v>15</v>
      </c>
      <c r="F5" s="3">
        <v>23000</v>
      </c>
      <c r="G5" t="s">
        <v>162</v>
      </c>
      <c r="H5" t="s">
        <v>127</v>
      </c>
      <c r="I5" t="s">
        <v>171</v>
      </c>
      <c r="J5" t="s">
        <v>172</v>
      </c>
      <c r="K5" t="s">
        <v>164</v>
      </c>
      <c r="L5" t="s">
        <v>187</v>
      </c>
      <c r="M5" s="99" t="s">
        <v>190</v>
      </c>
    </row>
    <row r="6" spans="1:14" x14ac:dyDescent="0.3">
      <c r="B6" t="s">
        <v>161</v>
      </c>
      <c r="C6" t="s">
        <v>7</v>
      </c>
      <c r="D6" t="s">
        <v>0</v>
      </c>
      <c r="E6" t="s">
        <v>15</v>
      </c>
      <c r="F6" s="3">
        <v>10000</v>
      </c>
      <c r="G6" t="s">
        <v>162</v>
      </c>
      <c r="H6" t="s">
        <v>127</v>
      </c>
      <c r="I6" t="s">
        <v>173</v>
      </c>
      <c r="J6" t="s">
        <v>172</v>
      </c>
      <c r="K6" t="s">
        <v>164</v>
      </c>
      <c r="L6" t="s">
        <v>188</v>
      </c>
      <c r="M6" s="98" t="s">
        <v>174</v>
      </c>
    </row>
    <row r="7" spans="1:14" x14ac:dyDescent="0.3">
      <c r="B7" t="s">
        <v>161</v>
      </c>
      <c r="C7" t="s">
        <v>7</v>
      </c>
      <c r="D7" t="s">
        <v>82</v>
      </c>
      <c r="E7" t="s">
        <v>131</v>
      </c>
      <c r="F7" s="3">
        <v>7300</v>
      </c>
      <c r="G7" t="s">
        <v>162</v>
      </c>
      <c r="H7" t="s">
        <v>127</v>
      </c>
      <c r="I7" t="s">
        <v>175</v>
      </c>
      <c r="J7" t="s">
        <v>172</v>
      </c>
      <c r="K7" t="s">
        <v>176</v>
      </c>
      <c r="L7" t="s">
        <v>187</v>
      </c>
      <c r="M7" s="99" t="s">
        <v>190</v>
      </c>
      <c r="N7" t="s">
        <v>177</v>
      </c>
    </row>
    <row r="8" spans="1:14" x14ac:dyDescent="0.3">
      <c r="B8" t="s">
        <v>161</v>
      </c>
      <c r="C8" t="s">
        <v>7</v>
      </c>
      <c r="D8" t="s">
        <v>0</v>
      </c>
      <c r="E8" t="s">
        <v>131</v>
      </c>
      <c r="F8" s="3">
        <v>3800</v>
      </c>
      <c r="G8" t="s">
        <v>162</v>
      </c>
      <c r="H8" t="s">
        <v>127</v>
      </c>
      <c r="I8" t="s">
        <v>178</v>
      </c>
      <c r="J8" t="s">
        <v>172</v>
      </c>
      <c r="K8" t="s">
        <v>176</v>
      </c>
      <c r="L8" t="s">
        <v>189</v>
      </c>
      <c r="M8" s="98" t="s">
        <v>174</v>
      </c>
    </row>
    <row r="9" spans="1:14" x14ac:dyDescent="0.3">
      <c r="B9" t="s">
        <v>161</v>
      </c>
      <c r="C9" t="s">
        <v>7</v>
      </c>
      <c r="D9" t="s">
        <v>82</v>
      </c>
      <c r="E9" t="s">
        <v>132</v>
      </c>
      <c r="F9" s="3">
        <v>11000</v>
      </c>
      <c r="G9" t="s">
        <v>162</v>
      </c>
      <c r="H9" t="s">
        <v>127</v>
      </c>
      <c r="I9" t="s">
        <v>179</v>
      </c>
      <c r="J9" t="s">
        <v>172</v>
      </c>
      <c r="K9" t="s">
        <v>180</v>
      </c>
      <c r="L9" t="s">
        <v>181</v>
      </c>
      <c r="M9" s="98" t="s">
        <v>182</v>
      </c>
    </row>
    <row r="10" spans="1:14" x14ac:dyDescent="0.3">
      <c r="B10" t="s">
        <v>161</v>
      </c>
      <c r="C10" t="s">
        <v>7</v>
      </c>
      <c r="D10" t="s">
        <v>0</v>
      </c>
      <c r="E10" t="s">
        <v>132</v>
      </c>
      <c r="F10" s="3">
        <v>5700</v>
      </c>
      <c r="G10" t="s">
        <v>162</v>
      </c>
      <c r="H10" t="s">
        <v>127</v>
      </c>
      <c r="I10" t="s">
        <v>179</v>
      </c>
      <c r="J10" t="s">
        <v>172</v>
      </c>
      <c r="K10" t="s">
        <v>180</v>
      </c>
      <c r="L10" t="s">
        <v>181</v>
      </c>
      <c r="M10" s="98" t="s">
        <v>182</v>
      </c>
    </row>
    <row r="11" spans="1:14" x14ac:dyDescent="0.3">
      <c r="B11" t="s">
        <v>161</v>
      </c>
      <c r="C11" t="s">
        <v>7</v>
      </c>
      <c r="D11" t="s">
        <v>82</v>
      </c>
      <c r="E11" t="s">
        <v>133</v>
      </c>
      <c r="F11" s="3">
        <v>14600</v>
      </c>
      <c r="G11" t="s">
        <v>162</v>
      </c>
      <c r="H11" t="s">
        <v>127</v>
      </c>
      <c r="I11" t="s">
        <v>183</v>
      </c>
      <c r="J11" t="s">
        <v>172</v>
      </c>
      <c r="K11" t="s">
        <v>191</v>
      </c>
      <c r="L11" t="s">
        <v>181</v>
      </c>
      <c r="M11" s="98" t="s">
        <v>182</v>
      </c>
      <c r="N11" t="s">
        <v>184</v>
      </c>
    </row>
    <row r="12" spans="1:14" x14ac:dyDescent="0.3">
      <c r="B12" t="s">
        <v>161</v>
      </c>
      <c r="C12" t="s">
        <v>7</v>
      </c>
      <c r="D12" t="s">
        <v>0</v>
      </c>
      <c r="E12" t="s">
        <v>133</v>
      </c>
      <c r="F12" s="3">
        <v>7600</v>
      </c>
      <c r="G12" t="s">
        <v>162</v>
      </c>
      <c r="H12" t="s">
        <v>127</v>
      </c>
      <c r="I12" t="s">
        <v>183</v>
      </c>
      <c r="J12" t="s">
        <v>172</v>
      </c>
      <c r="K12" t="s">
        <v>191</v>
      </c>
      <c r="L12" t="s">
        <v>181</v>
      </c>
      <c r="M12" s="98" t="s">
        <v>182</v>
      </c>
      <c r="N12" t="s">
        <v>185</v>
      </c>
    </row>
  </sheetData>
  <hyperlinks>
    <hyperlink ref="M4" r:id="rId1" xr:uid="{9A97A05B-C6EA-4406-8BA8-A3017D79BA33}"/>
    <hyperlink ref="M6" r:id="rId2" xr:uid="{0951B471-6DAC-4F3A-BBCC-18E28F385692}"/>
    <hyperlink ref="M8" r:id="rId3" xr:uid="{76FFC2EE-9361-4870-ABF6-0CCE6D14B04A}"/>
    <hyperlink ref="M9" r:id="rId4" xr:uid="{60C05DE8-6FF9-426C-BC58-4045869387CB}"/>
    <hyperlink ref="M10" r:id="rId5" xr:uid="{E25B2AE6-9706-4636-983F-BDBECB18F51B}"/>
    <hyperlink ref="M11" r:id="rId6" xr:uid="{F10E8783-7D49-4E7A-8B0F-407AC56CB878}"/>
    <hyperlink ref="M12" r:id="rId7" xr:uid="{EE07CB99-D96F-4541-AD60-2852B92EC827}"/>
    <hyperlink ref="M5" r:id="rId8" xr:uid="{BE7998BE-3110-4D0C-A0B9-D1AED3D69CEE}"/>
    <hyperlink ref="M7" r:id="rId9" xr:uid="{66D6D6B8-85AB-4FB9-B016-F245C7A2EDB1}"/>
  </hyperlinks>
  <pageMargins left="0.7" right="0.7" top="0.75" bottom="0.75" header="0.3" footer="0.3"/>
  <pageSetup orientation="portrait" r:id="rId10"/>
  <legacy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I41"/>
  <sheetViews>
    <sheetView tabSelected="1" zoomScale="90" zoomScaleNormal="90" workbookViewId="0">
      <selection activeCell="N16" sqref="N16"/>
    </sheetView>
  </sheetViews>
  <sheetFormatPr defaultRowHeight="14.4" x14ac:dyDescent="0.3"/>
  <cols>
    <col min="5" max="5" width="4.5546875" customWidth="1"/>
    <col min="7" max="7" width="5.5546875" customWidth="1"/>
    <col min="14" max="14" width="12.5546875" customWidth="1"/>
    <col min="18" max="18" width="11.33203125" customWidth="1"/>
    <col min="20" max="20" width="11.88671875" customWidth="1"/>
    <col min="29" max="29" width="2.6640625" customWidth="1"/>
    <col min="38" max="38" width="22.44140625" customWidth="1"/>
    <col min="39" max="39" width="16.6640625" customWidth="1"/>
    <col min="40" max="40" width="11.44140625" customWidth="1"/>
    <col min="41" max="41" width="9.44140625" customWidth="1"/>
    <col min="42" max="42" width="11" customWidth="1"/>
    <col min="44" max="44" width="10" customWidth="1"/>
    <col min="45" max="45" width="11.33203125" style="5" customWidth="1"/>
    <col min="51" max="51" width="12" customWidth="1"/>
    <col min="56" max="56" width="6.6640625" customWidth="1"/>
    <col min="57" max="57" width="8.88671875" customWidth="1"/>
    <col min="58" max="59" width="8.33203125" customWidth="1"/>
  </cols>
  <sheetData>
    <row r="1" spans="2:61" x14ac:dyDescent="0.3">
      <c r="C1" s="89" t="s">
        <v>40</v>
      </c>
      <c r="F1" t="s">
        <v>92</v>
      </c>
      <c r="H1" t="s">
        <v>94</v>
      </c>
      <c r="M1" t="s">
        <v>232</v>
      </c>
    </row>
    <row r="2" spans="2:61" x14ac:dyDescent="0.3">
      <c r="H2" s="73" t="s">
        <v>31</v>
      </c>
      <c r="M2" s="296" t="s">
        <v>12</v>
      </c>
      <c r="N2" s="296"/>
      <c r="O2" s="296"/>
      <c r="P2" s="296"/>
      <c r="Q2" s="296"/>
      <c r="R2" s="77" t="s">
        <v>108</v>
      </c>
      <c r="S2" s="296" t="s">
        <v>109</v>
      </c>
      <c r="T2" s="296"/>
      <c r="U2" s="296"/>
      <c r="V2" s="94"/>
      <c r="Y2" s="296" t="s">
        <v>111</v>
      </c>
      <c r="Z2" s="296"/>
      <c r="AA2" s="296"/>
      <c r="AB2" s="296"/>
      <c r="AD2" s="77" t="s">
        <v>112</v>
      </c>
      <c r="AE2" s="77" t="s">
        <v>113</v>
      </c>
      <c r="AG2" s="296" t="s">
        <v>114</v>
      </c>
      <c r="AH2" s="296"/>
      <c r="AI2" s="296"/>
      <c r="AJ2" s="296"/>
    </row>
    <row r="3" spans="2:61" s="132" customFormat="1" ht="75" customHeight="1" x14ac:dyDescent="0.3">
      <c r="B3" s="131" t="s">
        <v>90</v>
      </c>
      <c r="C3" s="90" t="s">
        <v>38</v>
      </c>
      <c r="D3" s="90" t="s">
        <v>39</v>
      </c>
      <c r="F3" s="131" t="s">
        <v>91</v>
      </c>
      <c r="H3" s="100" t="s">
        <v>93</v>
      </c>
      <c r="J3" s="132" t="s">
        <v>207</v>
      </c>
      <c r="M3" s="133" t="s">
        <v>233</v>
      </c>
      <c r="N3" s="133" t="s">
        <v>234</v>
      </c>
      <c r="O3" s="133" t="s">
        <v>106</v>
      </c>
      <c r="P3" s="133" t="s">
        <v>235</v>
      </c>
      <c r="Q3" s="133" t="s">
        <v>3</v>
      </c>
      <c r="R3" s="133" t="s">
        <v>236</v>
      </c>
      <c r="S3" s="133" t="s">
        <v>233</v>
      </c>
      <c r="T3" s="133" t="s">
        <v>234</v>
      </c>
      <c r="U3" s="133" t="s">
        <v>235</v>
      </c>
      <c r="V3" s="133" t="s">
        <v>3</v>
      </c>
      <c r="X3" s="134"/>
      <c r="Y3" s="135" t="s">
        <v>115</v>
      </c>
      <c r="Z3" s="135" t="s">
        <v>58</v>
      </c>
      <c r="AA3" s="135" t="s">
        <v>116</v>
      </c>
      <c r="AB3" s="135" t="s">
        <v>3</v>
      </c>
      <c r="AD3" s="135" t="s">
        <v>117</v>
      </c>
      <c r="AE3" s="135" t="s">
        <v>118</v>
      </c>
      <c r="AF3" s="136"/>
      <c r="AG3" s="135" t="s">
        <v>115</v>
      </c>
      <c r="AH3" s="135" t="s">
        <v>58</v>
      </c>
      <c r="AI3" s="135" t="s">
        <v>116</v>
      </c>
      <c r="AJ3" s="135" t="s">
        <v>3</v>
      </c>
      <c r="AL3" s="297" t="s">
        <v>230</v>
      </c>
      <c r="AM3" s="297"/>
      <c r="AN3" s="297"/>
      <c r="AO3" s="297"/>
      <c r="AP3" s="297"/>
      <c r="AQ3" s="297"/>
      <c r="AR3" s="297"/>
      <c r="AS3" s="297"/>
      <c r="AU3" s="294" t="s">
        <v>231</v>
      </c>
      <c r="AV3" s="294"/>
      <c r="AW3" s="294"/>
      <c r="AX3" s="294"/>
      <c r="AY3" s="294"/>
      <c r="AZ3" s="294"/>
      <c r="BA3" s="294"/>
      <c r="BB3" s="294"/>
      <c r="BD3" s="294" t="s">
        <v>238</v>
      </c>
      <c r="BE3" s="294"/>
      <c r="BF3" s="294"/>
      <c r="BG3" s="294"/>
      <c r="BH3" s="294"/>
      <c r="BI3" s="294"/>
    </row>
    <row r="4" spans="2:61" ht="15" customHeight="1" x14ac:dyDescent="0.3">
      <c r="B4" s="5"/>
      <c r="AL4" s="84" t="s">
        <v>121</v>
      </c>
      <c r="AM4" s="85" t="s">
        <v>122</v>
      </c>
      <c r="AN4" s="86" t="s">
        <v>123</v>
      </c>
      <c r="AO4" s="87" t="s">
        <v>14</v>
      </c>
      <c r="AP4" s="86" t="s">
        <v>124</v>
      </c>
      <c r="AQ4" s="86" t="s">
        <v>125</v>
      </c>
      <c r="AR4" s="87" t="s">
        <v>1</v>
      </c>
      <c r="AS4" s="102" t="s">
        <v>126</v>
      </c>
      <c r="AU4" s="77"/>
      <c r="AV4" s="77"/>
      <c r="AW4" s="77" t="s">
        <v>137</v>
      </c>
      <c r="AX4" s="77" t="s">
        <v>138</v>
      </c>
      <c r="AY4" s="77" t="s">
        <v>137</v>
      </c>
      <c r="AZ4" s="77" t="s">
        <v>138</v>
      </c>
      <c r="BA4" s="77"/>
      <c r="BB4" s="5" t="s">
        <v>139</v>
      </c>
      <c r="BD4" s="132"/>
      <c r="BE4" s="298" t="s">
        <v>46</v>
      </c>
      <c r="BF4" s="298"/>
      <c r="BG4" s="298"/>
      <c r="BI4" s="77" t="s">
        <v>3</v>
      </c>
    </row>
    <row r="5" spans="2:61" ht="15" customHeight="1" x14ac:dyDescent="0.3">
      <c r="B5" s="5">
        <v>1985</v>
      </c>
      <c r="H5" s="74">
        <v>13300</v>
      </c>
      <c r="AL5" s="81" t="str">
        <f t="shared" ref="AL5:AL36" si="0">CONCATENATE(AM5, "-", AO5)</f>
        <v>late fall Chinook-NF Lewis</v>
      </c>
      <c r="AM5" s="82" t="s">
        <v>119</v>
      </c>
      <c r="AN5" s="83" t="s">
        <v>192</v>
      </c>
      <c r="AO5" s="82" t="s">
        <v>120</v>
      </c>
      <c r="AP5" s="83" t="s">
        <v>193</v>
      </c>
      <c r="AQ5" s="83">
        <v>7300</v>
      </c>
      <c r="AR5" s="82">
        <v>1986</v>
      </c>
      <c r="AS5" s="5">
        <v>10472</v>
      </c>
      <c r="AU5" s="78" t="s">
        <v>1</v>
      </c>
      <c r="AV5" s="78" t="s">
        <v>140</v>
      </c>
      <c r="AW5" s="78" t="s">
        <v>141</v>
      </c>
      <c r="AX5" s="78" t="s">
        <v>142</v>
      </c>
      <c r="AY5" s="78" t="s">
        <v>143</v>
      </c>
      <c r="AZ5" s="78" t="s">
        <v>144</v>
      </c>
      <c r="BA5" s="78"/>
      <c r="BB5" s="94" t="s">
        <v>145</v>
      </c>
      <c r="BD5" s="135" t="s">
        <v>1</v>
      </c>
      <c r="BE5" s="78" t="s">
        <v>239</v>
      </c>
      <c r="BF5" s="78" t="s">
        <v>237</v>
      </c>
      <c r="BG5" s="78" t="s">
        <v>3</v>
      </c>
      <c r="BH5" s="78" t="s">
        <v>12</v>
      </c>
      <c r="BI5" s="78" t="s">
        <v>117</v>
      </c>
    </row>
    <row r="6" spans="2:61" x14ac:dyDescent="0.3">
      <c r="B6" s="5">
        <v>1986</v>
      </c>
      <c r="F6" s="3">
        <v>24462.000000000004</v>
      </c>
      <c r="H6" s="74">
        <v>24500</v>
      </c>
      <c r="AL6" s="81" t="str">
        <f t="shared" si="0"/>
        <v>late fall Chinook-NF Lewis</v>
      </c>
      <c r="AM6" s="82" t="s">
        <v>119</v>
      </c>
      <c r="AN6" s="83" t="s">
        <v>192</v>
      </c>
      <c r="AO6" s="82" t="s">
        <v>120</v>
      </c>
      <c r="AP6" s="83" t="s">
        <v>193</v>
      </c>
      <c r="AQ6" s="83">
        <v>7300</v>
      </c>
      <c r="AR6" s="82">
        <v>1987</v>
      </c>
      <c r="AS6" s="5">
        <v>12210</v>
      </c>
      <c r="AU6">
        <v>2017</v>
      </c>
      <c r="AV6">
        <v>1403</v>
      </c>
      <c r="AW6">
        <f>BB18</f>
        <v>0.92569659442724461</v>
      </c>
      <c r="AX6" s="3">
        <f t="shared" ref="AX6:AX11" si="1">AV6*AW6</f>
        <v>1298.7523219814243</v>
      </c>
      <c r="AY6">
        <f>BB17</f>
        <v>7.4303405572755415E-2</v>
      </c>
      <c r="AZ6">
        <f t="shared" ref="AZ6:AZ11" si="2">AV6*AY6</f>
        <v>104.24767801857585</v>
      </c>
      <c r="BB6" s="5" t="b">
        <f t="shared" ref="BB6:BB11" si="3">AV6=(AX6+AZ6)</f>
        <v>1</v>
      </c>
      <c r="BD6" s="136">
        <v>2008</v>
      </c>
      <c r="BE6" s="77">
        <v>610</v>
      </c>
      <c r="BF6" s="151">
        <f t="shared" ref="BF6:BF9" si="4">AS27</f>
        <v>5485</v>
      </c>
      <c r="BG6" s="151">
        <f>SUM(BE6:BF6)</f>
        <v>6095</v>
      </c>
      <c r="BH6" s="3">
        <f t="shared" ref="BH6:BH9" si="5">Q28</f>
        <v>937</v>
      </c>
      <c r="BI6" s="152">
        <f>SUM(BG6:BH6)</f>
        <v>7032</v>
      </c>
    </row>
    <row r="7" spans="2:61" x14ac:dyDescent="0.3">
      <c r="B7" s="5">
        <v>1987</v>
      </c>
      <c r="F7" s="3">
        <v>37886.746755374188</v>
      </c>
      <c r="H7" s="74">
        <v>37900</v>
      </c>
      <c r="AL7" s="81" t="str">
        <f t="shared" si="0"/>
        <v>late fall Chinook-NF Lewis</v>
      </c>
      <c r="AM7" s="82" t="s">
        <v>119</v>
      </c>
      <c r="AN7" s="83" t="s">
        <v>192</v>
      </c>
      <c r="AO7" s="82" t="s">
        <v>120</v>
      </c>
      <c r="AP7" s="83" t="s">
        <v>193</v>
      </c>
      <c r="AQ7" s="83">
        <v>7300</v>
      </c>
      <c r="AR7" s="82">
        <v>1988</v>
      </c>
      <c r="AS7" s="5">
        <v>11165</v>
      </c>
      <c r="AU7">
        <v>2016</v>
      </c>
      <c r="AV7">
        <v>1281</v>
      </c>
      <c r="AW7">
        <f>BB18</f>
        <v>0.92569659442724461</v>
      </c>
      <c r="AX7" s="3">
        <f t="shared" si="1"/>
        <v>1185.8173374613004</v>
      </c>
      <c r="AY7">
        <f>BB17</f>
        <v>7.4303405572755415E-2</v>
      </c>
      <c r="AZ7">
        <f t="shared" si="2"/>
        <v>95.182662538699688</v>
      </c>
      <c r="BB7" s="5" t="b">
        <f t="shared" si="3"/>
        <v>1</v>
      </c>
      <c r="BD7" s="136">
        <v>2009</v>
      </c>
      <c r="BE7" s="77">
        <v>318</v>
      </c>
      <c r="BF7" s="151">
        <f t="shared" si="4"/>
        <v>6283</v>
      </c>
      <c r="BG7" s="151">
        <f t="shared" ref="BG7:BG15" si="6">SUM(BE7:BF7)</f>
        <v>6601</v>
      </c>
      <c r="BH7" s="3">
        <f t="shared" si="5"/>
        <v>640</v>
      </c>
      <c r="BI7" s="152">
        <f t="shared" ref="BI7:BI15" si="7">SUM(BG7:BH7)</f>
        <v>7241</v>
      </c>
    </row>
    <row r="8" spans="2:61" x14ac:dyDescent="0.3">
      <c r="B8" s="5">
        <v>1988</v>
      </c>
      <c r="F8" s="3">
        <v>41720.192203004175</v>
      </c>
      <c r="H8" s="74">
        <v>41700</v>
      </c>
      <c r="AL8" s="81" t="str">
        <f t="shared" si="0"/>
        <v>late fall Chinook-NF Lewis</v>
      </c>
      <c r="AM8" s="82" t="s">
        <v>119</v>
      </c>
      <c r="AN8" s="83" t="s">
        <v>192</v>
      </c>
      <c r="AO8" s="82" t="s">
        <v>120</v>
      </c>
      <c r="AP8" s="83" t="s">
        <v>193</v>
      </c>
      <c r="AQ8" s="83">
        <v>7300</v>
      </c>
      <c r="AR8" s="82">
        <v>1989</v>
      </c>
      <c r="AS8" s="5">
        <v>20058</v>
      </c>
      <c r="AU8">
        <v>2015</v>
      </c>
      <c r="AV8">
        <v>2006</v>
      </c>
      <c r="AW8">
        <f>BB18</f>
        <v>0.92569659442724461</v>
      </c>
      <c r="AX8" s="3">
        <f t="shared" si="1"/>
        <v>1856.9473684210527</v>
      </c>
      <c r="AY8">
        <f>BB17</f>
        <v>7.4303405572755415E-2</v>
      </c>
      <c r="AZ8">
        <f t="shared" si="2"/>
        <v>149.05263157894737</v>
      </c>
      <c r="BB8" s="5" t="b">
        <f t="shared" si="3"/>
        <v>1</v>
      </c>
      <c r="BD8" s="136">
        <v>2010</v>
      </c>
      <c r="BE8" s="77">
        <v>373</v>
      </c>
      <c r="BF8" s="151">
        <f t="shared" si="4"/>
        <v>9294</v>
      </c>
      <c r="BG8" s="151">
        <f t="shared" si="6"/>
        <v>9667</v>
      </c>
      <c r="BH8" s="3">
        <f t="shared" si="5"/>
        <v>237</v>
      </c>
      <c r="BI8" s="152">
        <f t="shared" si="7"/>
        <v>9904</v>
      </c>
    </row>
    <row r="9" spans="2:61" x14ac:dyDescent="0.3">
      <c r="B9" s="5">
        <v>1989</v>
      </c>
      <c r="F9" s="3">
        <v>38636</v>
      </c>
      <c r="H9" s="74">
        <v>38600</v>
      </c>
      <c r="AL9" s="81" t="str">
        <f t="shared" si="0"/>
        <v>late fall Chinook-NF Lewis</v>
      </c>
      <c r="AM9" s="82" t="s">
        <v>119</v>
      </c>
      <c r="AN9" s="83" t="s">
        <v>192</v>
      </c>
      <c r="AO9" s="82" t="s">
        <v>120</v>
      </c>
      <c r="AP9" s="83" t="s">
        <v>193</v>
      </c>
      <c r="AQ9" s="83">
        <v>7300</v>
      </c>
      <c r="AR9" s="82">
        <v>1990</v>
      </c>
      <c r="AS9" s="5">
        <v>15378</v>
      </c>
      <c r="AU9">
        <v>2014</v>
      </c>
      <c r="AV9">
        <v>565</v>
      </c>
      <c r="AW9">
        <f>BB18</f>
        <v>0.92569659442724461</v>
      </c>
      <c r="AX9" s="3">
        <f t="shared" si="1"/>
        <v>523.01857585139317</v>
      </c>
      <c r="AY9">
        <f>BB17</f>
        <v>7.4303405572755415E-2</v>
      </c>
      <c r="AZ9">
        <f t="shared" si="2"/>
        <v>41.981424148606813</v>
      </c>
      <c r="BB9" s="5" t="b">
        <f t="shared" si="3"/>
        <v>1</v>
      </c>
      <c r="BD9" s="136">
        <v>2011</v>
      </c>
      <c r="BE9" s="77">
        <v>1019</v>
      </c>
      <c r="BF9" s="151">
        <f t="shared" si="4"/>
        <v>8205</v>
      </c>
      <c r="BG9" s="151">
        <f t="shared" si="6"/>
        <v>9224</v>
      </c>
      <c r="BH9" s="3">
        <f t="shared" si="5"/>
        <v>4310</v>
      </c>
      <c r="BI9" s="152">
        <f t="shared" si="7"/>
        <v>13534</v>
      </c>
    </row>
    <row r="10" spans="2:61" x14ac:dyDescent="0.3">
      <c r="B10" s="5">
        <v>1990</v>
      </c>
      <c r="F10" s="3">
        <v>20316.999999999996</v>
      </c>
      <c r="H10" s="74">
        <v>20300</v>
      </c>
      <c r="AL10" s="81" t="str">
        <f t="shared" si="0"/>
        <v>late fall Chinook-NF Lewis</v>
      </c>
      <c r="AM10" s="82" t="s">
        <v>119</v>
      </c>
      <c r="AN10" s="83" t="s">
        <v>192</v>
      </c>
      <c r="AO10" s="82" t="s">
        <v>120</v>
      </c>
      <c r="AP10" s="83" t="s">
        <v>193</v>
      </c>
      <c r="AQ10" s="83">
        <v>7300</v>
      </c>
      <c r="AR10" s="82">
        <v>1991</v>
      </c>
      <c r="AS10" s="5">
        <v>8787</v>
      </c>
      <c r="AU10">
        <v>2013</v>
      </c>
      <c r="AV10">
        <v>2489</v>
      </c>
      <c r="AW10">
        <f>BB18</f>
        <v>0.92569659442724461</v>
      </c>
      <c r="AX10" s="3">
        <f t="shared" si="1"/>
        <v>2304.0588235294117</v>
      </c>
      <c r="AY10">
        <f>BB17</f>
        <v>7.4303405572755415E-2</v>
      </c>
      <c r="AZ10">
        <f t="shared" si="2"/>
        <v>184.94117647058823</v>
      </c>
      <c r="BB10" s="5" t="b">
        <f t="shared" si="3"/>
        <v>1</v>
      </c>
      <c r="BD10">
        <v>2012</v>
      </c>
      <c r="BE10" s="260">
        <f>AV11</f>
        <v>568</v>
      </c>
      <c r="BF10" s="151">
        <f>AS31</f>
        <v>8143</v>
      </c>
      <c r="BG10" s="151">
        <f t="shared" si="6"/>
        <v>8711</v>
      </c>
      <c r="BH10" s="3">
        <f>Q32</f>
        <v>2646</v>
      </c>
      <c r="BI10" s="152">
        <f t="shared" si="7"/>
        <v>11357</v>
      </c>
    </row>
    <row r="11" spans="2:61" x14ac:dyDescent="0.3">
      <c r="B11" s="5">
        <v>1991</v>
      </c>
      <c r="F11" s="3">
        <v>19817</v>
      </c>
      <c r="H11" s="74">
        <v>19800</v>
      </c>
      <c r="AL11" s="81" t="str">
        <f t="shared" si="0"/>
        <v>late fall Chinook-NF Lewis</v>
      </c>
      <c r="AM11" s="82" t="s">
        <v>119</v>
      </c>
      <c r="AN11" s="83" t="s">
        <v>192</v>
      </c>
      <c r="AO11" s="82" t="s">
        <v>120</v>
      </c>
      <c r="AP11" s="83" t="s">
        <v>193</v>
      </c>
      <c r="AQ11" s="83">
        <v>7300</v>
      </c>
      <c r="AR11" s="82">
        <v>1992</v>
      </c>
      <c r="AS11" s="5">
        <v>5508</v>
      </c>
      <c r="AU11">
        <v>2012</v>
      </c>
      <c r="AV11">
        <v>568</v>
      </c>
      <c r="AW11">
        <f>BB18</f>
        <v>0.92569659442724461</v>
      </c>
      <c r="AX11" s="3">
        <f t="shared" si="1"/>
        <v>525.79566563467495</v>
      </c>
      <c r="AY11">
        <f>BB17</f>
        <v>7.4303405572755415E-2</v>
      </c>
      <c r="AZ11">
        <f t="shared" si="2"/>
        <v>42.204334365325074</v>
      </c>
      <c r="BB11" s="5" t="b">
        <f t="shared" si="3"/>
        <v>1</v>
      </c>
      <c r="BD11">
        <v>2013</v>
      </c>
      <c r="BE11" s="260">
        <f>AV10</f>
        <v>2489</v>
      </c>
      <c r="BF11" s="151">
        <f t="shared" ref="BF11:BF15" si="8">AS32</f>
        <v>15240</v>
      </c>
      <c r="BG11" s="151">
        <f t="shared" si="6"/>
        <v>17729</v>
      </c>
      <c r="BH11" s="3">
        <f t="shared" ref="BH11:BH15" si="9">Q33</f>
        <v>7166</v>
      </c>
      <c r="BI11" s="152">
        <f t="shared" si="7"/>
        <v>24895</v>
      </c>
    </row>
    <row r="12" spans="2:61" x14ac:dyDescent="0.3">
      <c r="B12" s="5">
        <v>1992</v>
      </c>
      <c r="F12" s="3">
        <v>12508</v>
      </c>
      <c r="H12" s="74">
        <v>12500</v>
      </c>
      <c r="AL12" s="81" t="str">
        <f t="shared" si="0"/>
        <v>late fall Chinook-NF Lewis</v>
      </c>
      <c r="AM12" s="82" t="s">
        <v>119</v>
      </c>
      <c r="AN12" s="83" t="s">
        <v>192</v>
      </c>
      <c r="AO12" s="82" t="s">
        <v>120</v>
      </c>
      <c r="AP12" s="83" t="s">
        <v>193</v>
      </c>
      <c r="AQ12" s="83">
        <v>7300</v>
      </c>
      <c r="AR12" s="82">
        <v>1993</v>
      </c>
      <c r="AS12" s="5">
        <v>6462</v>
      </c>
      <c r="BB12" s="5"/>
      <c r="BD12">
        <v>2014</v>
      </c>
      <c r="BE12" s="260">
        <f>AV9</f>
        <v>565</v>
      </c>
      <c r="BF12" s="151">
        <f t="shared" si="8"/>
        <v>21474</v>
      </c>
      <c r="BG12" s="151">
        <f t="shared" si="6"/>
        <v>22039</v>
      </c>
      <c r="BH12" s="3">
        <f t="shared" si="9"/>
        <v>2874</v>
      </c>
      <c r="BI12" s="152">
        <f t="shared" si="7"/>
        <v>24913</v>
      </c>
    </row>
    <row r="13" spans="2:61" x14ac:dyDescent="0.3">
      <c r="B13" s="5">
        <v>1993</v>
      </c>
      <c r="C13" s="92">
        <v>1314</v>
      </c>
      <c r="D13" s="93">
        <v>6429</v>
      </c>
      <c r="F13" s="3">
        <v>13320</v>
      </c>
      <c r="H13" s="74">
        <v>13300</v>
      </c>
      <c r="AL13" s="81" t="str">
        <f t="shared" si="0"/>
        <v>late fall Chinook-NF Lewis</v>
      </c>
      <c r="AM13" s="82" t="s">
        <v>119</v>
      </c>
      <c r="AN13" s="83" t="s">
        <v>192</v>
      </c>
      <c r="AO13" s="82" t="s">
        <v>120</v>
      </c>
      <c r="AP13" s="83" t="s">
        <v>193</v>
      </c>
      <c r="AQ13" s="83">
        <v>7300</v>
      </c>
      <c r="AR13" s="82">
        <v>1994</v>
      </c>
      <c r="AS13" s="5">
        <v>8456</v>
      </c>
      <c r="AU13" s="8" t="s">
        <v>127</v>
      </c>
      <c r="AV13" s="8"/>
      <c r="AW13" s="8"/>
      <c r="AX13" s="8">
        <f>GEOMEAN(AX6:AX11)</f>
        <v>1104.1512478240818</v>
      </c>
      <c r="AY13" s="8"/>
      <c r="AZ13" s="8">
        <f>GEOMEAN(AZ6:AZ11)</f>
        <v>88.627524908956389</v>
      </c>
      <c r="BA13" s="8"/>
      <c r="BB13" s="94"/>
      <c r="BD13">
        <v>2015</v>
      </c>
      <c r="BE13" s="260">
        <f>AV8</f>
        <v>2006</v>
      </c>
      <c r="BF13" s="151">
        <f t="shared" si="8"/>
        <v>15213</v>
      </c>
      <c r="BG13" s="151">
        <f t="shared" si="6"/>
        <v>17219</v>
      </c>
      <c r="BH13" s="3">
        <f t="shared" si="9"/>
        <v>5232</v>
      </c>
      <c r="BI13" s="152">
        <f t="shared" si="7"/>
        <v>22451</v>
      </c>
    </row>
    <row r="14" spans="2:61" x14ac:dyDescent="0.3">
      <c r="B14" s="5">
        <v>1994</v>
      </c>
      <c r="C14" s="91">
        <v>941</v>
      </c>
      <c r="D14" s="93">
        <v>8439</v>
      </c>
      <c r="F14" s="3">
        <v>12191</v>
      </c>
      <c r="H14" s="74">
        <v>12200</v>
      </c>
      <c r="AL14" s="81" t="str">
        <f t="shared" si="0"/>
        <v>late fall Chinook-NF Lewis</v>
      </c>
      <c r="AM14" s="82" t="s">
        <v>119</v>
      </c>
      <c r="AN14" s="83" t="s">
        <v>192</v>
      </c>
      <c r="AO14" s="82" t="s">
        <v>120</v>
      </c>
      <c r="AP14" s="83" t="s">
        <v>193</v>
      </c>
      <c r="AQ14" s="83">
        <v>7300</v>
      </c>
      <c r="AR14" s="82">
        <v>1995</v>
      </c>
      <c r="AS14" s="5">
        <v>9715</v>
      </c>
      <c r="BB14" s="5"/>
      <c r="BD14">
        <v>2016</v>
      </c>
      <c r="BE14" s="260">
        <f>AV7</f>
        <v>1281</v>
      </c>
      <c r="BF14" s="151">
        <f t="shared" si="8"/>
        <v>9632</v>
      </c>
      <c r="BG14" s="151">
        <f t="shared" si="6"/>
        <v>10913</v>
      </c>
      <c r="BH14" s="3">
        <f t="shared" si="9"/>
        <v>2900</v>
      </c>
      <c r="BI14" s="152">
        <f t="shared" si="7"/>
        <v>13813</v>
      </c>
    </row>
    <row r="15" spans="2:61" x14ac:dyDescent="0.3">
      <c r="B15" s="5">
        <v>1995</v>
      </c>
      <c r="C15" s="92">
        <v>1036</v>
      </c>
      <c r="D15" s="93">
        <v>9718</v>
      </c>
      <c r="F15" s="3">
        <v>15971.000000000002</v>
      </c>
      <c r="H15" s="74">
        <v>16000</v>
      </c>
      <c r="AL15" s="81" t="str">
        <f t="shared" si="0"/>
        <v>late fall Chinook-NF Lewis</v>
      </c>
      <c r="AM15" s="82" t="s">
        <v>119</v>
      </c>
      <c r="AN15" s="83" t="s">
        <v>192</v>
      </c>
      <c r="AO15" s="82" t="s">
        <v>120</v>
      </c>
      <c r="AP15" s="83" t="s">
        <v>193</v>
      </c>
      <c r="AQ15" s="83">
        <v>7300</v>
      </c>
      <c r="AR15" s="82">
        <v>1996</v>
      </c>
      <c r="AS15" s="5">
        <v>13077</v>
      </c>
      <c r="AU15" t="s">
        <v>146</v>
      </c>
      <c r="BB15" s="5"/>
      <c r="BD15">
        <v>2017</v>
      </c>
      <c r="BE15" s="260">
        <f>AV6</f>
        <v>1403</v>
      </c>
      <c r="BF15" s="151">
        <f t="shared" si="8"/>
        <v>7409</v>
      </c>
      <c r="BG15" s="151">
        <f t="shared" si="6"/>
        <v>8812</v>
      </c>
      <c r="BH15" s="3">
        <f t="shared" si="9"/>
        <v>1255.3510185706714</v>
      </c>
      <c r="BI15" s="152">
        <f t="shared" si="7"/>
        <v>10067.351018570671</v>
      </c>
    </row>
    <row r="16" spans="2:61" x14ac:dyDescent="0.3">
      <c r="B16" s="5">
        <v>1996</v>
      </c>
      <c r="C16" s="91">
        <v>505</v>
      </c>
      <c r="D16" s="93">
        <v>12700</v>
      </c>
      <c r="F16" s="3">
        <v>14566</v>
      </c>
      <c r="H16" s="74">
        <v>14600</v>
      </c>
      <c r="AL16" s="81" t="str">
        <f t="shared" si="0"/>
        <v>late fall Chinook-NF Lewis</v>
      </c>
      <c r="AM16" s="82" t="s">
        <v>119</v>
      </c>
      <c r="AN16" s="83" t="s">
        <v>192</v>
      </c>
      <c r="AO16" s="82" t="s">
        <v>120</v>
      </c>
      <c r="AP16" s="83" t="s">
        <v>193</v>
      </c>
      <c r="AQ16" s="83">
        <v>7300</v>
      </c>
      <c r="AR16" s="82">
        <v>1997</v>
      </c>
      <c r="AS16" s="5">
        <v>8168</v>
      </c>
      <c r="AU16" t="s">
        <v>147</v>
      </c>
      <c r="BA16" s="77" t="s">
        <v>138</v>
      </c>
      <c r="BB16" s="5" t="s">
        <v>137</v>
      </c>
      <c r="BE16" s="151"/>
      <c r="BF16" s="151"/>
      <c r="BG16" s="151"/>
      <c r="BH16" s="3"/>
      <c r="BI16" s="152"/>
    </row>
    <row r="17" spans="2:61" x14ac:dyDescent="0.3">
      <c r="B17" s="5">
        <v>1997</v>
      </c>
      <c r="C17" s="92">
        <v>2001</v>
      </c>
      <c r="D17" s="93">
        <v>8168</v>
      </c>
      <c r="F17" s="3">
        <v>12323</v>
      </c>
      <c r="H17" s="74">
        <v>12300</v>
      </c>
      <c r="AL17" s="81" t="str">
        <f t="shared" si="0"/>
        <v>late fall Chinook-NF Lewis</v>
      </c>
      <c r="AM17" s="82" t="s">
        <v>119</v>
      </c>
      <c r="AN17" s="83" t="s">
        <v>192</v>
      </c>
      <c r="AO17" s="82" t="s">
        <v>120</v>
      </c>
      <c r="AP17" s="83" t="s">
        <v>193</v>
      </c>
      <c r="AQ17" s="83">
        <v>7300</v>
      </c>
      <c r="AR17" s="82">
        <v>1998</v>
      </c>
      <c r="AS17" s="5">
        <v>5173</v>
      </c>
      <c r="AZ17" t="s">
        <v>144</v>
      </c>
      <c r="BA17">
        <v>144</v>
      </c>
      <c r="BB17" s="5">
        <f>BA17/BA19</f>
        <v>7.4303405572755415E-2</v>
      </c>
      <c r="BD17" s="8" t="s">
        <v>245</v>
      </c>
      <c r="BE17" s="153"/>
      <c r="BF17" s="153"/>
      <c r="BG17" s="153">
        <f>AVERAGE(BG6:BG15)</f>
        <v>11701</v>
      </c>
      <c r="BH17" s="154"/>
      <c r="BI17" s="154">
        <f>AVERAGE(BI6:BI15)</f>
        <v>14520.735101857068</v>
      </c>
    </row>
    <row r="18" spans="2:61" x14ac:dyDescent="0.3">
      <c r="B18" s="5">
        <v>1998</v>
      </c>
      <c r="C18" s="91">
        <v>773</v>
      </c>
      <c r="D18" s="93">
        <v>5167</v>
      </c>
      <c r="F18" s="3">
        <v>7252.9999999999991</v>
      </c>
      <c r="H18" s="74">
        <v>7300</v>
      </c>
      <c r="AL18" s="81" t="str">
        <f t="shared" si="0"/>
        <v>late fall Chinook-NF Lewis</v>
      </c>
      <c r="AM18" s="82" t="s">
        <v>119</v>
      </c>
      <c r="AN18" s="83" t="s">
        <v>192</v>
      </c>
      <c r="AO18" s="82" t="s">
        <v>120</v>
      </c>
      <c r="AP18" s="83" t="s">
        <v>193</v>
      </c>
      <c r="AQ18" s="83">
        <v>7300</v>
      </c>
      <c r="AR18" s="82">
        <v>1999</v>
      </c>
      <c r="AS18" s="5">
        <v>2417</v>
      </c>
      <c r="AZ18" t="s">
        <v>142</v>
      </c>
      <c r="BA18">
        <v>1794</v>
      </c>
      <c r="BB18" s="5">
        <f>BA18/BA19</f>
        <v>0.92569659442724461</v>
      </c>
      <c r="BD18" s="295" t="s">
        <v>240</v>
      </c>
      <c r="BE18" s="295"/>
      <c r="BF18" s="295"/>
      <c r="BG18" s="295"/>
      <c r="BH18" s="295"/>
      <c r="BI18" s="295"/>
    </row>
    <row r="19" spans="2:61" x14ac:dyDescent="0.3">
      <c r="B19" s="5">
        <v>1999</v>
      </c>
      <c r="C19" s="91">
        <v>447</v>
      </c>
      <c r="D19" s="93">
        <v>2639</v>
      </c>
      <c r="F19" s="3">
        <v>3348.9999999999995</v>
      </c>
      <c r="H19" s="74">
        <v>3300</v>
      </c>
      <c r="AL19" s="81" t="str">
        <f t="shared" si="0"/>
        <v>late fall Chinook-NF Lewis</v>
      </c>
      <c r="AM19" s="82" t="s">
        <v>119</v>
      </c>
      <c r="AN19" s="83" t="s">
        <v>192</v>
      </c>
      <c r="AO19" s="82" t="s">
        <v>120</v>
      </c>
      <c r="AP19" s="83" t="s">
        <v>193</v>
      </c>
      <c r="AQ19" s="83">
        <v>7300</v>
      </c>
      <c r="AR19" s="82">
        <v>2000</v>
      </c>
      <c r="AS19" s="5">
        <v>8741</v>
      </c>
      <c r="AZ19" t="s">
        <v>3</v>
      </c>
      <c r="BA19">
        <f>BA18+BA17</f>
        <v>1938</v>
      </c>
      <c r="BB19" s="5"/>
      <c r="BD19" s="295"/>
      <c r="BE19" s="295"/>
      <c r="BF19" s="295"/>
      <c r="BG19" s="295"/>
      <c r="BH19" s="295"/>
      <c r="BI19" s="295"/>
    </row>
    <row r="20" spans="2:61" x14ac:dyDescent="0.3">
      <c r="B20" s="5">
        <v>2000</v>
      </c>
      <c r="C20" s="91">
        <v>84</v>
      </c>
      <c r="D20" s="93">
        <v>8727</v>
      </c>
      <c r="F20" s="3">
        <v>10234</v>
      </c>
      <c r="H20" s="74">
        <v>10200</v>
      </c>
      <c r="AL20" s="81" t="str">
        <f t="shared" si="0"/>
        <v>late fall Chinook-NF Lewis</v>
      </c>
      <c r="AM20" s="82" t="s">
        <v>119</v>
      </c>
      <c r="AN20" s="83" t="s">
        <v>192</v>
      </c>
      <c r="AO20" s="82" t="s">
        <v>120</v>
      </c>
      <c r="AP20" s="83" t="s">
        <v>193</v>
      </c>
      <c r="AQ20" s="83">
        <v>7300</v>
      </c>
      <c r="AR20" s="82">
        <v>2001</v>
      </c>
      <c r="AS20" s="5">
        <v>11274</v>
      </c>
    </row>
    <row r="21" spans="2:61" x14ac:dyDescent="0.3">
      <c r="B21" s="5">
        <v>2001</v>
      </c>
      <c r="C21" s="91">
        <v>824</v>
      </c>
      <c r="D21" s="93">
        <v>11267</v>
      </c>
      <c r="F21" s="3">
        <v>15721.400656965227</v>
      </c>
      <c r="H21" s="74">
        <v>15700</v>
      </c>
      <c r="AL21" s="81" t="str">
        <f t="shared" si="0"/>
        <v>late fall Chinook-NF Lewis</v>
      </c>
      <c r="AM21" s="82" t="s">
        <v>119</v>
      </c>
      <c r="AN21" s="83" t="s">
        <v>192</v>
      </c>
      <c r="AO21" s="82" t="s">
        <v>120</v>
      </c>
      <c r="AP21" s="83" t="s">
        <v>193</v>
      </c>
      <c r="AQ21" s="83">
        <v>7300</v>
      </c>
      <c r="AR21" s="82">
        <v>2002</v>
      </c>
      <c r="AS21" s="5">
        <v>13293</v>
      </c>
      <c r="AU21" s="139" t="s">
        <v>250</v>
      </c>
      <c r="AV21" s="139"/>
      <c r="AW21" s="139"/>
      <c r="AX21" s="139"/>
    </row>
    <row r="22" spans="2:61" x14ac:dyDescent="0.3">
      <c r="B22" s="5">
        <v>2002</v>
      </c>
      <c r="C22" s="92">
        <v>1275</v>
      </c>
      <c r="D22" s="93">
        <v>13284</v>
      </c>
      <c r="F22" s="3">
        <v>25170.638040342699</v>
      </c>
      <c r="H22" s="74">
        <v>25200</v>
      </c>
      <c r="AL22" s="81" t="str">
        <f t="shared" si="0"/>
        <v>late fall Chinook-NF Lewis</v>
      </c>
      <c r="AM22" s="82" t="s">
        <v>119</v>
      </c>
      <c r="AN22" s="83" t="s">
        <v>192</v>
      </c>
      <c r="AO22" s="82" t="s">
        <v>120</v>
      </c>
      <c r="AP22" s="83" t="s">
        <v>193</v>
      </c>
      <c r="AQ22" s="83">
        <v>7300</v>
      </c>
      <c r="AR22" s="82">
        <v>2003</v>
      </c>
      <c r="AS22" s="5">
        <v>12912</v>
      </c>
      <c r="AU22" s="139">
        <v>2018</v>
      </c>
      <c r="AV22" s="139">
        <v>4407</v>
      </c>
      <c r="AW22" s="139">
        <f>$BB$18</f>
        <v>0.92569659442724461</v>
      </c>
      <c r="AX22" s="140">
        <f>AW22*AV22</f>
        <v>4079.5448916408668</v>
      </c>
    </row>
    <row r="23" spans="2:61" x14ac:dyDescent="0.3">
      <c r="B23" s="5">
        <v>2003</v>
      </c>
      <c r="C23" s="91">
        <v>619</v>
      </c>
      <c r="D23" s="93">
        <v>12816</v>
      </c>
      <c r="F23" s="3">
        <v>26020.999999999996</v>
      </c>
      <c r="H23" s="74">
        <v>25400</v>
      </c>
      <c r="AL23" s="81" t="str">
        <f t="shared" si="0"/>
        <v>late fall Chinook-NF Lewis</v>
      </c>
      <c r="AM23" s="82" t="s">
        <v>119</v>
      </c>
      <c r="AN23" s="83" t="s">
        <v>192</v>
      </c>
      <c r="AO23" s="82" t="s">
        <v>120</v>
      </c>
      <c r="AP23" s="83" t="s">
        <v>193</v>
      </c>
      <c r="AQ23" s="83">
        <v>7300</v>
      </c>
      <c r="AR23" s="82">
        <v>2004</v>
      </c>
      <c r="AS23" s="5">
        <v>12928</v>
      </c>
      <c r="AU23" s="261"/>
      <c r="AV23" s="262"/>
      <c r="AW23" s="262"/>
      <c r="AX23" s="263"/>
    </row>
    <row r="24" spans="2:61" x14ac:dyDescent="0.3">
      <c r="B24" s="5">
        <v>2004</v>
      </c>
      <c r="C24" s="91">
        <v>601</v>
      </c>
      <c r="D24" s="93">
        <v>12926</v>
      </c>
      <c r="F24" s="3">
        <v>22327</v>
      </c>
      <c r="H24" s="74">
        <v>21100</v>
      </c>
      <c r="AL24" s="81" t="str">
        <f t="shared" si="0"/>
        <v>late fall Chinook-NF Lewis</v>
      </c>
      <c r="AM24" s="82" t="s">
        <v>119</v>
      </c>
      <c r="AN24" s="83" t="s">
        <v>192</v>
      </c>
      <c r="AO24" s="82" t="s">
        <v>120</v>
      </c>
      <c r="AP24" s="83" t="s">
        <v>193</v>
      </c>
      <c r="AQ24" s="83">
        <v>7300</v>
      </c>
      <c r="AR24" s="82">
        <v>2005</v>
      </c>
      <c r="AS24" s="5">
        <v>9775</v>
      </c>
      <c r="AU24" s="261"/>
      <c r="AV24" s="262"/>
      <c r="AW24" s="262"/>
      <c r="AX24" s="263"/>
    </row>
    <row r="25" spans="2:61" x14ac:dyDescent="0.3">
      <c r="B25" s="5">
        <v>2005</v>
      </c>
      <c r="C25" s="91">
        <v>770</v>
      </c>
      <c r="D25" s="93">
        <v>9775</v>
      </c>
      <c r="F25" s="3">
        <v>16767</v>
      </c>
      <c r="H25" s="74">
        <v>16300</v>
      </c>
      <c r="Y25" s="76">
        <f>SUM(Fishery!G31:I31)</f>
        <v>4.0999999999999996</v>
      </c>
      <c r="Z25" s="76">
        <f>SUM(Fishery!J31:S31)</f>
        <v>24.700000000000003</v>
      </c>
      <c r="AA25" s="76">
        <f>SUM(Fishery!T31:Z31)</f>
        <v>2.6</v>
      </c>
      <c r="AB25" s="76">
        <f t="shared" ref="AB25:AB35" si="10">SUM(Y25:AA25)</f>
        <v>31.400000000000006</v>
      </c>
      <c r="AC25" s="76"/>
      <c r="AD25" s="129"/>
      <c r="AE25" s="129"/>
      <c r="AF25" s="103"/>
      <c r="AG25" s="129"/>
      <c r="AH25" s="129"/>
      <c r="AI25" s="129"/>
      <c r="AJ25" s="129"/>
      <c r="AL25" s="81" t="str">
        <f t="shared" si="0"/>
        <v>late fall Chinook-NF Lewis</v>
      </c>
      <c r="AM25" s="82" t="s">
        <v>119</v>
      </c>
      <c r="AN25" s="83" t="s">
        <v>192</v>
      </c>
      <c r="AO25" s="82" t="s">
        <v>120</v>
      </c>
      <c r="AP25" s="83" t="s">
        <v>193</v>
      </c>
      <c r="AQ25" s="83">
        <v>7300</v>
      </c>
      <c r="AR25" s="82">
        <v>2006</v>
      </c>
      <c r="AS25" s="5">
        <v>5066</v>
      </c>
      <c r="AU25" s="261"/>
      <c r="AV25" s="262"/>
      <c r="AW25" s="262"/>
      <c r="AX25" s="263"/>
    </row>
    <row r="26" spans="2:61" x14ac:dyDescent="0.3">
      <c r="B26" s="5">
        <v>2006</v>
      </c>
      <c r="C26" s="92">
        <v>1130</v>
      </c>
      <c r="D26" s="93">
        <v>5066</v>
      </c>
      <c r="F26" s="3">
        <v>18105</v>
      </c>
      <c r="H26" s="74">
        <v>12600</v>
      </c>
      <c r="Y26" s="76">
        <f>SUM(Fishery!G32:I32)</f>
        <v>15.1</v>
      </c>
      <c r="Z26" s="76">
        <f>SUM(Fishery!J32:S32)</f>
        <v>19.5</v>
      </c>
      <c r="AA26" s="76">
        <f>SUM(Fishery!T32:Z32)</f>
        <v>2</v>
      </c>
      <c r="AB26" s="76">
        <f t="shared" si="10"/>
        <v>36.6</v>
      </c>
      <c r="AD26" s="129"/>
      <c r="AE26" s="129"/>
      <c r="AF26" s="103"/>
      <c r="AG26" s="129"/>
      <c r="AH26" s="129"/>
      <c r="AI26" s="129"/>
      <c r="AJ26" s="129"/>
      <c r="AL26" s="81" t="str">
        <f t="shared" si="0"/>
        <v>late fall Chinook-NF Lewis</v>
      </c>
      <c r="AM26" s="82" t="s">
        <v>119</v>
      </c>
      <c r="AN26" s="83" t="s">
        <v>192</v>
      </c>
      <c r="AO26" s="82" t="s">
        <v>120</v>
      </c>
      <c r="AP26" s="83" t="s">
        <v>193</v>
      </c>
      <c r="AQ26" s="83">
        <v>7300</v>
      </c>
      <c r="AR26" s="82">
        <v>2007</v>
      </c>
      <c r="AS26" s="5">
        <v>3708</v>
      </c>
    </row>
    <row r="27" spans="2:61" x14ac:dyDescent="0.3">
      <c r="B27" s="5">
        <v>2007</v>
      </c>
      <c r="C27" s="91">
        <v>171</v>
      </c>
      <c r="D27" s="93">
        <v>3708</v>
      </c>
      <c r="F27" s="3">
        <v>4103</v>
      </c>
      <c r="H27" s="74">
        <v>4900</v>
      </c>
      <c r="Y27" s="76">
        <f>SUM(Fishery!G33:I33)</f>
        <v>38.4</v>
      </c>
      <c r="Z27" s="76">
        <f>SUM(Fishery!J33:S33)</f>
        <v>8.1999999999999993</v>
      </c>
      <c r="AA27" s="76">
        <f>SUM(Fishery!T33:Z33)</f>
        <v>9.6999999999999993</v>
      </c>
      <c r="AB27" s="76">
        <f t="shared" si="10"/>
        <v>56.3</v>
      </c>
      <c r="AD27" s="129"/>
      <c r="AE27" s="129"/>
      <c r="AF27" s="103"/>
      <c r="AG27" s="129"/>
      <c r="AH27" s="129"/>
      <c r="AI27" s="129"/>
      <c r="AJ27" s="129"/>
      <c r="AL27" s="81" t="str">
        <f t="shared" si="0"/>
        <v>late fall Chinook-NF Lewis</v>
      </c>
      <c r="AM27" s="82" t="s">
        <v>119</v>
      </c>
      <c r="AN27" s="83" t="s">
        <v>192</v>
      </c>
      <c r="AO27" s="82" t="s">
        <v>120</v>
      </c>
      <c r="AP27" s="83" t="s">
        <v>193</v>
      </c>
      <c r="AQ27" s="83">
        <v>7300</v>
      </c>
      <c r="AR27" s="82">
        <v>2008</v>
      </c>
      <c r="AS27" s="5">
        <v>5485</v>
      </c>
    </row>
    <row r="28" spans="2:61" x14ac:dyDescent="0.3">
      <c r="B28" s="5">
        <v>2008</v>
      </c>
      <c r="C28" s="91">
        <v>602</v>
      </c>
      <c r="D28" s="93">
        <v>5485</v>
      </c>
      <c r="F28" s="3">
        <v>7120</v>
      </c>
      <c r="H28" s="74">
        <v>7800</v>
      </c>
      <c r="J28" s="3">
        <f>Run!AD28</f>
        <v>7032</v>
      </c>
      <c r="M28" s="3">
        <v>937</v>
      </c>
      <c r="N28" s="3">
        <v>0</v>
      </c>
      <c r="O28" s="3">
        <v>0</v>
      </c>
      <c r="P28" s="3">
        <v>0</v>
      </c>
      <c r="Q28" s="3">
        <v>937</v>
      </c>
      <c r="R28" s="3">
        <f t="shared" ref="R28:R31" si="11">BI6</f>
        <v>7032</v>
      </c>
      <c r="S28" s="79">
        <f t="shared" ref="S28:S37" si="12">M28/R28</f>
        <v>0.13324800910125142</v>
      </c>
      <c r="T28" s="79">
        <f t="shared" ref="T28:T37" si="13">N28/R28</f>
        <v>0</v>
      </c>
      <c r="U28" s="79">
        <f t="shared" ref="U28:U37" si="14">P28/R28</f>
        <v>0</v>
      </c>
      <c r="V28" s="79">
        <f>SUM(S28:U28)</f>
        <v>0.13324800910125142</v>
      </c>
      <c r="Y28" s="76">
        <f>SUM(Fishery!G34:I34)</f>
        <v>8.5</v>
      </c>
      <c r="Z28" s="76">
        <f>SUM(Fishery!J34:S34)</f>
        <v>16.899999999999999</v>
      </c>
      <c r="AA28" s="76">
        <f>SUM(Fishery!T34:Z34)</f>
        <v>11.899999999999999</v>
      </c>
      <c r="AB28" s="76">
        <f t="shared" si="10"/>
        <v>37.299999999999997</v>
      </c>
      <c r="AD28" s="80">
        <f>BI6</f>
        <v>7032</v>
      </c>
      <c r="AE28" s="3">
        <f t="shared" ref="AE28:AE35" si="15">AD28/(1-(AB28/100))</f>
        <v>11215.311004784689</v>
      </c>
      <c r="AG28" s="3">
        <f t="shared" ref="AG28:AG35" si="16">AE28*(Y28/100)</f>
        <v>953.30143540669872</v>
      </c>
      <c r="AH28" s="3">
        <f t="shared" ref="AH28:AH35" si="17">AE28*(Z28/100)</f>
        <v>1895.3875598086124</v>
      </c>
      <c r="AI28" s="3">
        <f t="shared" ref="AI28:AI35" si="18">AE28*(AA28/100)</f>
        <v>1334.6220095693777</v>
      </c>
      <c r="AJ28" s="3">
        <f t="shared" ref="AJ28:AJ35" si="19">SUM(AG28:AI28)</f>
        <v>4183.3110047846885</v>
      </c>
      <c r="AL28" s="81" t="str">
        <f t="shared" si="0"/>
        <v>late fall Chinook-NF Lewis</v>
      </c>
      <c r="AM28" s="82" t="s">
        <v>119</v>
      </c>
      <c r="AN28" s="83" t="s">
        <v>192</v>
      </c>
      <c r="AO28" s="82" t="s">
        <v>120</v>
      </c>
      <c r="AP28" s="83" t="s">
        <v>193</v>
      </c>
      <c r="AQ28" s="83">
        <v>7300</v>
      </c>
      <c r="AR28" s="82">
        <v>2009</v>
      </c>
      <c r="AS28" s="5">
        <v>6283</v>
      </c>
    </row>
    <row r="29" spans="2:61" x14ac:dyDescent="0.3">
      <c r="B29" s="5">
        <v>2009</v>
      </c>
      <c r="C29" s="91">
        <v>318</v>
      </c>
      <c r="D29" s="93">
        <v>6281</v>
      </c>
      <c r="F29" s="3">
        <v>7533</v>
      </c>
      <c r="H29" s="74">
        <v>8400</v>
      </c>
      <c r="J29" s="3">
        <f>Run!AD29</f>
        <v>7241</v>
      </c>
      <c r="M29" s="3">
        <v>347</v>
      </c>
      <c r="N29" s="3">
        <v>293</v>
      </c>
      <c r="O29" s="3">
        <v>0</v>
      </c>
      <c r="P29" s="3">
        <v>0</v>
      </c>
      <c r="Q29" s="3">
        <v>640</v>
      </c>
      <c r="R29" s="3">
        <f t="shared" si="11"/>
        <v>7241</v>
      </c>
      <c r="S29" s="79">
        <f t="shared" si="12"/>
        <v>4.7921557795884549E-2</v>
      </c>
      <c r="T29" s="79">
        <f t="shared" si="13"/>
        <v>4.046402430603508E-2</v>
      </c>
      <c r="U29" s="79">
        <f t="shared" si="14"/>
        <v>0</v>
      </c>
      <c r="V29" s="79">
        <f t="shared" ref="V29:V37" si="20">SUM(S29:U29)</f>
        <v>8.838558210191963E-2</v>
      </c>
      <c r="Y29" s="76">
        <f>SUM(Fishery!G35:I35)</f>
        <v>19.899999999999999</v>
      </c>
      <c r="Z29" s="76">
        <f>SUM(Fishery!J35:S35)</f>
        <v>32.4</v>
      </c>
      <c r="AA29" s="76">
        <f>SUM(Fishery!T35:Z35)</f>
        <v>1.1000000000000001</v>
      </c>
      <c r="AB29" s="76">
        <f t="shared" si="10"/>
        <v>53.4</v>
      </c>
      <c r="AD29" s="80">
        <f t="shared" ref="AD29:AD37" si="21">BI7</f>
        <v>7241</v>
      </c>
      <c r="AE29" s="3">
        <f t="shared" si="15"/>
        <v>15538.626609442061</v>
      </c>
      <c r="AG29" s="3">
        <f t="shared" si="16"/>
        <v>3092.1866952789696</v>
      </c>
      <c r="AH29" s="3">
        <f t="shared" si="17"/>
        <v>5034.5150214592277</v>
      </c>
      <c r="AI29" s="3">
        <f t="shared" si="18"/>
        <v>170.9248927038627</v>
      </c>
      <c r="AJ29" s="3">
        <f t="shared" si="19"/>
        <v>8297.6266094420607</v>
      </c>
      <c r="AL29" s="81" t="str">
        <f t="shared" si="0"/>
        <v>late fall Chinook-NF Lewis</v>
      </c>
      <c r="AM29" s="82" t="s">
        <v>119</v>
      </c>
      <c r="AN29" s="83" t="s">
        <v>192</v>
      </c>
      <c r="AO29" s="82" t="s">
        <v>120</v>
      </c>
      <c r="AP29" s="83" t="s">
        <v>193</v>
      </c>
      <c r="AQ29" s="83">
        <v>7300</v>
      </c>
      <c r="AR29" s="82">
        <v>2010</v>
      </c>
      <c r="AS29" s="5">
        <v>9294</v>
      </c>
    </row>
    <row r="30" spans="2:61" x14ac:dyDescent="0.3">
      <c r="B30" s="5">
        <v>2010</v>
      </c>
      <c r="C30" s="91">
        <v>373</v>
      </c>
      <c r="D30" s="93">
        <v>9294</v>
      </c>
      <c r="F30" s="3">
        <v>10898</v>
      </c>
      <c r="H30" s="74">
        <v>11500</v>
      </c>
      <c r="J30" s="3">
        <f>Run!AD30</f>
        <v>9904</v>
      </c>
      <c r="M30" s="3">
        <v>237</v>
      </c>
      <c r="N30" s="3">
        <v>0</v>
      </c>
      <c r="O30" s="3">
        <v>0</v>
      </c>
      <c r="P30" s="3">
        <v>0</v>
      </c>
      <c r="Q30" s="3">
        <v>237</v>
      </c>
      <c r="R30" s="3">
        <f t="shared" si="11"/>
        <v>9904</v>
      </c>
      <c r="S30" s="79">
        <f t="shared" si="12"/>
        <v>2.3929725363489498E-2</v>
      </c>
      <c r="T30" s="79">
        <f t="shared" si="13"/>
        <v>0</v>
      </c>
      <c r="U30" s="79">
        <f t="shared" si="14"/>
        <v>0</v>
      </c>
      <c r="V30" s="79">
        <f t="shared" si="20"/>
        <v>2.3929725363489498E-2</v>
      </c>
      <c r="Y30" s="76">
        <f>SUM(Fishery!G36:I36)</f>
        <v>6.5</v>
      </c>
      <c r="Z30" s="76">
        <f>SUM(Fishery!J36:S36)</f>
        <v>11</v>
      </c>
      <c r="AA30" s="76">
        <f>SUM(Fishery!T36:Z36)</f>
        <v>8.5</v>
      </c>
      <c r="AB30" s="76">
        <f t="shared" si="10"/>
        <v>26</v>
      </c>
      <c r="AD30" s="80">
        <f t="shared" si="21"/>
        <v>9904</v>
      </c>
      <c r="AE30" s="3">
        <f t="shared" si="15"/>
        <v>13383.783783783783</v>
      </c>
      <c r="AG30" s="3">
        <f t="shared" si="16"/>
        <v>869.94594594594594</v>
      </c>
      <c r="AH30" s="3">
        <f t="shared" si="17"/>
        <v>1472.2162162162163</v>
      </c>
      <c r="AI30" s="3">
        <f t="shared" si="18"/>
        <v>1137.6216216216217</v>
      </c>
      <c r="AJ30" s="3">
        <f t="shared" si="19"/>
        <v>3479.7837837837837</v>
      </c>
      <c r="AL30" s="81" t="str">
        <f t="shared" si="0"/>
        <v>late fall Chinook-NF Lewis</v>
      </c>
      <c r="AM30" s="82" t="s">
        <v>119</v>
      </c>
      <c r="AN30" s="83" t="s">
        <v>192</v>
      </c>
      <c r="AO30" s="82" t="s">
        <v>120</v>
      </c>
      <c r="AP30" s="83" t="s">
        <v>193</v>
      </c>
      <c r="AQ30" s="83">
        <v>7300</v>
      </c>
      <c r="AR30" s="82">
        <v>2011</v>
      </c>
      <c r="AS30" s="5">
        <v>8205</v>
      </c>
    </row>
    <row r="31" spans="2:61" x14ac:dyDescent="0.3">
      <c r="B31" s="5">
        <v>2011</v>
      </c>
      <c r="C31" s="92">
        <v>1019</v>
      </c>
      <c r="D31" s="93">
        <v>8205</v>
      </c>
      <c r="F31" s="3">
        <v>15180</v>
      </c>
      <c r="H31" s="74">
        <v>15400</v>
      </c>
      <c r="J31" s="3">
        <f>Run!AD31</f>
        <v>13534</v>
      </c>
      <c r="M31" s="3">
        <v>2103</v>
      </c>
      <c r="N31" s="3">
        <v>674</v>
      </c>
      <c r="O31" s="3">
        <v>0</v>
      </c>
      <c r="P31" s="3">
        <v>1533</v>
      </c>
      <c r="Q31" s="3">
        <v>4310</v>
      </c>
      <c r="R31" s="3">
        <f t="shared" si="11"/>
        <v>13534</v>
      </c>
      <c r="S31" s="79">
        <f t="shared" si="12"/>
        <v>0.15538643416580464</v>
      </c>
      <c r="T31" s="79">
        <f t="shared" si="13"/>
        <v>4.9800502438303529E-2</v>
      </c>
      <c r="U31" s="79">
        <f t="shared" si="14"/>
        <v>0.11327028225210581</v>
      </c>
      <c r="V31" s="79">
        <f t="shared" si="20"/>
        <v>0.31845721885621397</v>
      </c>
      <c r="Y31" s="76">
        <f>SUM(Fishery!G37:I37)</f>
        <v>13.3</v>
      </c>
      <c r="Z31" s="76">
        <f>SUM(Fishery!J37:S37)</f>
        <v>22.1</v>
      </c>
      <c r="AA31" s="76">
        <f>SUM(Fishery!T37:Z37)</f>
        <v>9.3000000000000007</v>
      </c>
      <c r="AB31" s="76">
        <f t="shared" si="10"/>
        <v>44.7</v>
      </c>
      <c r="AD31" s="80">
        <f t="shared" si="21"/>
        <v>13534</v>
      </c>
      <c r="AE31" s="3">
        <f t="shared" si="15"/>
        <v>24473.779385171794</v>
      </c>
      <c r="AG31" s="3">
        <f t="shared" si="16"/>
        <v>3255.012658227849</v>
      </c>
      <c r="AH31" s="3">
        <f t="shared" si="17"/>
        <v>5408.7052441229662</v>
      </c>
      <c r="AI31" s="3">
        <f t="shared" si="18"/>
        <v>2276.0614828209773</v>
      </c>
      <c r="AJ31" s="3">
        <f t="shared" si="19"/>
        <v>10939.779385171791</v>
      </c>
      <c r="AL31" s="81" t="str">
        <f t="shared" si="0"/>
        <v>late fall Chinook-NF Lewis</v>
      </c>
      <c r="AM31" s="82" t="s">
        <v>119</v>
      </c>
      <c r="AN31" s="83" t="s">
        <v>192</v>
      </c>
      <c r="AO31" s="82" t="s">
        <v>120</v>
      </c>
      <c r="AP31" s="83" t="s">
        <v>193</v>
      </c>
      <c r="AQ31" s="83">
        <v>7300</v>
      </c>
      <c r="AR31" s="82">
        <v>2012</v>
      </c>
      <c r="AS31" s="5">
        <v>8143</v>
      </c>
    </row>
    <row r="32" spans="2:61" x14ac:dyDescent="0.3">
      <c r="B32" s="5">
        <v>2012</v>
      </c>
      <c r="C32" s="91">
        <v>62</v>
      </c>
      <c r="D32" s="93">
        <v>8143</v>
      </c>
      <c r="F32" s="3">
        <v>12112</v>
      </c>
      <c r="H32" s="74">
        <v>12100</v>
      </c>
      <c r="J32" s="3">
        <f>Run!AD32</f>
        <v>11357</v>
      </c>
      <c r="M32" s="3">
        <v>459</v>
      </c>
      <c r="N32" s="3">
        <v>1880</v>
      </c>
      <c r="O32" s="3">
        <v>0</v>
      </c>
      <c r="P32" s="3">
        <v>307</v>
      </c>
      <c r="Q32" s="3">
        <v>2646</v>
      </c>
      <c r="R32" s="3">
        <f t="shared" ref="R32:R37" si="22">BI10</f>
        <v>11357</v>
      </c>
      <c r="S32" s="79">
        <f t="shared" si="12"/>
        <v>4.04156027119838E-2</v>
      </c>
      <c r="T32" s="79">
        <f t="shared" si="13"/>
        <v>0.16553667341727568</v>
      </c>
      <c r="U32" s="79">
        <f t="shared" si="14"/>
        <v>2.7031786563352998E-2</v>
      </c>
      <c r="V32" s="79">
        <f t="shared" si="20"/>
        <v>0.23298406269261249</v>
      </c>
      <c r="Y32" s="76">
        <f>SUM(Fishery!G38:I38)</f>
        <v>14.799999999999999</v>
      </c>
      <c r="Z32" s="76">
        <f>SUM(Fishery!J38:S38)</f>
        <v>13.2</v>
      </c>
      <c r="AA32" s="76">
        <f>SUM(Fishery!T38:Z38)</f>
        <v>5.5</v>
      </c>
      <c r="AB32" s="76">
        <f t="shared" si="10"/>
        <v>33.5</v>
      </c>
      <c r="AD32" s="80">
        <f t="shared" si="21"/>
        <v>11357</v>
      </c>
      <c r="AE32" s="3">
        <f t="shared" si="15"/>
        <v>17078.195488721805</v>
      </c>
      <c r="AG32" s="3">
        <f t="shared" si="16"/>
        <v>2527.5729323308269</v>
      </c>
      <c r="AH32" s="3">
        <f t="shared" si="17"/>
        <v>2254.3218045112785</v>
      </c>
      <c r="AI32" s="3">
        <f t="shared" si="18"/>
        <v>939.30075187969931</v>
      </c>
      <c r="AJ32" s="3">
        <f t="shared" si="19"/>
        <v>5721.1954887218044</v>
      </c>
      <c r="AL32" s="81" t="str">
        <f t="shared" si="0"/>
        <v>late fall Chinook-NF Lewis</v>
      </c>
      <c r="AM32" s="82" t="s">
        <v>119</v>
      </c>
      <c r="AN32" s="83" t="s">
        <v>192</v>
      </c>
      <c r="AO32" s="82" t="s">
        <v>120</v>
      </c>
      <c r="AP32" s="83" t="s">
        <v>193</v>
      </c>
      <c r="AQ32" s="83">
        <v>7300</v>
      </c>
      <c r="AR32" s="82">
        <v>2013</v>
      </c>
      <c r="AS32" s="5">
        <v>15240</v>
      </c>
    </row>
    <row r="33" spans="2:45" x14ac:dyDescent="0.3">
      <c r="B33" s="5">
        <v>2013</v>
      </c>
      <c r="C33" s="92">
        <v>1253</v>
      </c>
      <c r="D33" s="93">
        <v>15197</v>
      </c>
      <c r="F33" s="3">
        <v>25841</v>
      </c>
      <c r="H33" s="74">
        <v>25800</v>
      </c>
      <c r="J33" s="3">
        <f>Run!AD33</f>
        <v>24895</v>
      </c>
      <c r="M33" s="3">
        <v>0</v>
      </c>
      <c r="N33" s="3">
        <v>2095</v>
      </c>
      <c r="O33" s="3">
        <v>0</v>
      </c>
      <c r="P33" s="3">
        <v>5071</v>
      </c>
      <c r="Q33" s="3">
        <v>7166</v>
      </c>
      <c r="R33" s="3">
        <f t="shared" si="22"/>
        <v>24895</v>
      </c>
      <c r="S33" s="79">
        <f t="shared" si="12"/>
        <v>0</v>
      </c>
      <c r="T33" s="79">
        <f t="shared" si="13"/>
        <v>8.4153444466760388E-2</v>
      </c>
      <c r="U33" s="79">
        <f t="shared" si="14"/>
        <v>0.20369552118899378</v>
      </c>
      <c r="V33" s="79">
        <f t="shared" si="20"/>
        <v>0.28784896565575419</v>
      </c>
      <c r="Y33" s="76">
        <f>SUM(Fishery!G39:I39)</f>
        <v>2.2999999999999998</v>
      </c>
      <c r="Z33" s="76">
        <f>SUM(Fishery!J39:S39)</f>
        <v>8.7000000000000011</v>
      </c>
      <c r="AA33" s="76">
        <f>SUM(Fishery!T39:Z39)</f>
        <v>5.6999999999999993</v>
      </c>
      <c r="AB33" s="76">
        <f t="shared" si="10"/>
        <v>16.7</v>
      </c>
      <c r="AD33" s="80">
        <f t="shared" si="21"/>
        <v>24895</v>
      </c>
      <c r="AE33" s="3">
        <f t="shared" si="15"/>
        <v>29885.954381752701</v>
      </c>
      <c r="AG33" s="3">
        <f t="shared" si="16"/>
        <v>687.37695078031209</v>
      </c>
      <c r="AH33" s="3">
        <f t="shared" si="17"/>
        <v>2600.0780312124853</v>
      </c>
      <c r="AI33" s="3">
        <f t="shared" si="18"/>
        <v>1703.4993997599038</v>
      </c>
      <c r="AJ33" s="3">
        <f t="shared" si="19"/>
        <v>4990.954381752701</v>
      </c>
      <c r="AL33" s="81" t="str">
        <f t="shared" si="0"/>
        <v>late fall Chinook-NF Lewis</v>
      </c>
      <c r="AM33" s="82" t="s">
        <v>119</v>
      </c>
      <c r="AN33" s="83" t="s">
        <v>192</v>
      </c>
      <c r="AO33" s="82" t="s">
        <v>120</v>
      </c>
      <c r="AP33" s="83" t="s">
        <v>193</v>
      </c>
      <c r="AQ33" s="83">
        <v>7300</v>
      </c>
      <c r="AR33" s="82">
        <v>2014</v>
      </c>
      <c r="AS33" s="5">
        <v>21474</v>
      </c>
    </row>
    <row r="34" spans="2:45" x14ac:dyDescent="0.3">
      <c r="B34" s="5">
        <v>2014</v>
      </c>
      <c r="C34" s="91">
        <v>436</v>
      </c>
      <c r="D34" s="93">
        <v>20808</v>
      </c>
      <c r="F34" s="3">
        <v>25774</v>
      </c>
      <c r="H34" s="74">
        <v>25800</v>
      </c>
      <c r="J34" s="3">
        <f>Run!AD34</f>
        <v>24913</v>
      </c>
      <c r="M34" s="3">
        <v>0</v>
      </c>
      <c r="N34" s="3">
        <v>767</v>
      </c>
      <c r="O34" s="3">
        <v>0</v>
      </c>
      <c r="P34" s="3">
        <v>2107</v>
      </c>
      <c r="Q34" s="3">
        <v>2874</v>
      </c>
      <c r="R34" s="3">
        <f t="shared" si="22"/>
        <v>24913</v>
      </c>
      <c r="S34" s="79">
        <f t="shared" si="12"/>
        <v>0</v>
      </c>
      <c r="T34" s="79">
        <f t="shared" si="13"/>
        <v>3.0787139244571108E-2</v>
      </c>
      <c r="U34" s="79">
        <f t="shared" si="14"/>
        <v>8.4574318628828318E-2</v>
      </c>
      <c r="V34" s="79">
        <f t="shared" si="20"/>
        <v>0.11536145787339942</v>
      </c>
      <c r="Y34" s="76">
        <f>SUM(Fishery!G40:I40)</f>
        <v>8.9</v>
      </c>
      <c r="Z34" s="76">
        <f>SUM(Fishery!J40:S40)</f>
        <v>13.700000000000001</v>
      </c>
      <c r="AA34" s="76">
        <f>SUM(Fishery!T40:Z40)</f>
        <v>17.8</v>
      </c>
      <c r="AB34" s="76">
        <f t="shared" si="10"/>
        <v>40.400000000000006</v>
      </c>
      <c r="AD34" s="80">
        <f t="shared" si="21"/>
        <v>24913</v>
      </c>
      <c r="AE34" s="3">
        <f t="shared" si="15"/>
        <v>41800.335570469812</v>
      </c>
      <c r="AG34" s="3">
        <f t="shared" si="16"/>
        <v>3720.2298657718138</v>
      </c>
      <c r="AH34" s="3">
        <f t="shared" si="17"/>
        <v>5726.6459731543646</v>
      </c>
      <c r="AI34" s="3">
        <f t="shared" si="18"/>
        <v>7440.4597315436276</v>
      </c>
      <c r="AJ34" s="3">
        <f t="shared" si="19"/>
        <v>16887.335570469804</v>
      </c>
      <c r="AL34" s="81" t="str">
        <f t="shared" si="0"/>
        <v>late fall Chinook-NF Lewis</v>
      </c>
      <c r="AM34" s="82" t="s">
        <v>119</v>
      </c>
      <c r="AN34" s="83" t="s">
        <v>192</v>
      </c>
      <c r="AO34" s="82" t="s">
        <v>120</v>
      </c>
      <c r="AP34" s="83" t="s">
        <v>193</v>
      </c>
      <c r="AQ34" s="83">
        <v>7300</v>
      </c>
      <c r="AR34" s="82">
        <v>2015</v>
      </c>
      <c r="AS34" s="5">
        <v>15213</v>
      </c>
    </row>
    <row r="35" spans="2:45" x14ac:dyDescent="0.3">
      <c r="B35" s="5">
        <v>2015</v>
      </c>
      <c r="C35" s="92">
        <v>1274</v>
      </c>
      <c r="D35" s="93">
        <v>23631</v>
      </c>
      <c r="F35" s="3">
        <v>32403</v>
      </c>
      <c r="H35" s="74">
        <v>32400</v>
      </c>
      <c r="J35" s="3">
        <f>Run!AD35</f>
        <v>22451</v>
      </c>
      <c r="M35" s="3">
        <v>410</v>
      </c>
      <c r="N35" s="3">
        <v>3126</v>
      </c>
      <c r="O35" s="3">
        <v>0</v>
      </c>
      <c r="P35" s="3">
        <v>1696</v>
      </c>
      <c r="Q35" s="3">
        <v>5232</v>
      </c>
      <c r="R35" s="3">
        <f t="shared" si="22"/>
        <v>22451</v>
      </c>
      <c r="S35" s="79">
        <f t="shared" si="12"/>
        <v>1.8261992784285776E-2</v>
      </c>
      <c r="T35" s="79">
        <f t="shared" si="13"/>
        <v>0.13923655961872522</v>
      </c>
      <c r="U35" s="79">
        <f t="shared" si="14"/>
        <v>7.5542292102801653E-2</v>
      </c>
      <c r="V35" s="79">
        <f t="shared" si="20"/>
        <v>0.23304084450581264</v>
      </c>
      <c r="X35" s="103"/>
      <c r="Y35" s="128">
        <f>SUM(Fishery!G93:I93)</f>
        <v>7.3</v>
      </c>
      <c r="Z35" s="128">
        <f>SUM(Fishery!J93:S93)</f>
        <v>10.6</v>
      </c>
      <c r="AA35" s="128">
        <f>SUM(Fishery!T93:Z93)</f>
        <v>2.7</v>
      </c>
      <c r="AB35" s="128">
        <f t="shared" si="10"/>
        <v>20.599999999999998</v>
      </c>
      <c r="AD35" s="80">
        <f t="shared" si="21"/>
        <v>22451</v>
      </c>
      <c r="AE35" s="129">
        <f t="shared" si="15"/>
        <v>28275.818639798486</v>
      </c>
      <c r="AF35" s="103"/>
      <c r="AG35" s="129">
        <f t="shared" si="16"/>
        <v>2064.1347607052894</v>
      </c>
      <c r="AH35" s="129">
        <f t="shared" si="17"/>
        <v>2997.2367758186397</v>
      </c>
      <c r="AI35" s="129">
        <f t="shared" si="18"/>
        <v>763.44710327455925</v>
      </c>
      <c r="AJ35" s="129">
        <f t="shared" si="19"/>
        <v>5824.8186397984891</v>
      </c>
      <c r="AL35" s="81" t="str">
        <f t="shared" si="0"/>
        <v>late fall Chinook-NF Lewis</v>
      </c>
      <c r="AM35" s="82" t="s">
        <v>119</v>
      </c>
      <c r="AN35" s="83" t="s">
        <v>192</v>
      </c>
      <c r="AO35" s="82" t="s">
        <v>120</v>
      </c>
      <c r="AP35" s="83" t="s">
        <v>193</v>
      </c>
      <c r="AQ35" s="83">
        <v>7300</v>
      </c>
      <c r="AR35" s="82">
        <v>2016</v>
      </c>
      <c r="AS35" s="5">
        <v>9632</v>
      </c>
    </row>
    <row r="36" spans="2:45" x14ac:dyDescent="0.3">
      <c r="B36" s="5">
        <v>2016</v>
      </c>
      <c r="C36" s="91">
        <v>451</v>
      </c>
      <c r="D36" s="93">
        <v>8957</v>
      </c>
      <c r="H36" s="74">
        <v>12300</v>
      </c>
      <c r="J36" s="3">
        <f>Run!AD36</f>
        <v>13813</v>
      </c>
      <c r="M36" s="3">
        <v>1207</v>
      </c>
      <c r="N36" s="3">
        <v>187</v>
      </c>
      <c r="O36" s="3">
        <v>0</v>
      </c>
      <c r="P36" s="3">
        <v>1506</v>
      </c>
      <c r="Q36" s="3">
        <v>2900</v>
      </c>
      <c r="R36" s="3">
        <f t="shared" si="22"/>
        <v>13813</v>
      </c>
      <c r="S36" s="79">
        <f t="shared" si="12"/>
        <v>8.7381452255121991E-2</v>
      </c>
      <c r="T36" s="79">
        <f t="shared" si="13"/>
        <v>1.353797147614566E-2</v>
      </c>
      <c r="U36" s="79">
        <f t="shared" si="14"/>
        <v>0.10902772750307681</v>
      </c>
      <c r="V36" s="79">
        <f t="shared" si="20"/>
        <v>0.20994715123434446</v>
      </c>
      <c r="Y36" s="76"/>
      <c r="Z36" s="76"/>
      <c r="AA36" s="76"/>
      <c r="AB36" s="76"/>
      <c r="AD36" s="80">
        <f t="shared" si="21"/>
        <v>13813</v>
      </c>
      <c r="AL36" s="81" t="str">
        <f t="shared" si="0"/>
        <v>late fall Chinook-NF Lewis</v>
      </c>
      <c r="AM36" s="82" t="s">
        <v>119</v>
      </c>
      <c r="AN36" s="83" t="s">
        <v>192</v>
      </c>
      <c r="AO36" s="82" t="s">
        <v>120</v>
      </c>
      <c r="AP36" s="83" t="s">
        <v>193</v>
      </c>
      <c r="AQ36" s="83">
        <v>7300</v>
      </c>
      <c r="AR36" s="82">
        <v>2017</v>
      </c>
      <c r="AS36" s="5">
        <v>7409</v>
      </c>
    </row>
    <row r="37" spans="2:45" x14ac:dyDescent="0.3">
      <c r="B37" s="5">
        <v>2017</v>
      </c>
      <c r="H37" s="74">
        <v>7900</v>
      </c>
      <c r="J37" s="3">
        <f>Run!AD37</f>
        <v>10067.351018570671</v>
      </c>
      <c r="M37" s="3">
        <v>533.35101857067127</v>
      </c>
      <c r="N37" s="3">
        <v>0</v>
      </c>
      <c r="O37" s="3">
        <v>0</v>
      </c>
      <c r="P37" s="3">
        <v>722</v>
      </c>
      <c r="Q37" s="3">
        <v>1255.3510185706714</v>
      </c>
      <c r="R37" s="3">
        <f t="shared" si="22"/>
        <v>10067.351018570671</v>
      </c>
      <c r="S37" s="79">
        <f t="shared" si="12"/>
        <v>5.2978287693240152E-2</v>
      </c>
      <c r="T37" s="79">
        <f t="shared" si="13"/>
        <v>0</v>
      </c>
      <c r="U37" s="79">
        <f t="shared" si="14"/>
        <v>7.1716978842613868E-2</v>
      </c>
      <c r="V37" s="79">
        <f t="shared" si="20"/>
        <v>0.12469526653585403</v>
      </c>
      <c r="Y37" s="76"/>
      <c r="Z37" s="76"/>
      <c r="AA37" s="76"/>
      <c r="AB37" s="76"/>
      <c r="AD37" s="80">
        <f t="shared" si="21"/>
        <v>10067.351018570671</v>
      </c>
      <c r="AQ37" t="s">
        <v>127</v>
      </c>
      <c r="AR37" t="s">
        <v>135</v>
      </c>
      <c r="AS37" s="101">
        <f>GEOMEAN(AS5:AS36)</f>
        <v>9083.4004211183073</v>
      </c>
    </row>
    <row r="38" spans="2:45" x14ac:dyDescent="0.3">
      <c r="Y38" s="76"/>
      <c r="Z38" s="76"/>
      <c r="AA38" s="76"/>
      <c r="AB38" s="76"/>
      <c r="AD38" s="3"/>
      <c r="AQ38" t="s">
        <v>127</v>
      </c>
      <c r="AR38" t="s">
        <v>136</v>
      </c>
      <c r="AS38" s="101">
        <f>GEOMEAN(AS27:AS36)</f>
        <v>9729.7083628103283</v>
      </c>
    </row>
    <row r="39" spans="2:45" x14ac:dyDescent="0.3">
      <c r="C39" s="3">
        <f t="shared" ref="C39:D39" si="23">GEOMEAN(C28:C37)</f>
        <v>482.45136392468964</v>
      </c>
      <c r="D39" s="3">
        <f t="shared" si="23"/>
        <v>10406.930772829184</v>
      </c>
      <c r="E39" s="3"/>
      <c r="F39" s="3"/>
      <c r="G39" s="3" t="s">
        <v>127</v>
      </c>
      <c r="H39" s="3">
        <f>GEOMEAN(H28:H37)</f>
        <v>14023.920609311355</v>
      </c>
      <c r="L39" t="s">
        <v>107</v>
      </c>
      <c r="M39" s="3">
        <f>AVERAGE(M28:M37)</f>
        <v>623.33510185706712</v>
      </c>
      <c r="N39" s="3">
        <f>AVERAGE(N28:N37)</f>
        <v>902.2</v>
      </c>
      <c r="P39" s="3">
        <f>AVERAGE(P28:P37)</f>
        <v>1294.2</v>
      </c>
      <c r="Q39" s="3">
        <f>AVERAGE(Q28:Q37)</f>
        <v>2819.7351018570671</v>
      </c>
      <c r="R39" s="3">
        <f>AVERAGE(R28:R37)</f>
        <v>14520.735101857068</v>
      </c>
      <c r="S39" s="79">
        <f>AVERAGE(S32:S37)</f>
        <v>3.3172889240771948E-2</v>
      </c>
      <c r="T39" s="79">
        <f t="shared" ref="T39:V39" si="24">AVERAGE(T32:T37)</f>
        <v>7.2208631370579673E-2</v>
      </c>
      <c r="U39" s="79">
        <f t="shared" si="24"/>
        <v>9.5264770804944568E-2</v>
      </c>
      <c r="V39" s="79">
        <f t="shared" si="24"/>
        <v>0.2006462914162962</v>
      </c>
      <c r="X39" s="130"/>
      <c r="Y39" s="128"/>
      <c r="Z39" s="128"/>
      <c r="AA39" s="128"/>
      <c r="AB39" s="128"/>
      <c r="AD39" s="3">
        <f t="shared" ref="AD39" si="25">AVERAGE(AD26:AD35)</f>
        <v>15165.875</v>
      </c>
      <c r="AE39" s="3"/>
      <c r="AG39" s="3"/>
      <c r="AH39" s="3"/>
      <c r="AI39" s="3"/>
      <c r="AJ39" s="3"/>
    </row>
    <row r="40" spans="2:45" x14ac:dyDescent="0.3">
      <c r="G40" t="s">
        <v>216</v>
      </c>
      <c r="H40" s="3">
        <f>AVERAGE(H28:H37)</f>
        <v>15940</v>
      </c>
      <c r="X40" s="130" t="s">
        <v>243</v>
      </c>
      <c r="Y40" s="76">
        <f>AVERAGE(Y28:Y35)</f>
        <v>10.1875</v>
      </c>
      <c r="Z40" s="76">
        <f t="shared" ref="Z40:AB40" si="26">AVERAGE(Z28:Z35)</f>
        <v>16.075000000000003</v>
      </c>
      <c r="AA40" s="76">
        <f t="shared" si="26"/>
        <v>7.8125</v>
      </c>
      <c r="AB40" s="76">
        <f t="shared" si="26"/>
        <v>34.074999999999996</v>
      </c>
      <c r="AD40" s="3"/>
      <c r="AE40" s="3">
        <f>AVERAGE(AE28:AE35)</f>
        <v>22706.475607990644</v>
      </c>
      <c r="AG40" s="3">
        <f t="shared" ref="AG40:AJ40" si="27">AVERAGE(AG28:AG35)</f>
        <v>2146.2201555559632</v>
      </c>
      <c r="AH40" s="3">
        <f t="shared" si="27"/>
        <v>3423.6383282879742</v>
      </c>
      <c r="AI40" s="3">
        <f t="shared" si="27"/>
        <v>1970.7421241467036</v>
      </c>
      <c r="AJ40" s="3">
        <f t="shared" si="27"/>
        <v>7540.600607990641</v>
      </c>
    </row>
    <row r="41" spans="2:45" x14ac:dyDescent="0.3">
      <c r="X41" s="130" t="s">
        <v>244</v>
      </c>
      <c r="AD41" s="3">
        <f>AVERAGE(AD28:AD37)</f>
        <v>14520.735101857068</v>
      </c>
    </row>
  </sheetData>
  <mergeCells count="9">
    <mergeCell ref="AU3:BB3"/>
    <mergeCell ref="BD3:BI3"/>
    <mergeCell ref="BD18:BI19"/>
    <mergeCell ref="M2:Q2"/>
    <mergeCell ref="S2:U2"/>
    <mergeCell ref="Y2:AB2"/>
    <mergeCell ref="AG2:AJ2"/>
    <mergeCell ref="AL3:AS3"/>
    <mergeCell ref="BE4:BG4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889F9-4740-46CD-9FD4-1F18A3137239}">
  <dimension ref="B1:S18"/>
  <sheetViews>
    <sheetView workbookViewId="0"/>
  </sheetViews>
  <sheetFormatPr defaultRowHeight="14.4" x14ac:dyDescent="0.3"/>
  <cols>
    <col min="1" max="1" width="3" customWidth="1"/>
    <col min="3" max="3" width="18.33203125" customWidth="1"/>
    <col min="7" max="7" width="10.5546875" customWidth="1"/>
  </cols>
  <sheetData>
    <row r="1" spans="2:19" x14ac:dyDescent="0.3">
      <c r="C1" t="s">
        <v>229</v>
      </c>
    </row>
    <row r="3" spans="2:19" s="138" customFormat="1" ht="83.4" customHeight="1" x14ac:dyDescent="0.3">
      <c r="D3" s="138" t="s">
        <v>213</v>
      </c>
      <c r="E3" s="138" t="s">
        <v>211</v>
      </c>
      <c r="F3" s="138" t="s">
        <v>220</v>
      </c>
      <c r="G3" s="138" t="s">
        <v>221</v>
      </c>
      <c r="H3" s="138" t="s">
        <v>212</v>
      </c>
      <c r="I3" s="138" t="s">
        <v>214</v>
      </c>
      <c r="J3" s="138" t="s">
        <v>217</v>
      </c>
      <c r="K3" s="138" t="s">
        <v>215</v>
      </c>
      <c r="M3" s="138" t="s">
        <v>222</v>
      </c>
      <c r="N3" s="138" t="s">
        <v>223</v>
      </c>
      <c r="P3" s="138" t="s">
        <v>224</v>
      </c>
      <c r="Q3" s="138" t="s">
        <v>225</v>
      </c>
    </row>
    <row r="4" spans="2:19" x14ac:dyDescent="0.3">
      <c r="B4" t="s">
        <v>210</v>
      </c>
      <c r="C4" t="s">
        <v>219</v>
      </c>
      <c r="D4" s="140">
        <f>Summary!U30</f>
        <v>11700</v>
      </c>
      <c r="E4" s="144">
        <f>1-(D4/(H4*(1-G4)))</f>
        <v>-7.1804145872473857E-3</v>
      </c>
      <c r="F4" s="147">
        <f>Run!Q39</f>
        <v>2819.7351018570671</v>
      </c>
      <c r="G4" s="146">
        <f>SUM(Summary!V18:V20)</f>
        <v>0.2</v>
      </c>
      <c r="H4" s="140">
        <f>Run!BI17</f>
        <v>14520.735101857068</v>
      </c>
      <c r="I4" s="139">
        <f>SUM(Summary!U15:U17)</f>
        <v>0.34100000000000003</v>
      </c>
    </row>
    <row r="5" spans="2:19" x14ac:dyDescent="0.3">
      <c r="C5" t="s">
        <v>218</v>
      </c>
      <c r="D5" s="3">
        <f>(H5-F5)*(1-E4)</f>
        <v>11699.999999999996</v>
      </c>
      <c r="E5" s="144"/>
      <c r="F5" s="75">
        <f>H4*G4</f>
        <v>2904.1470203714139</v>
      </c>
      <c r="G5" s="142">
        <f>F4/H4</f>
        <v>0.19418680129330704</v>
      </c>
      <c r="H5" s="3">
        <f>K5-J5</f>
        <v>14520.735101857066</v>
      </c>
      <c r="J5" s="3">
        <f>K5*I4</f>
        <v>7513.7642939806683</v>
      </c>
      <c r="K5" s="3">
        <f>H4/(1-I4)</f>
        <v>22034.499395837734</v>
      </c>
      <c r="M5" s="3">
        <f>F5+J5</f>
        <v>10417.911314352083</v>
      </c>
      <c r="N5" s="142">
        <f>M5/K5</f>
        <v>0.47280000000000005</v>
      </c>
    </row>
    <row r="6" spans="2:19" x14ac:dyDescent="0.3">
      <c r="N6" s="144"/>
    </row>
    <row r="7" spans="2:19" x14ac:dyDescent="0.3">
      <c r="C7" t="s">
        <v>131</v>
      </c>
      <c r="D7" s="3">
        <f>D4*Summary!W6/Summary!U6</f>
        <v>12025</v>
      </c>
      <c r="E7" s="144">
        <f>$E$4</f>
        <v>-7.1804145872473857E-3</v>
      </c>
      <c r="F7" s="3">
        <f>H7*G7</f>
        <v>2984.8177709372867</v>
      </c>
      <c r="G7" s="144">
        <f>$G$4</f>
        <v>0.2</v>
      </c>
      <c r="H7" s="3">
        <f>D7/(1-E7)/(1-G7)</f>
        <v>14924.088854686433</v>
      </c>
      <c r="I7" s="144">
        <f>$I$4</f>
        <v>0.34100000000000003</v>
      </c>
      <c r="J7" s="3">
        <f>K7*I7</f>
        <v>7722.4799688134663</v>
      </c>
      <c r="K7" s="3">
        <f>H7/(1-I7)</f>
        <v>22646.5688234999</v>
      </c>
      <c r="M7" s="3">
        <f>F7+J7</f>
        <v>10707.297739750753</v>
      </c>
      <c r="N7" s="142">
        <f>M7/K7</f>
        <v>0.4728</v>
      </c>
      <c r="P7" s="148">
        <v>0.47</v>
      </c>
      <c r="Q7" s="144">
        <f>(P7-I7)/(1-I7)</f>
        <v>0.19575113808801206</v>
      </c>
    </row>
    <row r="8" spans="2:19" x14ac:dyDescent="0.3">
      <c r="C8" t="s">
        <v>209</v>
      </c>
      <c r="D8" s="3">
        <f>D4*Summary!X6/Summary!U6</f>
        <v>18091.666666666668</v>
      </c>
      <c r="E8" s="144">
        <f t="shared" ref="E8:E9" si="0">$E$4</f>
        <v>-7.1804145872473857E-3</v>
      </c>
      <c r="F8" s="3">
        <f t="shared" ref="F8" si="1">H8*G8</f>
        <v>5778.610138408656</v>
      </c>
      <c r="G8" s="144">
        <f>AVERAGE(G7,G9)</f>
        <v>0.2433990895295903</v>
      </c>
      <c r="H8" s="3">
        <f t="shared" ref="H8" si="2">D8/(1-E8)/(1-G8)</f>
        <v>23741.297264409626</v>
      </c>
      <c r="I8" s="144">
        <f t="shared" ref="I8:I9" si="3">$I$4</f>
        <v>0.34100000000000003</v>
      </c>
      <c r="J8" s="3">
        <f t="shared" ref="J8:J9" si="4">K8*I8</f>
        <v>12284.950481280246</v>
      </c>
      <c r="K8" s="3">
        <f t="shared" ref="K8:K9" si="5">H8/(1-I8)</f>
        <v>36026.24774568987</v>
      </c>
      <c r="M8" s="3">
        <f>F8+J8</f>
        <v>18063.560619688902</v>
      </c>
      <c r="N8" s="142">
        <f>M8/K8</f>
        <v>0.50140000000000007</v>
      </c>
      <c r="P8" s="148">
        <v>0.5</v>
      </c>
      <c r="Q8" s="144">
        <f>(P8-I8)/(1-I8)</f>
        <v>0.24127465857359631</v>
      </c>
    </row>
    <row r="9" spans="2:19" x14ac:dyDescent="0.3">
      <c r="C9" t="s">
        <v>133</v>
      </c>
      <c r="D9" s="3">
        <f>D4*Summary!Y6/Summary!U6</f>
        <v>24050</v>
      </c>
      <c r="E9" s="144">
        <f t="shared" si="0"/>
        <v>-7.1804145872473857E-3</v>
      </c>
      <c r="F9" s="3">
        <f>H9*G9</f>
        <v>9602.2222758663356</v>
      </c>
      <c r="G9" s="145">
        <f>(P9-I9)/(1-I9)</f>
        <v>0.28679817905918059</v>
      </c>
      <c r="H9" s="3">
        <f>D9/(1-E9)/(1-G9)</f>
        <v>33480.764443364627</v>
      </c>
      <c r="I9" s="144">
        <f t="shared" si="3"/>
        <v>0.34100000000000003</v>
      </c>
      <c r="J9" s="3">
        <f t="shared" si="4"/>
        <v>17324.644423653019</v>
      </c>
      <c r="K9" s="3">
        <f t="shared" si="5"/>
        <v>50805.408867017642</v>
      </c>
      <c r="M9" s="3">
        <f>F9+J9</f>
        <v>26926.866699519356</v>
      </c>
      <c r="N9" s="142">
        <f>M9/K9</f>
        <v>0.53000000000000014</v>
      </c>
      <c r="P9" s="148">
        <v>0.53</v>
      </c>
      <c r="Q9" s="144">
        <f>(P9-I9)/(1-I9)</f>
        <v>0.28679817905918059</v>
      </c>
    </row>
    <row r="11" spans="2:19" x14ac:dyDescent="0.3">
      <c r="F11" s="3"/>
    </row>
    <row r="12" spans="2:19" s="137" customFormat="1" ht="76.95" customHeight="1" x14ac:dyDescent="0.3">
      <c r="D12" s="137" t="s">
        <v>226</v>
      </c>
      <c r="E12" s="138" t="s">
        <v>215</v>
      </c>
      <c r="F12" s="138" t="s">
        <v>214</v>
      </c>
      <c r="G12" s="138" t="s">
        <v>217</v>
      </c>
      <c r="H12" s="137" t="s">
        <v>227</v>
      </c>
      <c r="I12" s="138" t="s">
        <v>212</v>
      </c>
      <c r="J12" s="138" t="s">
        <v>221</v>
      </c>
      <c r="K12" s="138" t="s">
        <v>220</v>
      </c>
      <c r="L12" s="138" t="s">
        <v>211</v>
      </c>
      <c r="M12" s="138" t="s">
        <v>228</v>
      </c>
      <c r="O12" s="138" t="s">
        <v>222</v>
      </c>
      <c r="P12" s="138" t="s">
        <v>223</v>
      </c>
      <c r="Q12" s="138"/>
      <c r="R12" s="138" t="s">
        <v>224</v>
      </c>
      <c r="S12" s="138" t="s">
        <v>225</v>
      </c>
    </row>
    <row r="13" spans="2:19" x14ac:dyDescent="0.3">
      <c r="B13" t="s">
        <v>4</v>
      </c>
      <c r="C13" t="s">
        <v>219</v>
      </c>
      <c r="D13" s="140">
        <v>0</v>
      </c>
      <c r="F13">
        <f>I4</f>
        <v>0.34100000000000003</v>
      </c>
      <c r="I13" s="140">
        <v>0</v>
      </c>
      <c r="J13" s="149">
        <f>G4</f>
        <v>0.2</v>
      </c>
      <c r="K13" s="139"/>
      <c r="L13" s="149">
        <f>E4</f>
        <v>-7.1804145872473857E-3</v>
      </c>
      <c r="M13" s="139"/>
    </row>
    <row r="14" spans="2:19" x14ac:dyDescent="0.3">
      <c r="C14" t="s">
        <v>218</v>
      </c>
      <c r="E14" s="3">
        <f>I13/(1-F13)</f>
        <v>0</v>
      </c>
      <c r="G14" s="3">
        <f>E14*F13</f>
        <v>0</v>
      </c>
      <c r="H14" s="143">
        <f>I13/(D13+0.0000000001)</f>
        <v>0</v>
      </c>
      <c r="I14" s="3">
        <f>D13*H14</f>
        <v>0</v>
      </c>
      <c r="K14" s="3">
        <f>I13*J13</f>
        <v>0</v>
      </c>
      <c r="M14" s="3">
        <f>I13*(1-J13)*(1-L13)</f>
        <v>0</v>
      </c>
      <c r="O14" s="3">
        <f>K14+G14</f>
        <v>0</v>
      </c>
      <c r="P14" s="142">
        <f>O14/(E14+0.0000000001)</f>
        <v>0</v>
      </c>
      <c r="R14" s="145">
        <f>N5</f>
        <v>0.47280000000000005</v>
      </c>
    </row>
    <row r="15" spans="2:19" x14ac:dyDescent="0.3">
      <c r="P15" s="144"/>
    </row>
    <row r="16" spans="2:19" x14ac:dyDescent="0.3">
      <c r="C16" t="s">
        <v>131</v>
      </c>
      <c r="D16" s="140">
        <v>0</v>
      </c>
      <c r="E16" s="3">
        <f>I16/(1-F16)</f>
        <v>0</v>
      </c>
      <c r="F16">
        <f>F$13</f>
        <v>0.34100000000000003</v>
      </c>
      <c r="G16" s="3">
        <f>E16*F16</f>
        <v>0</v>
      </c>
      <c r="H16" s="143">
        <f>H$14</f>
        <v>0</v>
      </c>
      <c r="I16" s="3">
        <f>D16*H16</f>
        <v>0</v>
      </c>
      <c r="J16" s="150">
        <f t="shared" ref="J16:J17" si="6">(R16-F16)/(1-F16)</f>
        <v>0.19575113808801206</v>
      </c>
      <c r="K16" s="3">
        <f>J16*I16</f>
        <v>0</v>
      </c>
      <c r="L16" s="143">
        <f t="shared" ref="L16:L18" si="7">L$13</f>
        <v>-7.1804145872473857E-3</v>
      </c>
      <c r="M16" s="3">
        <f>I16*(1-J16)*(1-L16)</f>
        <v>0</v>
      </c>
      <c r="O16" s="3">
        <f t="shared" ref="O16:O18" si="8">K16+G16</f>
        <v>0</v>
      </c>
      <c r="P16" s="142">
        <f t="shared" ref="P16:P18" si="9">O16/(E16+0.0000000001)</f>
        <v>0</v>
      </c>
      <c r="R16" s="145">
        <v>0.47</v>
      </c>
    </row>
    <row r="17" spans="3:18" x14ac:dyDescent="0.3">
      <c r="C17" t="s">
        <v>209</v>
      </c>
      <c r="D17" s="140">
        <v>0</v>
      </c>
      <c r="E17" s="3">
        <f t="shared" ref="E17:E18" si="10">I17/(1-F17)</f>
        <v>0</v>
      </c>
      <c r="F17">
        <f t="shared" ref="F17:F18" si="11">F$13</f>
        <v>0.34100000000000003</v>
      </c>
      <c r="G17" s="3">
        <f t="shared" ref="G17:G18" si="12">E17*F17</f>
        <v>0</v>
      </c>
      <c r="H17" s="143">
        <f t="shared" ref="H17:H18" si="13">H$14</f>
        <v>0</v>
      </c>
      <c r="I17" s="3">
        <f t="shared" ref="I17:I18" si="14">D17*H17</f>
        <v>0</v>
      </c>
      <c r="J17" s="150">
        <f t="shared" si="6"/>
        <v>0.24127465857359631</v>
      </c>
      <c r="K17" s="3">
        <f t="shared" ref="K17:K18" si="15">J17*I17</f>
        <v>0</v>
      </c>
      <c r="L17" s="143">
        <f t="shared" si="7"/>
        <v>-7.1804145872473857E-3</v>
      </c>
      <c r="M17" s="3">
        <f t="shared" ref="M17:M18" si="16">I17*(1-J17)*(1-L17)</f>
        <v>0</v>
      </c>
      <c r="O17" s="3">
        <f t="shared" si="8"/>
        <v>0</v>
      </c>
      <c r="P17" s="142">
        <f t="shared" si="9"/>
        <v>0</v>
      </c>
      <c r="R17" s="145">
        <v>0.5</v>
      </c>
    </row>
    <row r="18" spans="3:18" x14ac:dyDescent="0.3">
      <c r="C18" t="s">
        <v>133</v>
      </c>
      <c r="D18" s="140">
        <v>0</v>
      </c>
      <c r="E18" s="3">
        <f t="shared" si="10"/>
        <v>0</v>
      </c>
      <c r="F18">
        <f t="shared" si="11"/>
        <v>0.34100000000000003</v>
      </c>
      <c r="G18" s="3">
        <f t="shared" si="12"/>
        <v>0</v>
      </c>
      <c r="H18" s="143">
        <f t="shared" si="13"/>
        <v>0</v>
      </c>
      <c r="I18" s="3">
        <f t="shared" si="14"/>
        <v>0</v>
      </c>
      <c r="J18" s="150">
        <f>(R18-F18)/(1-F18)</f>
        <v>0.28679817905918059</v>
      </c>
      <c r="K18" s="3">
        <f t="shared" si="15"/>
        <v>0</v>
      </c>
      <c r="L18" s="143">
        <f t="shared" si="7"/>
        <v>-7.1804145872473857E-3</v>
      </c>
      <c r="M18" s="3">
        <f t="shared" si="16"/>
        <v>0</v>
      </c>
      <c r="O18" s="3">
        <f t="shared" si="8"/>
        <v>0</v>
      </c>
      <c r="P18" s="142">
        <f t="shared" si="9"/>
        <v>0</v>
      </c>
      <c r="R18" s="145">
        <v>0.53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FE14D-270E-481B-ACA6-50DD59C77427}">
  <dimension ref="B2:Q8"/>
  <sheetViews>
    <sheetView workbookViewId="0"/>
  </sheetViews>
  <sheetFormatPr defaultRowHeight="14.4" x14ac:dyDescent="0.3"/>
  <cols>
    <col min="2" max="2" width="17.6640625" customWidth="1"/>
    <col min="15" max="15" width="11" customWidth="1"/>
    <col min="52" max="52" width="11.109375" customWidth="1"/>
    <col min="54" max="54" width="11.6640625" customWidth="1"/>
    <col min="57" max="57" width="12.109375" customWidth="1"/>
  </cols>
  <sheetData>
    <row r="2" spans="2:17" x14ac:dyDescent="0.3">
      <c r="H2" t="s">
        <v>88</v>
      </c>
      <c r="I2" t="s">
        <v>86</v>
      </c>
      <c r="K2" s="299" t="s">
        <v>134</v>
      </c>
      <c r="L2" s="299"/>
      <c r="M2" s="299"/>
      <c r="O2" s="299" t="s">
        <v>242</v>
      </c>
      <c r="P2" s="299"/>
      <c r="Q2" s="299"/>
    </row>
    <row r="3" spans="2:17" x14ac:dyDescent="0.3">
      <c r="C3" t="s">
        <v>83</v>
      </c>
      <c r="D3" t="s">
        <v>84</v>
      </c>
      <c r="E3" t="s">
        <v>85</v>
      </c>
      <c r="G3" t="s">
        <v>95</v>
      </c>
      <c r="H3" t="s">
        <v>89</v>
      </c>
      <c r="I3" t="s">
        <v>87</v>
      </c>
      <c r="K3" s="77" t="s">
        <v>16</v>
      </c>
      <c r="L3" s="77" t="s">
        <v>17</v>
      </c>
      <c r="M3" s="77" t="s">
        <v>18</v>
      </c>
      <c r="O3" s="5" t="s">
        <v>16</v>
      </c>
      <c r="P3" s="5" t="s">
        <v>17</v>
      </c>
      <c r="Q3" s="5" t="s">
        <v>18</v>
      </c>
    </row>
    <row r="4" spans="2:17" x14ac:dyDescent="0.3">
      <c r="B4" t="s">
        <v>82</v>
      </c>
      <c r="C4">
        <v>7300</v>
      </c>
      <c r="D4">
        <v>23000</v>
      </c>
      <c r="E4">
        <v>7300</v>
      </c>
      <c r="G4">
        <v>5700</v>
      </c>
      <c r="K4">
        <v>7300</v>
      </c>
      <c r="L4">
        <f>(K4+M4)/2</f>
        <v>10950</v>
      </c>
      <c r="M4">
        <f>K4*2</f>
        <v>14600</v>
      </c>
      <c r="O4" s="77">
        <v>3800</v>
      </c>
      <c r="P4" s="77">
        <f>(O4+Q4)/2</f>
        <v>5700</v>
      </c>
      <c r="Q4" s="77">
        <f>O4*2</f>
        <v>7600</v>
      </c>
    </row>
    <row r="5" spans="2:17" x14ac:dyDescent="0.3">
      <c r="B5" t="s">
        <v>0</v>
      </c>
      <c r="C5">
        <v>1794</v>
      </c>
      <c r="D5">
        <v>10000</v>
      </c>
      <c r="E5">
        <v>3561</v>
      </c>
      <c r="I5">
        <v>3858</v>
      </c>
      <c r="K5" t="s">
        <v>100</v>
      </c>
      <c r="L5" t="s">
        <v>105</v>
      </c>
      <c r="M5" t="s">
        <v>103</v>
      </c>
      <c r="O5" t="s">
        <v>100</v>
      </c>
      <c r="P5" t="s">
        <v>105</v>
      </c>
      <c r="Q5" t="s">
        <v>103</v>
      </c>
    </row>
    <row r="6" spans="2:17" x14ac:dyDescent="0.3">
      <c r="K6" t="s">
        <v>101</v>
      </c>
      <c r="M6" t="s">
        <v>104</v>
      </c>
      <c r="O6" t="s">
        <v>101</v>
      </c>
      <c r="Q6" t="s">
        <v>104</v>
      </c>
    </row>
    <row r="7" spans="2:17" x14ac:dyDescent="0.3">
      <c r="K7" t="s">
        <v>102</v>
      </c>
      <c r="O7" t="s">
        <v>241</v>
      </c>
    </row>
    <row r="8" spans="2:17" x14ac:dyDescent="0.3">
      <c r="O8" t="s">
        <v>8</v>
      </c>
    </row>
  </sheetData>
  <mergeCells count="2">
    <mergeCell ref="K2:M2"/>
    <mergeCell ref="O2:Q2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2:AM98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RowHeight="14.4" x14ac:dyDescent="0.3"/>
  <cols>
    <col min="5" max="5" width="6.5546875" customWidth="1"/>
    <col min="7" max="36" width="6.6640625" customWidth="1"/>
    <col min="40" max="40" width="10" customWidth="1"/>
    <col min="41" max="42" width="10.44140625" customWidth="1"/>
    <col min="43" max="43" width="10.6640625" customWidth="1"/>
    <col min="47" max="47" width="9.6640625" customWidth="1"/>
    <col min="48" max="48" width="10.88671875" customWidth="1"/>
    <col min="49" max="49" width="10.44140625" customWidth="1"/>
  </cols>
  <sheetData>
    <row r="2" spans="4:36" x14ac:dyDescent="0.3">
      <c r="D2" s="9"/>
      <c r="E2" s="10" t="s">
        <v>41</v>
      </c>
      <c r="F2" s="307" t="s">
        <v>42</v>
      </c>
      <c r="G2" s="310" t="s">
        <v>43</v>
      </c>
      <c r="H2" s="311"/>
      <c r="I2" s="311"/>
      <c r="J2" s="311"/>
      <c r="K2" s="311"/>
      <c r="L2" s="311"/>
      <c r="M2" s="312"/>
      <c r="N2" s="310" t="s">
        <v>44</v>
      </c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2"/>
      <c r="AA2" s="310" t="s">
        <v>45</v>
      </c>
      <c r="AB2" s="311"/>
      <c r="AC2" s="311"/>
      <c r="AD2" s="311"/>
      <c r="AE2" s="311"/>
      <c r="AF2" s="311"/>
      <c r="AG2" s="311"/>
      <c r="AH2" s="312"/>
      <c r="AI2" s="313" t="s">
        <v>46</v>
      </c>
      <c r="AJ2" s="314"/>
    </row>
    <row r="3" spans="4:36" x14ac:dyDescent="0.3">
      <c r="D3" s="11" t="s">
        <v>47</v>
      </c>
      <c r="E3" s="12" t="s">
        <v>48</v>
      </c>
      <c r="F3" s="308"/>
      <c r="G3" s="13"/>
      <c r="H3" s="14" t="s">
        <v>49</v>
      </c>
      <c r="I3" s="15"/>
      <c r="J3" s="304" t="s">
        <v>50</v>
      </c>
      <c r="K3" s="305"/>
      <c r="L3" s="304" t="s">
        <v>51</v>
      </c>
      <c r="M3" s="305"/>
      <c r="N3" s="304" t="s">
        <v>52</v>
      </c>
      <c r="O3" s="306"/>
      <c r="P3" s="305"/>
      <c r="Q3" s="304" t="s">
        <v>53</v>
      </c>
      <c r="R3" s="306"/>
      <c r="S3" s="305"/>
      <c r="T3" s="302" t="s">
        <v>54</v>
      </c>
      <c r="U3" s="303"/>
      <c r="V3" s="302" t="s">
        <v>55</v>
      </c>
      <c r="W3" s="303"/>
      <c r="X3" s="16" t="s">
        <v>56</v>
      </c>
      <c r="Y3" s="302" t="s">
        <v>57</v>
      </c>
      <c r="Z3" s="303"/>
      <c r="AA3" s="13"/>
      <c r="AB3" s="14" t="s">
        <v>49</v>
      </c>
      <c r="AC3" s="15"/>
      <c r="AD3" s="304" t="s">
        <v>58</v>
      </c>
      <c r="AE3" s="305"/>
      <c r="AF3" s="304" t="s">
        <v>59</v>
      </c>
      <c r="AG3" s="306"/>
      <c r="AH3" s="305"/>
      <c r="AI3" s="315" t="s">
        <v>60</v>
      </c>
      <c r="AJ3" s="315" t="s">
        <v>61</v>
      </c>
    </row>
    <row r="4" spans="4:36" x14ac:dyDescent="0.3">
      <c r="D4" s="17" t="s">
        <v>1</v>
      </c>
      <c r="E4" s="18" t="s">
        <v>62</v>
      </c>
      <c r="F4" s="309"/>
      <c r="G4" s="19" t="s">
        <v>63</v>
      </c>
      <c r="H4" s="20" t="s">
        <v>64</v>
      </c>
      <c r="I4" s="21" t="s">
        <v>65</v>
      </c>
      <c r="J4" s="19" t="s">
        <v>63</v>
      </c>
      <c r="K4" s="21" t="s">
        <v>65</v>
      </c>
      <c r="L4" s="19" t="s">
        <v>63</v>
      </c>
      <c r="M4" s="22" t="s">
        <v>65</v>
      </c>
      <c r="N4" s="23" t="s">
        <v>63</v>
      </c>
      <c r="O4" s="24" t="s">
        <v>64</v>
      </c>
      <c r="P4" s="22" t="s">
        <v>65</v>
      </c>
      <c r="Q4" s="19" t="s">
        <v>63</v>
      </c>
      <c r="R4" s="20" t="s">
        <v>64</v>
      </c>
      <c r="S4" s="22" t="s">
        <v>65</v>
      </c>
      <c r="T4" s="23" t="s">
        <v>63</v>
      </c>
      <c r="U4" s="21" t="s">
        <v>65</v>
      </c>
      <c r="V4" s="23" t="s">
        <v>63</v>
      </c>
      <c r="W4" s="21" t="s">
        <v>65</v>
      </c>
      <c r="X4" s="25" t="s">
        <v>64</v>
      </c>
      <c r="Y4" s="23" t="s">
        <v>64</v>
      </c>
      <c r="Z4" s="21" t="s">
        <v>65</v>
      </c>
      <c r="AA4" s="26" t="s">
        <v>63</v>
      </c>
      <c r="AB4" s="24" t="s">
        <v>64</v>
      </c>
      <c r="AC4" s="22" t="s">
        <v>65</v>
      </c>
      <c r="AD4" s="19" t="s">
        <v>64</v>
      </c>
      <c r="AE4" s="21" t="s">
        <v>65</v>
      </c>
      <c r="AF4" s="23" t="s">
        <v>63</v>
      </c>
      <c r="AG4" s="20" t="s">
        <v>64</v>
      </c>
      <c r="AH4" s="22" t="s">
        <v>65</v>
      </c>
      <c r="AI4" s="316"/>
      <c r="AJ4" s="316"/>
    </row>
    <row r="5" spans="4:36" x14ac:dyDescent="0.3">
      <c r="D5" s="27">
        <v>1979</v>
      </c>
      <c r="E5" s="28">
        <v>183</v>
      </c>
      <c r="F5" s="27">
        <v>2</v>
      </c>
      <c r="G5" s="300" t="s">
        <v>66</v>
      </c>
      <c r="H5" s="301"/>
      <c r="I5" s="301"/>
      <c r="J5" s="29" t="s">
        <v>67</v>
      </c>
      <c r="K5" s="29" t="s">
        <v>67</v>
      </c>
      <c r="L5" s="29" t="s">
        <v>67</v>
      </c>
      <c r="M5" s="30" t="s">
        <v>67</v>
      </c>
      <c r="N5" s="31" t="s">
        <v>67</v>
      </c>
      <c r="O5" s="29" t="s">
        <v>67</v>
      </c>
      <c r="P5" s="29" t="s">
        <v>67</v>
      </c>
      <c r="Q5" s="29" t="s">
        <v>67</v>
      </c>
      <c r="R5" s="32" t="s">
        <v>67</v>
      </c>
      <c r="S5" s="32" t="s">
        <v>67</v>
      </c>
      <c r="T5" s="29" t="s">
        <v>67</v>
      </c>
      <c r="U5" s="29" t="s">
        <v>67</v>
      </c>
      <c r="V5" s="29" t="s">
        <v>67</v>
      </c>
      <c r="W5" s="29" t="s">
        <v>67</v>
      </c>
      <c r="X5" s="29" t="s">
        <v>67</v>
      </c>
      <c r="Y5" s="29" t="s">
        <v>67</v>
      </c>
      <c r="Z5" s="30" t="s">
        <v>67</v>
      </c>
      <c r="AA5" s="31" t="s">
        <v>67</v>
      </c>
      <c r="AB5" s="29" t="s">
        <v>67</v>
      </c>
      <c r="AC5" s="32" t="s">
        <v>67</v>
      </c>
      <c r="AD5" s="32" t="s">
        <v>67</v>
      </c>
      <c r="AE5" s="29" t="s">
        <v>67</v>
      </c>
      <c r="AF5" s="29" t="s">
        <v>67</v>
      </c>
      <c r="AG5" s="29" t="s">
        <v>67</v>
      </c>
      <c r="AH5" s="30" t="s">
        <v>67</v>
      </c>
      <c r="AI5" s="33" t="s">
        <v>67</v>
      </c>
      <c r="AJ5" s="30" t="s">
        <v>67</v>
      </c>
    </row>
    <row r="6" spans="4:36" x14ac:dyDescent="0.3">
      <c r="D6" s="34">
        <v>1980</v>
      </c>
      <c r="E6" s="35">
        <v>295</v>
      </c>
      <c r="F6" s="36" t="s">
        <v>68</v>
      </c>
      <c r="G6" s="37">
        <v>4.7</v>
      </c>
      <c r="H6" s="38">
        <v>0</v>
      </c>
      <c r="I6" s="38">
        <v>0</v>
      </c>
      <c r="J6" s="38">
        <v>4.7</v>
      </c>
      <c r="K6" s="38">
        <v>0</v>
      </c>
      <c r="L6" s="38">
        <v>19.7</v>
      </c>
      <c r="M6" s="39">
        <v>0</v>
      </c>
      <c r="N6" s="37">
        <v>1</v>
      </c>
      <c r="O6" s="38">
        <v>3.4</v>
      </c>
      <c r="P6" s="38">
        <v>0</v>
      </c>
      <c r="Q6" s="38">
        <v>2.7</v>
      </c>
      <c r="R6" s="40">
        <v>0.7</v>
      </c>
      <c r="S6" s="40">
        <v>0</v>
      </c>
      <c r="T6" s="38">
        <v>7.1</v>
      </c>
      <c r="U6" s="38">
        <v>2</v>
      </c>
      <c r="V6" s="38">
        <v>0</v>
      </c>
      <c r="W6" s="38">
        <v>0</v>
      </c>
      <c r="X6" s="38">
        <v>0</v>
      </c>
      <c r="Y6" s="38">
        <v>0.7</v>
      </c>
      <c r="Z6" s="39">
        <v>3.4</v>
      </c>
      <c r="AA6" s="41">
        <v>0</v>
      </c>
      <c r="AB6" s="38">
        <v>0</v>
      </c>
      <c r="AC6" s="40">
        <v>0</v>
      </c>
      <c r="AD6" s="40">
        <v>0</v>
      </c>
      <c r="AE6" s="38">
        <v>0</v>
      </c>
      <c r="AF6" s="38">
        <v>0</v>
      </c>
      <c r="AG6" s="38">
        <v>7.8</v>
      </c>
      <c r="AH6" s="39">
        <v>8.8000000000000007</v>
      </c>
      <c r="AI6" s="42">
        <v>0.3</v>
      </c>
      <c r="AJ6" s="39">
        <v>32.9</v>
      </c>
    </row>
    <row r="7" spans="4:36" x14ac:dyDescent="0.3">
      <c r="D7" s="43">
        <v>1981</v>
      </c>
      <c r="E7" s="44">
        <v>1187</v>
      </c>
      <c r="F7" s="45" t="s">
        <v>69</v>
      </c>
      <c r="G7" s="46">
        <v>7.6</v>
      </c>
      <c r="H7" s="47">
        <v>0</v>
      </c>
      <c r="I7" s="47">
        <v>0</v>
      </c>
      <c r="J7" s="47">
        <v>3.7</v>
      </c>
      <c r="K7" s="47">
        <v>0</v>
      </c>
      <c r="L7" s="47">
        <v>7</v>
      </c>
      <c r="M7" s="48">
        <v>0</v>
      </c>
      <c r="N7" s="46">
        <v>1.6</v>
      </c>
      <c r="O7" s="47">
        <v>0.2</v>
      </c>
      <c r="P7" s="47">
        <v>0</v>
      </c>
      <c r="Q7" s="47">
        <v>0</v>
      </c>
      <c r="R7" s="49">
        <v>0.8</v>
      </c>
      <c r="S7" s="49">
        <v>2.2000000000000002</v>
      </c>
      <c r="T7" s="47">
        <v>1.9</v>
      </c>
      <c r="U7" s="47">
        <v>2.9</v>
      </c>
      <c r="V7" s="47">
        <v>0.6</v>
      </c>
      <c r="W7" s="47">
        <v>0.1</v>
      </c>
      <c r="X7" s="47">
        <v>0</v>
      </c>
      <c r="Y7" s="47">
        <v>0.1</v>
      </c>
      <c r="Z7" s="48">
        <v>0.3</v>
      </c>
      <c r="AA7" s="50">
        <v>0</v>
      </c>
      <c r="AB7" s="47">
        <v>0</v>
      </c>
      <c r="AC7" s="49">
        <v>0</v>
      </c>
      <c r="AD7" s="49">
        <v>0</v>
      </c>
      <c r="AE7" s="47">
        <v>0</v>
      </c>
      <c r="AF7" s="47">
        <v>0</v>
      </c>
      <c r="AG7" s="47">
        <v>3.9</v>
      </c>
      <c r="AH7" s="48">
        <v>12.9</v>
      </c>
      <c r="AI7" s="51">
        <v>2.8</v>
      </c>
      <c r="AJ7" s="48">
        <v>51.6</v>
      </c>
    </row>
    <row r="8" spans="4:36" x14ac:dyDescent="0.3">
      <c r="D8" s="43">
        <v>1982</v>
      </c>
      <c r="E8" s="44">
        <v>969</v>
      </c>
      <c r="F8" s="45" t="s">
        <v>70</v>
      </c>
      <c r="G8" s="46">
        <v>7.6</v>
      </c>
      <c r="H8" s="47">
        <v>0.8</v>
      </c>
      <c r="I8" s="47">
        <v>0.1</v>
      </c>
      <c r="J8" s="47">
        <v>3.3</v>
      </c>
      <c r="K8" s="47">
        <v>0</v>
      </c>
      <c r="L8" s="47">
        <v>11.1</v>
      </c>
      <c r="M8" s="48">
        <v>0</v>
      </c>
      <c r="N8" s="46">
        <v>1.5</v>
      </c>
      <c r="O8" s="47">
        <v>0.7</v>
      </c>
      <c r="P8" s="47">
        <v>0</v>
      </c>
      <c r="Q8" s="47">
        <v>0.4</v>
      </c>
      <c r="R8" s="49">
        <v>0.7</v>
      </c>
      <c r="S8" s="49">
        <v>0</v>
      </c>
      <c r="T8" s="47">
        <v>3.4</v>
      </c>
      <c r="U8" s="47">
        <v>7.6</v>
      </c>
      <c r="V8" s="47">
        <v>1</v>
      </c>
      <c r="W8" s="47">
        <v>0</v>
      </c>
      <c r="X8" s="47">
        <v>0.8</v>
      </c>
      <c r="Y8" s="47">
        <v>0.6</v>
      </c>
      <c r="Z8" s="48">
        <v>0.8</v>
      </c>
      <c r="AA8" s="50">
        <v>0</v>
      </c>
      <c r="AB8" s="47">
        <v>0</v>
      </c>
      <c r="AC8" s="49">
        <v>0</v>
      </c>
      <c r="AD8" s="49">
        <v>0</v>
      </c>
      <c r="AE8" s="47">
        <v>0</v>
      </c>
      <c r="AF8" s="47">
        <v>0</v>
      </c>
      <c r="AG8" s="47">
        <v>4.4000000000000004</v>
      </c>
      <c r="AH8" s="48">
        <v>15.1</v>
      </c>
      <c r="AI8" s="51">
        <v>1.2</v>
      </c>
      <c r="AJ8" s="48">
        <v>38.5</v>
      </c>
    </row>
    <row r="9" spans="4:36" x14ac:dyDescent="0.3">
      <c r="D9" s="34">
        <v>1983</v>
      </c>
      <c r="E9" s="35">
        <v>1079</v>
      </c>
      <c r="F9" s="36" t="s">
        <v>71</v>
      </c>
      <c r="G9" s="37">
        <v>14.8</v>
      </c>
      <c r="H9" s="38">
        <v>0.3</v>
      </c>
      <c r="I9" s="38">
        <v>0</v>
      </c>
      <c r="J9" s="38">
        <v>3.6</v>
      </c>
      <c r="K9" s="38">
        <v>0</v>
      </c>
      <c r="L9" s="38">
        <v>8.1</v>
      </c>
      <c r="M9" s="39">
        <v>0</v>
      </c>
      <c r="N9" s="37">
        <v>3.1</v>
      </c>
      <c r="O9" s="38">
        <v>0</v>
      </c>
      <c r="P9" s="38">
        <v>0</v>
      </c>
      <c r="Q9" s="38">
        <v>0</v>
      </c>
      <c r="R9" s="40">
        <v>0</v>
      </c>
      <c r="S9" s="40">
        <v>0.2</v>
      </c>
      <c r="T9" s="38">
        <v>1.5</v>
      </c>
      <c r="U9" s="38">
        <v>3.3</v>
      </c>
      <c r="V9" s="38">
        <v>0</v>
      </c>
      <c r="W9" s="38">
        <v>0.1</v>
      </c>
      <c r="X9" s="38">
        <v>0</v>
      </c>
      <c r="Y9" s="38">
        <v>0</v>
      </c>
      <c r="Z9" s="39">
        <v>0</v>
      </c>
      <c r="AA9" s="41">
        <v>0</v>
      </c>
      <c r="AB9" s="38">
        <v>0</v>
      </c>
      <c r="AC9" s="40">
        <v>0</v>
      </c>
      <c r="AD9" s="40">
        <v>0</v>
      </c>
      <c r="AE9" s="38">
        <v>0</v>
      </c>
      <c r="AF9" s="38">
        <v>0</v>
      </c>
      <c r="AG9" s="38">
        <v>1.3</v>
      </c>
      <c r="AH9" s="39">
        <v>3.5</v>
      </c>
      <c r="AI9" s="42">
        <v>1.8</v>
      </c>
      <c r="AJ9" s="39">
        <v>58.5</v>
      </c>
    </row>
    <row r="10" spans="4:36" x14ac:dyDescent="0.3">
      <c r="D10" s="34">
        <v>1984</v>
      </c>
      <c r="E10" s="35">
        <v>366</v>
      </c>
      <c r="F10" s="36" t="s">
        <v>72</v>
      </c>
      <c r="G10" s="37">
        <v>9.3000000000000007</v>
      </c>
      <c r="H10" s="38">
        <v>0</v>
      </c>
      <c r="I10" s="38">
        <v>0</v>
      </c>
      <c r="J10" s="38">
        <v>5.5</v>
      </c>
      <c r="K10" s="38">
        <v>0</v>
      </c>
      <c r="L10" s="38">
        <v>3.6</v>
      </c>
      <c r="M10" s="39">
        <v>0</v>
      </c>
      <c r="N10" s="37">
        <v>0.5</v>
      </c>
      <c r="O10" s="38">
        <v>2.2000000000000002</v>
      </c>
      <c r="P10" s="38">
        <v>0</v>
      </c>
      <c r="Q10" s="38">
        <v>0</v>
      </c>
      <c r="R10" s="40">
        <v>0.5</v>
      </c>
      <c r="S10" s="40">
        <v>0</v>
      </c>
      <c r="T10" s="38">
        <v>0.8</v>
      </c>
      <c r="U10" s="38">
        <v>0</v>
      </c>
      <c r="V10" s="38">
        <v>0.3</v>
      </c>
      <c r="W10" s="38">
        <v>0</v>
      </c>
      <c r="X10" s="38">
        <v>0</v>
      </c>
      <c r="Y10" s="38">
        <v>0</v>
      </c>
      <c r="Z10" s="39">
        <v>0</v>
      </c>
      <c r="AA10" s="41">
        <v>0</v>
      </c>
      <c r="AB10" s="38">
        <v>0</v>
      </c>
      <c r="AC10" s="40">
        <v>0</v>
      </c>
      <c r="AD10" s="40">
        <v>0</v>
      </c>
      <c r="AE10" s="38">
        <v>0</v>
      </c>
      <c r="AF10" s="38">
        <v>0</v>
      </c>
      <c r="AG10" s="38">
        <v>13.7</v>
      </c>
      <c r="AH10" s="39">
        <v>9</v>
      </c>
      <c r="AI10" s="42">
        <v>5.2</v>
      </c>
      <c r="AJ10" s="39">
        <v>49.5</v>
      </c>
    </row>
    <row r="11" spans="4:36" x14ac:dyDescent="0.3">
      <c r="D11" s="52">
        <v>1985</v>
      </c>
      <c r="E11" s="53">
        <v>343</v>
      </c>
      <c r="F11" s="54" t="s">
        <v>68</v>
      </c>
      <c r="G11" s="38">
        <v>2.2999999999999998</v>
      </c>
      <c r="H11" s="38">
        <v>0.6</v>
      </c>
      <c r="I11" s="38">
        <v>0</v>
      </c>
      <c r="J11" s="38">
        <v>6.7</v>
      </c>
      <c r="K11" s="38">
        <v>0</v>
      </c>
      <c r="L11" s="38">
        <v>9.9</v>
      </c>
      <c r="M11" s="38">
        <v>0.3</v>
      </c>
      <c r="N11" s="38">
        <v>0.3</v>
      </c>
      <c r="O11" s="38">
        <v>1.5</v>
      </c>
      <c r="P11" s="38">
        <v>0</v>
      </c>
      <c r="Q11" s="38">
        <v>0</v>
      </c>
      <c r="R11" s="40">
        <v>3.8</v>
      </c>
      <c r="S11" s="40">
        <v>0</v>
      </c>
      <c r="T11" s="38">
        <v>0.3</v>
      </c>
      <c r="U11" s="38">
        <v>2</v>
      </c>
      <c r="V11" s="38">
        <v>0.3</v>
      </c>
      <c r="W11" s="38">
        <v>0</v>
      </c>
      <c r="X11" s="38">
        <v>0.6</v>
      </c>
      <c r="Y11" s="38">
        <v>0</v>
      </c>
      <c r="Z11" s="38">
        <v>0</v>
      </c>
      <c r="AA11" s="55">
        <v>0</v>
      </c>
      <c r="AB11" s="38">
        <v>0</v>
      </c>
      <c r="AC11" s="40">
        <v>0</v>
      </c>
      <c r="AD11" s="40">
        <v>0</v>
      </c>
      <c r="AE11" s="38">
        <v>0</v>
      </c>
      <c r="AF11" s="38">
        <v>0</v>
      </c>
      <c r="AG11" s="38">
        <v>14.3</v>
      </c>
      <c r="AH11" s="38">
        <v>20.100000000000001</v>
      </c>
      <c r="AI11" s="40">
        <v>7.9</v>
      </c>
      <c r="AJ11" s="38">
        <v>29.2</v>
      </c>
    </row>
    <row r="12" spans="4:36" x14ac:dyDescent="0.3">
      <c r="D12" s="56">
        <v>1986</v>
      </c>
      <c r="E12" s="57">
        <v>673</v>
      </c>
      <c r="F12" s="58" t="s">
        <v>69</v>
      </c>
      <c r="G12" s="47">
        <v>6.2</v>
      </c>
      <c r="H12" s="47">
        <v>0</v>
      </c>
      <c r="I12" s="47">
        <v>0</v>
      </c>
      <c r="J12" s="47">
        <v>2.5</v>
      </c>
      <c r="K12" s="47">
        <v>0</v>
      </c>
      <c r="L12" s="47">
        <v>8.3000000000000007</v>
      </c>
      <c r="M12" s="47">
        <v>2.5</v>
      </c>
      <c r="N12" s="47">
        <v>2.4</v>
      </c>
      <c r="O12" s="47">
        <v>0.9</v>
      </c>
      <c r="P12" s="47">
        <v>0</v>
      </c>
      <c r="Q12" s="47">
        <v>0</v>
      </c>
      <c r="R12" s="49">
        <v>0</v>
      </c>
      <c r="S12" s="49">
        <v>0</v>
      </c>
      <c r="T12" s="47">
        <v>1.6</v>
      </c>
      <c r="U12" s="47">
        <v>0.6</v>
      </c>
      <c r="V12" s="47">
        <v>1.9</v>
      </c>
      <c r="W12" s="47">
        <v>0</v>
      </c>
      <c r="X12" s="47">
        <v>0</v>
      </c>
      <c r="Y12" s="47">
        <v>0</v>
      </c>
      <c r="Z12" s="47">
        <v>0</v>
      </c>
      <c r="AA12" s="59">
        <v>0</v>
      </c>
      <c r="AB12" s="47">
        <v>0</v>
      </c>
      <c r="AC12" s="49">
        <v>0</v>
      </c>
      <c r="AD12" s="49">
        <v>0</v>
      </c>
      <c r="AE12" s="47">
        <v>0</v>
      </c>
      <c r="AF12" s="47">
        <v>0</v>
      </c>
      <c r="AG12" s="47">
        <v>25.1</v>
      </c>
      <c r="AH12" s="47">
        <v>11.3</v>
      </c>
      <c r="AI12" s="49">
        <v>0.9</v>
      </c>
      <c r="AJ12" s="47">
        <v>35.700000000000003</v>
      </c>
    </row>
    <row r="13" spans="4:36" x14ac:dyDescent="0.3">
      <c r="D13" s="56">
        <v>1987</v>
      </c>
      <c r="E13" s="57">
        <v>1162</v>
      </c>
      <c r="F13" s="58" t="s">
        <v>73</v>
      </c>
      <c r="G13" s="47">
        <v>5.6</v>
      </c>
      <c r="H13" s="47">
        <v>0</v>
      </c>
      <c r="I13" s="47">
        <v>0</v>
      </c>
      <c r="J13" s="47">
        <v>5.5</v>
      </c>
      <c r="K13" s="47">
        <v>0</v>
      </c>
      <c r="L13" s="47">
        <v>9.6999999999999993</v>
      </c>
      <c r="M13" s="47">
        <v>0.9</v>
      </c>
      <c r="N13" s="47">
        <v>1.5</v>
      </c>
      <c r="O13" s="47">
        <v>0</v>
      </c>
      <c r="P13" s="47">
        <v>0</v>
      </c>
      <c r="Q13" s="47">
        <v>0</v>
      </c>
      <c r="R13" s="49">
        <v>0</v>
      </c>
      <c r="S13" s="49">
        <v>0</v>
      </c>
      <c r="T13" s="47">
        <v>1.1000000000000001</v>
      </c>
      <c r="U13" s="47">
        <v>0.9</v>
      </c>
      <c r="V13" s="47">
        <v>1.7</v>
      </c>
      <c r="W13" s="47">
        <v>0</v>
      </c>
      <c r="X13" s="47">
        <v>0.3</v>
      </c>
      <c r="Y13" s="47">
        <v>0</v>
      </c>
      <c r="Z13" s="47">
        <v>0.3</v>
      </c>
      <c r="AA13" s="59">
        <v>0</v>
      </c>
      <c r="AB13" s="47">
        <v>0</v>
      </c>
      <c r="AC13" s="49">
        <v>0</v>
      </c>
      <c r="AD13" s="49">
        <v>0</v>
      </c>
      <c r="AE13" s="47">
        <v>0</v>
      </c>
      <c r="AF13" s="47">
        <v>0</v>
      </c>
      <c r="AG13" s="47">
        <v>23.9</v>
      </c>
      <c r="AH13" s="47">
        <v>5</v>
      </c>
      <c r="AI13" s="49">
        <v>2.2999999999999998</v>
      </c>
      <c r="AJ13" s="47">
        <v>41.2</v>
      </c>
    </row>
    <row r="14" spans="4:36" x14ac:dyDescent="0.3">
      <c r="D14" s="56">
        <v>1988</v>
      </c>
      <c r="E14" s="57">
        <v>984</v>
      </c>
      <c r="F14" s="58" t="s">
        <v>73</v>
      </c>
      <c r="G14" s="47">
        <v>5.3</v>
      </c>
      <c r="H14" s="47">
        <v>0</v>
      </c>
      <c r="I14" s="47">
        <v>0</v>
      </c>
      <c r="J14" s="47">
        <v>3.6</v>
      </c>
      <c r="K14" s="47">
        <v>0</v>
      </c>
      <c r="L14" s="47">
        <v>10.9</v>
      </c>
      <c r="M14" s="47">
        <v>0</v>
      </c>
      <c r="N14" s="47">
        <v>0</v>
      </c>
      <c r="O14" s="47">
        <v>0.5</v>
      </c>
      <c r="P14" s="47">
        <v>0</v>
      </c>
      <c r="Q14" s="47">
        <v>0</v>
      </c>
      <c r="R14" s="49">
        <v>0.1</v>
      </c>
      <c r="S14" s="49">
        <v>0</v>
      </c>
      <c r="T14" s="47">
        <v>3.9</v>
      </c>
      <c r="U14" s="47">
        <v>0.6</v>
      </c>
      <c r="V14" s="47">
        <v>1</v>
      </c>
      <c r="W14" s="47">
        <v>0.4</v>
      </c>
      <c r="X14" s="47">
        <v>0</v>
      </c>
      <c r="Y14" s="47">
        <v>0</v>
      </c>
      <c r="Z14" s="47">
        <v>1.4</v>
      </c>
      <c r="AA14" s="59">
        <v>0</v>
      </c>
      <c r="AB14" s="47">
        <v>0</v>
      </c>
      <c r="AC14" s="49">
        <v>0</v>
      </c>
      <c r="AD14" s="49">
        <v>0</v>
      </c>
      <c r="AE14" s="47">
        <v>0</v>
      </c>
      <c r="AF14" s="47">
        <v>0</v>
      </c>
      <c r="AG14" s="47">
        <v>21.6</v>
      </c>
      <c r="AH14" s="47">
        <v>14.1</v>
      </c>
      <c r="AI14" s="49">
        <v>1.9</v>
      </c>
      <c r="AJ14" s="47">
        <v>34.700000000000003</v>
      </c>
    </row>
    <row r="15" spans="4:36" x14ac:dyDescent="0.3">
      <c r="D15" s="56">
        <v>1989</v>
      </c>
      <c r="E15" s="57">
        <v>1343</v>
      </c>
      <c r="F15" s="58" t="s">
        <v>73</v>
      </c>
      <c r="G15" s="47">
        <v>2.4</v>
      </c>
      <c r="H15" s="47">
        <v>0.7</v>
      </c>
      <c r="I15" s="47">
        <v>0.2</v>
      </c>
      <c r="J15" s="47">
        <v>5.0999999999999996</v>
      </c>
      <c r="K15" s="47">
        <v>0.4</v>
      </c>
      <c r="L15" s="47">
        <v>6</v>
      </c>
      <c r="M15" s="47">
        <v>0</v>
      </c>
      <c r="N15" s="47">
        <v>0.2</v>
      </c>
      <c r="O15" s="47">
        <v>0.7</v>
      </c>
      <c r="P15" s="47">
        <v>0</v>
      </c>
      <c r="Q15" s="47">
        <v>0</v>
      </c>
      <c r="R15" s="49">
        <v>0.8</v>
      </c>
      <c r="S15" s="49">
        <v>0.5</v>
      </c>
      <c r="T15" s="47">
        <v>3.1</v>
      </c>
      <c r="U15" s="47">
        <v>0.7</v>
      </c>
      <c r="V15" s="47">
        <v>2.2999999999999998</v>
      </c>
      <c r="W15" s="47">
        <v>0</v>
      </c>
      <c r="X15" s="47">
        <v>0.2</v>
      </c>
      <c r="Y15" s="47">
        <v>0</v>
      </c>
      <c r="Z15" s="47">
        <v>0</v>
      </c>
      <c r="AA15" s="59">
        <v>0</v>
      </c>
      <c r="AB15" s="47">
        <v>0</v>
      </c>
      <c r="AC15" s="49">
        <v>0</v>
      </c>
      <c r="AD15" s="49">
        <v>0</v>
      </c>
      <c r="AE15" s="47">
        <v>0</v>
      </c>
      <c r="AF15" s="47">
        <v>0</v>
      </c>
      <c r="AG15" s="47">
        <v>8.8000000000000007</v>
      </c>
      <c r="AH15" s="47">
        <v>6.6</v>
      </c>
      <c r="AI15" s="49">
        <v>4.5</v>
      </c>
      <c r="AJ15" s="47">
        <v>56.7</v>
      </c>
    </row>
    <row r="16" spans="4:36" x14ac:dyDescent="0.3">
      <c r="D16" s="56">
        <v>1990</v>
      </c>
      <c r="E16" s="57">
        <v>1203</v>
      </c>
      <c r="F16" s="58" t="s">
        <v>73</v>
      </c>
      <c r="G16" s="47">
        <v>7.3</v>
      </c>
      <c r="H16" s="47">
        <v>0</v>
      </c>
      <c r="I16" s="47">
        <v>0</v>
      </c>
      <c r="J16" s="47">
        <v>1.9</v>
      </c>
      <c r="K16" s="47">
        <v>0</v>
      </c>
      <c r="L16" s="47">
        <v>13.4</v>
      </c>
      <c r="M16" s="47">
        <v>0</v>
      </c>
      <c r="N16" s="47">
        <v>0.4</v>
      </c>
      <c r="O16" s="47">
        <v>0.6</v>
      </c>
      <c r="P16" s="47">
        <v>0.6</v>
      </c>
      <c r="Q16" s="47">
        <v>0</v>
      </c>
      <c r="R16" s="49">
        <v>0</v>
      </c>
      <c r="S16" s="49">
        <v>0.8</v>
      </c>
      <c r="T16" s="47">
        <v>2.7</v>
      </c>
      <c r="U16" s="47">
        <v>1.8</v>
      </c>
      <c r="V16" s="47">
        <v>1.5</v>
      </c>
      <c r="W16" s="47">
        <v>0</v>
      </c>
      <c r="X16" s="47">
        <v>0</v>
      </c>
      <c r="Y16" s="47">
        <v>0</v>
      </c>
      <c r="Z16" s="47">
        <v>1.3</v>
      </c>
      <c r="AA16" s="59">
        <v>0</v>
      </c>
      <c r="AB16" s="47">
        <v>0</v>
      </c>
      <c r="AC16" s="49">
        <v>0</v>
      </c>
      <c r="AD16" s="49">
        <v>0</v>
      </c>
      <c r="AE16" s="47">
        <v>0</v>
      </c>
      <c r="AF16" s="47">
        <v>0</v>
      </c>
      <c r="AG16" s="47">
        <v>3.2</v>
      </c>
      <c r="AH16" s="47">
        <v>2.2000000000000002</v>
      </c>
      <c r="AI16" s="49">
        <v>1.7</v>
      </c>
      <c r="AJ16" s="47">
        <v>60.7</v>
      </c>
    </row>
    <row r="17" spans="4:39" x14ac:dyDescent="0.3">
      <c r="D17" s="56">
        <v>1991</v>
      </c>
      <c r="E17" s="57">
        <v>910</v>
      </c>
      <c r="F17" s="58" t="s">
        <v>73</v>
      </c>
      <c r="G17" s="47">
        <v>7</v>
      </c>
      <c r="H17" s="47">
        <v>0.2</v>
      </c>
      <c r="I17" s="47">
        <v>0</v>
      </c>
      <c r="J17" s="47">
        <v>4.2</v>
      </c>
      <c r="K17" s="47">
        <v>1.2</v>
      </c>
      <c r="L17" s="47">
        <v>6.5</v>
      </c>
      <c r="M17" s="47">
        <v>0</v>
      </c>
      <c r="N17" s="47">
        <v>0.4</v>
      </c>
      <c r="O17" s="47">
        <v>0</v>
      </c>
      <c r="P17" s="47">
        <v>0</v>
      </c>
      <c r="Q17" s="47">
        <v>0</v>
      </c>
      <c r="R17" s="49">
        <v>0.7</v>
      </c>
      <c r="S17" s="49">
        <v>0</v>
      </c>
      <c r="T17" s="47">
        <v>1.3</v>
      </c>
      <c r="U17" s="47">
        <v>0.5</v>
      </c>
      <c r="V17" s="47">
        <v>1.1000000000000001</v>
      </c>
      <c r="W17" s="47">
        <v>0.5</v>
      </c>
      <c r="X17" s="47">
        <v>0</v>
      </c>
      <c r="Y17" s="47">
        <v>0</v>
      </c>
      <c r="Z17" s="47">
        <v>0</v>
      </c>
      <c r="AA17" s="59">
        <v>0</v>
      </c>
      <c r="AB17" s="47">
        <v>0</v>
      </c>
      <c r="AC17" s="49">
        <v>0</v>
      </c>
      <c r="AD17" s="49">
        <v>0</v>
      </c>
      <c r="AE17" s="47">
        <v>0</v>
      </c>
      <c r="AF17" s="47">
        <v>0</v>
      </c>
      <c r="AG17" s="47">
        <v>15.4</v>
      </c>
      <c r="AH17" s="47">
        <v>6</v>
      </c>
      <c r="AI17" s="49">
        <v>1.3</v>
      </c>
      <c r="AJ17" s="47">
        <v>53.5</v>
      </c>
    </row>
    <row r="18" spans="4:39" x14ac:dyDescent="0.3">
      <c r="D18" s="56">
        <v>1992</v>
      </c>
      <c r="E18" s="57">
        <v>572</v>
      </c>
      <c r="F18" s="58" t="s">
        <v>73</v>
      </c>
      <c r="G18" s="47">
        <v>1.9</v>
      </c>
      <c r="H18" s="47">
        <v>0</v>
      </c>
      <c r="I18" s="47">
        <v>0</v>
      </c>
      <c r="J18" s="47">
        <v>4.2</v>
      </c>
      <c r="K18" s="47">
        <v>0</v>
      </c>
      <c r="L18" s="47">
        <v>6.8</v>
      </c>
      <c r="M18" s="47">
        <v>0</v>
      </c>
      <c r="N18" s="47">
        <v>1.9</v>
      </c>
      <c r="O18" s="47">
        <v>0</v>
      </c>
      <c r="P18" s="47">
        <v>0</v>
      </c>
      <c r="Q18" s="47">
        <v>0</v>
      </c>
      <c r="R18" s="49">
        <v>0</v>
      </c>
      <c r="S18" s="49">
        <v>0.9</v>
      </c>
      <c r="T18" s="47">
        <v>1.2</v>
      </c>
      <c r="U18" s="47">
        <v>0.3</v>
      </c>
      <c r="V18" s="47">
        <v>1.9</v>
      </c>
      <c r="W18" s="47">
        <v>0.3</v>
      </c>
      <c r="X18" s="47">
        <v>0</v>
      </c>
      <c r="Y18" s="47">
        <v>0</v>
      </c>
      <c r="Z18" s="47">
        <v>1</v>
      </c>
      <c r="AA18" s="59">
        <v>0</v>
      </c>
      <c r="AB18" s="47">
        <v>0</v>
      </c>
      <c r="AC18" s="49">
        <v>0</v>
      </c>
      <c r="AD18" s="49">
        <v>0</v>
      </c>
      <c r="AE18" s="47">
        <v>0</v>
      </c>
      <c r="AF18" s="47">
        <v>0</v>
      </c>
      <c r="AG18" s="47">
        <v>4.4000000000000004</v>
      </c>
      <c r="AH18" s="47">
        <v>21.9</v>
      </c>
      <c r="AI18" s="49">
        <v>2.2999999999999998</v>
      </c>
      <c r="AJ18" s="47">
        <v>50.9</v>
      </c>
    </row>
    <row r="19" spans="4:39" x14ac:dyDescent="0.3">
      <c r="D19" s="56">
        <v>1993</v>
      </c>
      <c r="E19" s="57">
        <v>404</v>
      </c>
      <c r="F19" s="58" t="s">
        <v>73</v>
      </c>
      <c r="G19" s="47">
        <v>4.2</v>
      </c>
      <c r="H19" s="47">
        <v>0</v>
      </c>
      <c r="I19" s="47">
        <v>1</v>
      </c>
      <c r="J19" s="47">
        <v>5.9</v>
      </c>
      <c r="K19" s="47">
        <v>0</v>
      </c>
      <c r="L19" s="47">
        <v>8.6999999999999993</v>
      </c>
      <c r="M19" s="47">
        <v>0</v>
      </c>
      <c r="N19" s="47">
        <v>0</v>
      </c>
      <c r="O19" s="47">
        <v>0.2</v>
      </c>
      <c r="P19" s="47">
        <v>0</v>
      </c>
      <c r="Q19" s="47">
        <v>0</v>
      </c>
      <c r="R19" s="49">
        <v>1.5</v>
      </c>
      <c r="S19" s="49">
        <v>0</v>
      </c>
      <c r="T19" s="47">
        <v>1.5</v>
      </c>
      <c r="U19" s="47">
        <v>0.5</v>
      </c>
      <c r="V19" s="47">
        <v>0</v>
      </c>
      <c r="W19" s="47">
        <v>0</v>
      </c>
      <c r="X19" s="47">
        <v>0</v>
      </c>
      <c r="Y19" s="47">
        <v>0</v>
      </c>
      <c r="Z19" s="47">
        <v>0</v>
      </c>
      <c r="AA19" s="59">
        <v>0</v>
      </c>
      <c r="AB19" s="47">
        <v>0</v>
      </c>
      <c r="AC19" s="49">
        <v>0</v>
      </c>
      <c r="AD19" s="49">
        <v>0</v>
      </c>
      <c r="AE19" s="47">
        <v>0</v>
      </c>
      <c r="AF19" s="47">
        <v>0</v>
      </c>
      <c r="AG19" s="47">
        <v>6.4</v>
      </c>
      <c r="AH19" s="47">
        <v>8.6999999999999993</v>
      </c>
      <c r="AI19" s="49">
        <v>5.7</v>
      </c>
      <c r="AJ19" s="47">
        <v>55.7</v>
      </c>
    </row>
    <row r="20" spans="4:39" x14ac:dyDescent="0.3">
      <c r="D20" s="56">
        <v>1994</v>
      </c>
      <c r="E20" s="57">
        <v>264</v>
      </c>
      <c r="F20" s="58" t="s">
        <v>73</v>
      </c>
      <c r="G20" s="47">
        <v>8.6999999999999993</v>
      </c>
      <c r="H20" s="47">
        <v>0</v>
      </c>
      <c r="I20" s="47">
        <v>0</v>
      </c>
      <c r="J20" s="47">
        <v>4.9000000000000004</v>
      </c>
      <c r="K20" s="47">
        <v>0</v>
      </c>
      <c r="L20" s="47">
        <v>3.8</v>
      </c>
      <c r="M20" s="47">
        <v>0</v>
      </c>
      <c r="N20" s="47">
        <v>0</v>
      </c>
      <c r="O20" s="47">
        <v>0</v>
      </c>
      <c r="P20" s="47">
        <v>0</v>
      </c>
      <c r="Q20" s="47">
        <v>0</v>
      </c>
      <c r="R20" s="49">
        <v>1.5</v>
      </c>
      <c r="S20" s="49">
        <v>0</v>
      </c>
      <c r="T20" s="47">
        <v>0.8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59">
        <v>0</v>
      </c>
      <c r="AB20" s="47">
        <v>0</v>
      </c>
      <c r="AC20" s="49">
        <v>0</v>
      </c>
      <c r="AD20" s="49">
        <v>0</v>
      </c>
      <c r="AE20" s="47">
        <v>0</v>
      </c>
      <c r="AF20" s="47">
        <v>0</v>
      </c>
      <c r="AG20" s="47">
        <v>1.5</v>
      </c>
      <c r="AH20" s="47">
        <v>0</v>
      </c>
      <c r="AI20" s="49">
        <v>3.8</v>
      </c>
      <c r="AJ20" s="47">
        <v>75</v>
      </c>
    </row>
    <row r="21" spans="4:39" x14ac:dyDescent="0.3">
      <c r="D21" s="56">
        <v>1995</v>
      </c>
      <c r="E21" s="57">
        <v>551</v>
      </c>
      <c r="F21" s="58" t="s">
        <v>73</v>
      </c>
      <c r="G21" s="47">
        <v>7.4</v>
      </c>
      <c r="H21" s="47">
        <v>0</v>
      </c>
      <c r="I21" s="47">
        <v>2.2000000000000002</v>
      </c>
      <c r="J21" s="47">
        <v>4</v>
      </c>
      <c r="K21" s="47">
        <v>0</v>
      </c>
      <c r="L21" s="47">
        <v>6.4</v>
      </c>
      <c r="M21" s="47">
        <v>0</v>
      </c>
      <c r="N21" s="47">
        <v>0</v>
      </c>
      <c r="O21" s="47">
        <v>0.5</v>
      </c>
      <c r="P21" s="47">
        <v>0</v>
      </c>
      <c r="Q21" s="47">
        <v>0</v>
      </c>
      <c r="R21" s="49">
        <v>0</v>
      </c>
      <c r="S21" s="49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59">
        <v>0</v>
      </c>
      <c r="AB21" s="47">
        <v>0</v>
      </c>
      <c r="AC21" s="49">
        <v>0</v>
      </c>
      <c r="AD21" s="49">
        <v>0</v>
      </c>
      <c r="AE21" s="47">
        <v>0</v>
      </c>
      <c r="AF21" s="47">
        <v>0</v>
      </c>
      <c r="AG21" s="47">
        <v>0</v>
      </c>
      <c r="AH21" s="47">
        <v>24.3</v>
      </c>
      <c r="AI21" s="49">
        <v>2.4</v>
      </c>
      <c r="AJ21" s="47">
        <v>52.8</v>
      </c>
    </row>
    <row r="22" spans="4:39" x14ac:dyDescent="0.3">
      <c r="D22" s="56">
        <v>1996</v>
      </c>
      <c r="E22" s="57">
        <v>330</v>
      </c>
      <c r="F22" s="58" t="s">
        <v>73</v>
      </c>
      <c r="G22" s="47">
        <v>9.4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>
        <v>0</v>
      </c>
      <c r="R22" s="49">
        <v>0</v>
      </c>
      <c r="S22" s="49">
        <v>0</v>
      </c>
      <c r="T22" s="47">
        <v>0.6</v>
      </c>
      <c r="U22" s="47">
        <v>0</v>
      </c>
      <c r="V22" s="47">
        <v>2.1</v>
      </c>
      <c r="W22" s="47">
        <v>0</v>
      </c>
      <c r="X22" s="47">
        <v>0</v>
      </c>
      <c r="Y22" s="47">
        <v>0</v>
      </c>
      <c r="Z22" s="47">
        <v>0</v>
      </c>
      <c r="AA22" s="59">
        <v>0</v>
      </c>
      <c r="AB22" s="47">
        <v>0</v>
      </c>
      <c r="AC22" s="49">
        <v>0</v>
      </c>
      <c r="AD22" s="49">
        <v>0</v>
      </c>
      <c r="AE22" s="47">
        <v>0</v>
      </c>
      <c r="AF22" s="47">
        <v>0</v>
      </c>
      <c r="AG22" s="47">
        <v>0.9</v>
      </c>
      <c r="AH22" s="47">
        <v>4.5</v>
      </c>
      <c r="AI22" s="49">
        <v>0.3</v>
      </c>
      <c r="AJ22" s="47">
        <v>82.1</v>
      </c>
    </row>
    <row r="23" spans="4:39" x14ac:dyDescent="0.3">
      <c r="D23" s="56">
        <v>1997</v>
      </c>
      <c r="E23" s="57">
        <v>234</v>
      </c>
      <c r="F23" s="58" t="s">
        <v>70</v>
      </c>
      <c r="G23" s="47">
        <v>15.4</v>
      </c>
      <c r="H23" s="47">
        <v>0</v>
      </c>
      <c r="I23" s="47">
        <v>0</v>
      </c>
      <c r="J23" s="47">
        <v>4.7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9">
        <v>0</v>
      </c>
      <c r="S23" s="49">
        <v>0</v>
      </c>
      <c r="T23" s="47">
        <v>0</v>
      </c>
      <c r="U23" s="47">
        <v>0</v>
      </c>
      <c r="V23" s="47">
        <v>0</v>
      </c>
      <c r="W23" s="47">
        <v>0</v>
      </c>
      <c r="X23" s="47">
        <v>0</v>
      </c>
      <c r="Y23" s="47">
        <v>0</v>
      </c>
      <c r="Z23" s="47">
        <v>0</v>
      </c>
      <c r="AA23" s="59">
        <v>0</v>
      </c>
      <c r="AB23" s="47">
        <v>0</v>
      </c>
      <c r="AC23" s="49">
        <v>0</v>
      </c>
      <c r="AD23" s="49">
        <v>0</v>
      </c>
      <c r="AE23" s="47">
        <v>0</v>
      </c>
      <c r="AF23" s="47">
        <v>0</v>
      </c>
      <c r="AG23" s="47">
        <v>0</v>
      </c>
      <c r="AH23" s="47">
        <v>3</v>
      </c>
      <c r="AI23" s="49">
        <v>0</v>
      </c>
      <c r="AJ23" s="47">
        <v>76.900000000000006</v>
      </c>
      <c r="AM23" s="85" t="s">
        <v>208</v>
      </c>
    </row>
    <row r="24" spans="4:39" x14ac:dyDescent="0.3">
      <c r="D24" s="34">
        <v>1998</v>
      </c>
      <c r="E24" s="35">
        <v>101</v>
      </c>
      <c r="F24" s="36" t="s">
        <v>74</v>
      </c>
      <c r="G24" s="37">
        <v>7.9</v>
      </c>
      <c r="H24" s="38">
        <v>0</v>
      </c>
      <c r="I24" s="38">
        <v>0</v>
      </c>
      <c r="J24" s="38">
        <v>5</v>
      </c>
      <c r="K24" s="38">
        <v>0</v>
      </c>
      <c r="L24" s="38">
        <v>0</v>
      </c>
      <c r="M24" s="39">
        <v>0</v>
      </c>
      <c r="N24" s="37">
        <v>0</v>
      </c>
      <c r="O24" s="38">
        <v>0</v>
      </c>
      <c r="P24" s="38">
        <v>0</v>
      </c>
      <c r="Q24" s="38">
        <v>0</v>
      </c>
      <c r="R24" s="40">
        <v>0</v>
      </c>
      <c r="S24" s="40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9">
        <v>0</v>
      </c>
      <c r="AA24" s="41">
        <v>0</v>
      </c>
      <c r="AB24" s="38">
        <v>0</v>
      </c>
      <c r="AC24" s="40">
        <v>0</v>
      </c>
      <c r="AD24" s="40">
        <v>0</v>
      </c>
      <c r="AE24" s="38">
        <v>0</v>
      </c>
      <c r="AF24" s="38">
        <v>0</v>
      </c>
      <c r="AG24" s="38">
        <v>2</v>
      </c>
      <c r="AH24" s="39">
        <v>2</v>
      </c>
      <c r="AI24" s="42">
        <v>8.9</v>
      </c>
      <c r="AJ24" s="39">
        <v>74.3</v>
      </c>
    </row>
    <row r="25" spans="4:39" x14ac:dyDescent="0.3">
      <c r="D25" s="34">
        <v>1999</v>
      </c>
      <c r="E25" s="35">
        <v>62</v>
      </c>
      <c r="F25" s="36" t="s">
        <v>75</v>
      </c>
      <c r="G25" s="37">
        <v>17.7</v>
      </c>
      <c r="H25" s="38">
        <v>0</v>
      </c>
      <c r="I25" s="38">
        <v>1.6</v>
      </c>
      <c r="J25" s="38">
        <v>8.1</v>
      </c>
      <c r="K25" s="38">
        <v>0</v>
      </c>
      <c r="L25" s="38">
        <v>1.6</v>
      </c>
      <c r="M25" s="39">
        <v>1.6</v>
      </c>
      <c r="N25" s="37">
        <v>0</v>
      </c>
      <c r="O25" s="38">
        <v>0</v>
      </c>
      <c r="P25" s="38">
        <v>0</v>
      </c>
      <c r="Q25" s="38">
        <v>0</v>
      </c>
      <c r="R25" s="40">
        <v>0</v>
      </c>
      <c r="S25" s="40">
        <v>0</v>
      </c>
      <c r="T25" s="38">
        <v>1.6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9">
        <v>0</v>
      </c>
      <c r="AA25" s="41">
        <v>0</v>
      </c>
      <c r="AB25" s="38">
        <v>0</v>
      </c>
      <c r="AC25" s="40">
        <v>0</v>
      </c>
      <c r="AD25" s="40">
        <v>0</v>
      </c>
      <c r="AE25" s="38">
        <v>0</v>
      </c>
      <c r="AF25" s="38">
        <v>0</v>
      </c>
      <c r="AG25" s="38">
        <v>0</v>
      </c>
      <c r="AH25" s="39">
        <v>0</v>
      </c>
      <c r="AI25" s="42">
        <v>1.6</v>
      </c>
      <c r="AJ25" s="39">
        <v>66.099999999999994</v>
      </c>
    </row>
    <row r="26" spans="4:39" x14ac:dyDescent="0.3">
      <c r="D26" s="52">
        <v>2000</v>
      </c>
      <c r="E26" s="53">
        <v>72</v>
      </c>
      <c r="F26" s="54" t="s">
        <v>69</v>
      </c>
      <c r="G26" s="38">
        <v>8.3000000000000007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40">
        <v>0</v>
      </c>
      <c r="S26" s="40">
        <v>0</v>
      </c>
      <c r="T26" s="38">
        <v>1.4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55">
        <v>0</v>
      </c>
      <c r="AB26" s="38">
        <v>0</v>
      </c>
      <c r="AC26" s="40">
        <v>0</v>
      </c>
      <c r="AD26" s="40">
        <v>0</v>
      </c>
      <c r="AE26" s="38">
        <v>0</v>
      </c>
      <c r="AF26" s="38">
        <v>0</v>
      </c>
      <c r="AG26" s="38">
        <v>15.3</v>
      </c>
      <c r="AH26" s="38">
        <v>2.8</v>
      </c>
      <c r="AI26" s="40">
        <v>6.9</v>
      </c>
      <c r="AJ26" s="38">
        <v>65.3</v>
      </c>
    </row>
    <row r="27" spans="4:39" x14ac:dyDescent="0.3">
      <c r="D27" s="56">
        <v>2001</v>
      </c>
      <c r="E27" s="57">
        <v>237</v>
      </c>
      <c r="F27" s="58" t="s">
        <v>73</v>
      </c>
      <c r="G27" s="47">
        <v>5.9</v>
      </c>
      <c r="H27" s="47">
        <v>0</v>
      </c>
      <c r="I27" s="47">
        <v>1.7</v>
      </c>
      <c r="J27" s="47">
        <v>0</v>
      </c>
      <c r="K27" s="47">
        <v>0</v>
      </c>
      <c r="L27" s="47">
        <v>8.9</v>
      </c>
      <c r="M27" s="47">
        <v>3.8</v>
      </c>
      <c r="N27" s="47">
        <v>0</v>
      </c>
      <c r="O27" s="47">
        <v>0</v>
      </c>
      <c r="P27" s="47">
        <v>0</v>
      </c>
      <c r="Q27" s="47">
        <v>0</v>
      </c>
      <c r="R27" s="49">
        <v>0</v>
      </c>
      <c r="S27" s="49">
        <v>0</v>
      </c>
      <c r="T27" s="47">
        <v>5.0999999999999996</v>
      </c>
      <c r="U27" s="47">
        <v>2.1</v>
      </c>
      <c r="V27" s="47">
        <v>1.3</v>
      </c>
      <c r="W27" s="47">
        <v>0.8</v>
      </c>
      <c r="X27" s="47">
        <v>0</v>
      </c>
      <c r="Y27" s="47">
        <v>0</v>
      </c>
      <c r="Z27" s="47">
        <v>0</v>
      </c>
      <c r="AA27" s="59">
        <v>0</v>
      </c>
      <c r="AB27" s="47">
        <v>0</v>
      </c>
      <c r="AC27" s="49">
        <v>0</v>
      </c>
      <c r="AD27" s="49">
        <v>0</v>
      </c>
      <c r="AE27" s="47">
        <v>0</v>
      </c>
      <c r="AF27" s="47">
        <v>0</v>
      </c>
      <c r="AG27" s="47">
        <v>2.1</v>
      </c>
      <c r="AH27" s="47">
        <v>3</v>
      </c>
      <c r="AI27" s="49">
        <v>3</v>
      </c>
      <c r="AJ27" s="47">
        <v>62.4</v>
      </c>
    </row>
    <row r="28" spans="4:39" x14ac:dyDescent="0.3">
      <c r="D28" s="56">
        <v>2002</v>
      </c>
      <c r="E28" s="57">
        <v>389</v>
      </c>
      <c r="F28" s="58" t="s">
        <v>73</v>
      </c>
      <c r="G28" s="47">
        <v>14.9</v>
      </c>
      <c r="H28" s="47">
        <v>0</v>
      </c>
      <c r="I28" s="47">
        <v>1.8</v>
      </c>
      <c r="J28" s="47">
        <v>0</v>
      </c>
      <c r="K28" s="47">
        <v>0</v>
      </c>
      <c r="L28" s="47">
        <v>5.7</v>
      </c>
      <c r="M28" s="47">
        <v>5.7</v>
      </c>
      <c r="N28" s="47">
        <v>0</v>
      </c>
      <c r="O28" s="47">
        <v>0</v>
      </c>
      <c r="P28" s="47">
        <v>0</v>
      </c>
      <c r="Q28" s="47">
        <v>0</v>
      </c>
      <c r="R28" s="49">
        <v>0</v>
      </c>
      <c r="S28" s="49">
        <v>0</v>
      </c>
      <c r="T28" s="47">
        <v>2.8</v>
      </c>
      <c r="U28" s="47">
        <v>2.2999999999999998</v>
      </c>
      <c r="V28" s="47">
        <v>3.6</v>
      </c>
      <c r="W28" s="47">
        <v>0</v>
      </c>
      <c r="X28" s="47">
        <v>0</v>
      </c>
      <c r="Y28" s="47">
        <v>0</v>
      </c>
      <c r="Z28" s="47">
        <v>0</v>
      </c>
      <c r="AA28" s="59">
        <v>0</v>
      </c>
      <c r="AB28" s="47">
        <v>0</v>
      </c>
      <c r="AC28" s="49">
        <v>0</v>
      </c>
      <c r="AD28" s="49">
        <v>0</v>
      </c>
      <c r="AE28" s="47">
        <v>0</v>
      </c>
      <c r="AF28" s="47">
        <v>0</v>
      </c>
      <c r="AG28" s="47">
        <v>4.4000000000000004</v>
      </c>
      <c r="AH28" s="47">
        <v>2.2999999999999998</v>
      </c>
      <c r="AI28" s="49">
        <v>3.9</v>
      </c>
      <c r="AJ28" s="47">
        <v>52.7</v>
      </c>
    </row>
    <row r="29" spans="4:39" x14ac:dyDescent="0.3">
      <c r="D29" s="56">
        <v>2003</v>
      </c>
      <c r="E29" s="57">
        <v>477</v>
      </c>
      <c r="F29" s="58" t="s">
        <v>73</v>
      </c>
      <c r="G29" s="47">
        <v>10.7</v>
      </c>
      <c r="H29" s="47">
        <v>0</v>
      </c>
      <c r="I29" s="47">
        <v>0</v>
      </c>
      <c r="J29" s="47">
        <v>1.7</v>
      </c>
      <c r="K29" s="47">
        <v>1.3</v>
      </c>
      <c r="L29" s="47">
        <v>4.8</v>
      </c>
      <c r="M29" s="47">
        <v>1.3</v>
      </c>
      <c r="N29" s="47">
        <v>0</v>
      </c>
      <c r="O29" s="47">
        <v>0</v>
      </c>
      <c r="P29" s="47">
        <v>0</v>
      </c>
      <c r="Q29" s="47">
        <v>0</v>
      </c>
      <c r="R29" s="49">
        <v>0</v>
      </c>
      <c r="S29" s="49">
        <v>0</v>
      </c>
      <c r="T29" s="47">
        <v>6.1</v>
      </c>
      <c r="U29" s="47">
        <v>1</v>
      </c>
      <c r="V29" s="47">
        <v>4.2</v>
      </c>
      <c r="W29" s="47">
        <v>0</v>
      </c>
      <c r="X29" s="47">
        <v>0</v>
      </c>
      <c r="Y29" s="47">
        <v>0</v>
      </c>
      <c r="Z29" s="47">
        <v>0</v>
      </c>
      <c r="AA29" s="59">
        <v>0</v>
      </c>
      <c r="AB29" s="47">
        <v>0</v>
      </c>
      <c r="AC29" s="49">
        <v>0</v>
      </c>
      <c r="AD29" s="49">
        <v>0</v>
      </c>
      <c r="AE29" s="47">
        <v>0</v>
      </c>
      <c r="AF29" s="47">
        <v>0</v>
      </c>
      <c r="AG29" s="47">
        <v>6.5</v>
      </c>
      <c r="AH29" s="47">
        <v>5.9</v>
      </c>
      <c r="AI29" s="49">
        <v>1.3</v>
      </c>
      <c r="AJ29" s="47">
        <v>55.3</v>
      </c>
    </row>
    <row r="30" spans="4:39" x14ac:dyDescent="0.3">
      <c r="D30" s="56">
        <v>2004</v>
      </c>
      <c r="E30" s="57">
        <v>2172</v>
      </c>
      <c r="F30" s="58" t="s">
        <v>73</v>
      </c>
      <c r="G30" s="47">
        <v>6.6</v>
      </c>
      <c r="H30" s="47">
        <v>0</v>
      </c>
      <c r="I30" s="47">
        <v>0.5</v>
      </c>
      <c r="J30" s="47">
        <v>3.3</v>
      </c>
      <c r="K30" s="47">
        <v>0.5</v>
      </c>
      <c r="L30" s="47">
        <v>2.1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9">
        <v>0</v>
      </c>
      <c r="S30" s="49">
        <v>0.3</v>
      </c>
      <c r="T30" s="47">
        <v>0.6</v>
      </c>
      <c r="U30" s="47">
        <v>0</v>
      </c>
      <c r="V30" s="47">
        <v>0.1</v>
      </c>
      <c r="W30" s="47">
        <v>0.1</v>
      </c>
      <c r="X30" s="47">
        <v>0</v>
      </c>
      <c r="Y30" s="47">
        <v>0</v>
      </c>
      <c r="Z30" s="47">
        <v>0</v>
      </c>
      <c r="AA30" s="59">
        <v>0</v>
      </c>
      <c r="AB30" s="47">
        <v>0</v>
      </c>
      <c r="AC30" s="49">
        <v>0</v>
      </c>
      <c r="AD30" s="49">
        <v>0</v>
      </c>
      <c r="AE30" s="47">
        <v>0</v>
      </c>
      <c r="AF30" s="47">
        <v>0</v>
      </c>
      <c r="AG30" s="47">
        <v>2.5</v>
      </c>
      <c r="AH30" s="47">
        <v>1.9</v>
      </c>
      <c r="AI30" s="49">
        <v>0.4</v>
      </c>
      <c r="AJ30" s="47">
        <v>81.099999999999994</v>
      </c>
    </row>
    <row r="31" spans="4:39" x14ac:dyDescent="0.3">
      <c r="D31" s="56">
        <v>2005</v>
      </c>
      <c r="E31" s="57">
        <v>390</v>
      </c>
      <c r="F31" s="58" t="s">
        <v>73</v>
      </c>
      <c r="G31" s="47">
        <v>4.0999999999999996</v>
      </c>
      <c r="H31" s="47">
        <v>0</v>
      </c>
      <c r="I31" s="47">
        <v>0</v>
      </c>
      <c r="J31" s="47">
        <v>13.1</v>
      </c>
      <c r="K31" s="47">
        <v>7.2</v>
      </c>
      <c r="L31" s="47">
        <v>4.4000000000000004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9">
        <v>0</v>
      </c>
      <c r="S31" s="49">
        <v>0</v>
      </c>
      <c r="T31" s="47">
        <v>1.8</v>
      </c>
      <c r="U31" s="47">
        <v>0.8</v>
      </c>
      <c r="V31" s="47">
        <v>0</v>
      </c>
      <c r="W31" s="47">
        <v>0</v>
      </c>
      <c r="X31" s="47">
        <v>0</v>
      </c>
      <c r="Y31" s="47">
        <v>0</v>
      </c>
      <c r="Z31" s="47">
        <v>0</v>
      </c>
      <c r="AA31" s="59">
        <v>0</v>
      </c>
      <c r="AB31" s="47">
        <v>0</v>
      </c>
      <c r="AC31" s="49">
        <v>0</v>
      </c>
      <c r="AD31" s="49">
        <v>0</v>
      </c>
      <c r="AE31" s="47">
        <v>0</v>
      </c>
      <c r="AF31" s="47">
        <v>0</v>
      </c>
      <c r="AG31" s="47">
        <v>11.5</v>
      </c>
      <c r="AH31" s="47">
        <v>8.6999999999999993</v>
      </c>
      <c r="AI31" s="49">
        <v>0.3</v>
      </c>
      <c r="AJ31" s="47">
        <v>48.2</v>
      </c>
    </row>
    <row r="32" spans="4:39" x14ac:dyDescent="0.3">
      <c r="D32" s="56">
        <v>2006</v>
      </c>
      <c r="E32" s="57">
        <v>590</v>
      </c>
      <c r="F32" s="58" t="s">
        <v>73</v>
      </c>
      <c r="G32" s="47">
        <v>14.6</v>
      </c>
      <c r="H32" s="47">
        <v>0</v>
      </c>
      <c r="I32" s="47">
        <v>0.5</v>
      </c>
      <c r="J32" s="47">
        <v>6.6</v>
      </c>
      <c r="K32" s="47">
        <v>1.7</v>
      </c>
      <c r="L32" s="47">
        <v>8.3000000000000007</v>
      </c>
      <c r="M32" s="47">
        <v>1</v>
      </c>
      <c r="N32" s="47">
        <v>0</v>
      </c>
      <c r="O32" s="47">
        <v>0</v>
      </c>
      <c r="P32" s="47">
        <v>0</v>
      </c>
      <c r="Q32" s="47">
        <v>0</v>
      </c>
      <c r="R32" s="49">
        <v>0</v>
      </c>
      <c r="S32" s="49">
        <v>1.9</v>
      </c>
      <c r="T32" s="47">
        <v>1.2</v>
      </c>
      <c r="U32" s="47">
        <v>0.5</v>
      </c>
      <c r="V32" s="47">
        <v>0.3</v>
      </c>
      <c r="W32" s="47">
        <v>0</v>
      </c>
      <c r="X32" s="47">
        <v>0</v>
      </c>
      <c r="Y32" s="47">
        <v>0</v>
      </c>
      <c r="Z32" s="47">
        <v>0</v>
      </c>
      <c r="AA32" s="59">
        <v>0</v>
      </c>
      <c r="AB32" s="47">
        <v>0</v>
      </c>
      <c r="AC32" s="49">
        <v>0</v>
      </c>
      <c r="AD32" s="49">
        <v>0</v>
      </c>
      <c r="AE32" s="47">
        <v>0</v>
      </c>
      <c r="AF32" s="47">
        <v>0</v>
      </c>
      <c r="AG32" s="47">
        <v>5.6</v>
      </c>
      <c r="AH32" s="47">
        <v>19.2</v>
      </c>
      <c r="AI32" s="49">
        <v>1.4</v>
      </c>
      <c r="AJ32" s="47">
        <v>37.299999999999997</v>
      </c>
    </row>
    <row r="33" spans="4:36" x14ac:dyDescent="0.3">
      <c r="D33" s="56">
        <v>2007</v>
      </c>
      <c r="E33" s="57">
        <v>206</v>
      </c>
      <c r="F33" s="58" t="s">
        <v>73</v>
      </c>
      <c r="G33" s="47">
        <v>37.4</v>
      </c>
      <c r="H33" s="47">
        <v>0</v>
      </c>
      <c r="I33" s="47">
        <v>1</v>
      </c>
      <c r="J33" s="47">
        <v>6.3</v>
      </c>
      <c r="K33" s="47">
        <v>0</v>
      </c>
      <c r="L33" s="47">
        <v>1.9</v>
      </c>
      <c r="M33" s="47">
        <v>0</v>
      </c>
      <c r="N33" s="47">
        <v>0</v>
      </c>
      <c r="O33" s="47">
        <v>0</v>
      </c>
      <c r="P33" s="47">
        <v>0</v>
      </c>
      <c r="Q33" s="47">
        <v>0</v>
      </c>
      <c r="R33" s="49">
        <v>0</v>
      </c>
      <c r="S33" s="49">
        <v>0</v>
      </c>
      <c r="T33" s="47">
        <v>1</v>
      </c>
      <c r="U33" s="47">
        <v>2.9</v>
      </c>
      <c r="V33" s="47">
        <v>5.8</v>
      </c>
      <c r="W33" s="47">
        <v>0</v>
      </c>
      <c r="X33" s="47">
        <v>0</v>
      </c>
      <c r="Y33" s="47">
        <v>0</v>
      </c>
      <c r="Z33" s="47">
        <v>0</v>
      </c>
      <c r="AA33" s="59">
        <v>0</v>
      </c>
      <c r="AB33" s="47">
        <v>0</v>
      </c>
      <c r="AC33" s="49">
        <v>0</v>
      </c>
      <c r="AD33" s="49">
        <v>0</v>
      </c>
      <c r="AE33" s="47">
        <v>0</v>
      </c>
      <c r="AF33" s="47">
        <v>0</v>
      </c>
      <c r="AG33" s="47">
        <v>2.9</v>
      </c>
      <c r="AH33" s="47">
        <v>0</v>
      </c>
      <c r="AI33" s="49">
        <v>1.5</v>
      </c>
      <c r="AJ33" s="47">
        <v>39.299999999999997</v>
      </c>
    </row>
    <row r="34" spans="4:36" x14ac:dyDescent="0.3">
      <c r="D34" s="56">
        <v>2008</v>
      </c>
      <c r="E34" s="57">
        <v>142</v>
      </c>
      <c r="F34" s="58" t="s">
        <v>73</v>
      </c>
      <c r="G34" s="47">
        <v>8.5</v>
      </c>
      <c r="H34" s="47">
        <v>0</v>
      </c>
      <c r="I34" s="47">
        <v>0</v>
      </c>
      <c r="J34" s="47">
        <v>0</v>
      </c>
      <c r="K34" s="47">
        <v>1.4</v>
      </c>
      <c r="L34" s="47">
        <v>12.7</v>
      </c>
      <c r="M34" s="47">
        <v>0</v>
      </c>
      <c r="N34" s="47">
        <v>0</v>
      </c>
      <c r="O34" s="47">
        <v>0</v>
      </c>
      <c r="P34" s="47">
        <v>2.8</v>
      </c>
      <c r="Q34" s="47">
        <v>0</v>
      </c>
      <c r="R34" s="49">
        <v>0</v>
      </c>
      <c r="S34" s="49">
        <v>0</v>
      </c>
      <c r="T34" s="47">
        <v>5.6</v>
      </c>
      <c r="U34" s="47">
        <v>0.7</v>
      </c>
      <c r="V34" s="47">
        <v>0</v>
      </c>
      <c r="W34" s="47">
        <v>0</v>
      </c>
      <c r="X34" s="47">
        <v>0</v>
      </c>
      <c r="Y34" s="47">
        <v>0</v>
      </c>
      <c r="Z34" s="47">
        <v>5.6</v>
      </c>
      <c r="AA34" s="59">
        <v>0</v>
      </c>
      <c r="AB34" s="47">
        <v>0</v>
      </c>
      <c r="AC34" s="49">
        <v>0</v>
      </c>
      <c r="AD34" s="49">
        <v>0</v>
      </c>
      <c r="AE34" s="47">
        <v>0</v>
      </c>
      <c r="AF34" s="47">
        <v>0</v>
      </c>
      <c r="AG34" s="47">
        <v>0</v>
      </c>
      <c r="AH34" s="47">
        <v>4.9000000000000004</v>
      </c>
      <c r="AI34" s="49">
        <v>0</v>
      </c>
      <c r="AJ34" s="47">
        <v>57.7</v>
      </c>
    </row>
    <row r="35" spans="4:36" x14ac:dyDescent="0.3">
      <c r="D35" s="56">
        <v>2009</v>
      </c>
      <c r="E35" s="57">
        <v>176</v>
      </c>
      <c r="F35" s="58" t="s">
        <v>73</v>
      </c>
      <c r="G35" s="47">
        <v>19.899999999999999</v>
      </c>
      <c r="H35" s="47">
        <v>0</v>
      </c>
      <c r="I35" s="47">
        <v>0</v>
      </c>
      <c r="J35" s="47">
        <v>3.4</v>
      </c>
      <c r="K35" s="47">
        <v>2.2999999999999998</v>
      </c>
      <c r="L35" s="47">
        <v>6.3</v>
      </c>
      <c r="M35" s="47">
        <v>19.3</v>
      </c>
      <c r="N35" s="47">
        <v>0</v>
      </c>
      <c r="O35" s="47">
        <v>0</v>
      </c>
      <c r="P35" s="47">
        <v>0</v>
      </c>
      <c r="Q35" s="47">
        <v>0</v>
      </c>
      <c r="R35" s="49">
        <v>0</v>
      </c>
      <c r="S35" s="49">
        <v>1.1000000000000001</v>
      </c>
      <c r="T35" s="47">
        <v>0</v>
      </c>
      <c r="U35" s="47">
        <v>1.1000000000000001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59">
        <v>0</v>
      </c>
      <c r="AB35" s="47">
        <v>0</v>
      </c>
      <c r="AC35" s="49">
        <v>0</v>
      </c>
      <c r="AD35" s="49">
        <v>0</v>
      </c>
      <c r="AE35" s="47">
        <v>0</v>
      </c>
      <c r="AF35" s="47">
        <v>0</v>
      </c>
      <c r="AG35" s="47">
        <v>0.6</v>
      </c>
      <c r="AH35" s="47">
        <v>3.4</v>
      </c>
      <c r="AI35" s="49">
        <v>0</v>
      </c>
      <c r="AJ35" s="47">
        <v>42.6</v>
      </c>
    </row>
    <row r="36" spans="4:36" x14ac:dyDescent="0.3">
      <c r="D36" s="56">
        <v>2010</v>
      </c>
      <c r="E36" s="57">
        <v>200</v>
      </c>
      <c r="F36" s="58" t="s">
        <v>73</v>
      </c>
      <c r="G36" s="47">
        <v>6.5</v>
      </c>
      <c r="H36" s="47">
        <v>0</v>
      </c>
      <c r="I36" s="47">
        <v>0</v>
      </c>
      <c r="J36" s="47">
        <v>5</v>
      </c>
      <c r="K36" s="47">
        <v>2.5</v>
      </c>
      <c r="L36" s="47">
        <v>1.5</v>
      </c>
      <c r="M36" s="47">
        <v>2</v>
      </c>
      <c r="N36" s="47">
        <v>0</v>
      </c>
      <c r="O36" s="47">
        <v>0</v>
      </c>
      <c r="P36" s="47">
        <v>0</v>
      </c>
      <c r="Q36" s="47">
        <v>0</v>
      </c>
      <c r="R36" s="49">
        <v>0</v>
      </c>
      <c r="S36" s="49">
        <v>0</v>
      </c>
      <c r="T36" s="47">
        <v>4</v>
      </c>
      <c r="U36" s="47">
        <v>4.5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59">
        <v>0</v>
      </c>
      <c r="AB36" s="47">
        <v>0</v>
      </c>
      <c r="AC36" s="49">
        <v>0</v>
      </c>
      <c r="AD36" s="49">
        <v>0</v>
      </c>
      <c r="AE36" s="47">
        <v>0</v>
      </c>
      <c r="AF36" s="47">
        <v>0</v>
      </c>
      <c r="AG36" s="47">
        <v>2</v>
      </c>
      <c r="AH36" s="47">
        <v>8</v>
      </c>
      <c r="AI36" s="49">
        <v>0</v>
      </c>
      <c r="AJ36" s="47">
        <v>64</v>
      </c>
    </row>
    <row r="37" spans="4:36" x14ac:dyDescent="0.3">
      <c r="D37" s="56">
        <v>2011</v>
      </c>
      <c r="E37" s="57">
        <v>225</v>
      </c>
      <c r="F37" s="58" t="s">
        <v>73</v>
      </c>
      <c r="G37" s="47">
        <v>12</v>
      </c>
      <c r="H37" s="47">
        <v>0</v>
      </c>
      <c r="I37" s="47">
        <v>1.3</v>
      </c>
      <c r="J37" s="47">
        <v>12.4</v>
      </c>
      <c r="K37" s="47">
        <v>1.3</v>
      </c>
      <c r="L37" s="47">
        <v>4.4000000000000004</v>
      </c>
      <c r="M37" s="47">
        <v>4</v>
      </c>
      <c r="N37" s="47">
        <v>0</v>
      </c>
      <c r="O37" s="47">
        <v>0</v>
      </c>
      <c r="P37" s="47">
        <v>0</v>
      </c>
      <c r="Q37" s="47">
        <v>0</v>
      </c>
      <c r="R37" s="49">
        <v>0</v>
      </c>
      <c r="S37" s="49">
        <v>0</v>
      </c>
      <c r="T37" s="47">
        <v>0.9</v>
      </c>
      <c r="U37" s="47">
        <v>6.2</v>
      </c>
      <c r="V37" s="47">
        <v>2.2000000000000002</v>
      </c>
      <c r="W37" s="47">
        <v>0</v>
      </c>
      <c r="X37" s="47">
        <v>0</v>
      </c>
      <c r="Y37" s="47">
        <v>0</v>
      </c>
      <c r="Z37" s="47">
        <v>0</v>
      </c>
      <c r="AA37" s="59">
        <v>0</v>
      </c>
      <c r="AB37" s="47">
        <v>0</v>
      </c>
      <c r="AC37" s="49">
        <v>0</v>
      </c>
      <c r="AD37" s="49">
        <v>0</v>
      </c>
      <c r="AE37" s="47">
        <v>0</v>
      </c>
      <c r="AF37" s="47">
        <v>0</v>
      </c>
      <c r="AG37" s="47">
        <v>1.8</v>
      </c>
      <c r="AH37" s="47">
        <v>20.9</v>
      </c>
      <c r="AI37" s="49">
        <v>1.8</v>
      </c>
      <c r="AJ37" s="47">
        <v>30.7</v>
      </c>
    </row>
    <row r="38" spans="4:36" x14ac:dyDescent="0.3">
      <c r="D38" s="56">
        <v>2012</v>
      </c>
      <c r="E38" s="57">
        <v>271</v>
      </c>
      <c r="F38" s="58" t="s">
        <v>73</v>
      </c>
      <c r="G38" s="47">
        <v>12.2</v>
      </c>
      <c r="H38" s="47">
        <v>2.2000000000000002</v>
      </c>
      <c r="I38" s="47">
        <v>0.4</v>
      </c>
      <c r="J38" s="47">
        <v>3.3</v>
      </c>
      <c r="K38" s="47">
        <v>3.3</v>
      </c>
      <c r="L38" s="47">
        <v>6.6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9">
        <v>0</v>
      </c>
      <c r="S38" s="49">
        <v>0</v>
      </c>
      <c r="T38" s="47">
        <v>3.7</v>
      </c>
      <c r="U38" s="47">
        <v>1.8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59">
        <v>0</v>
      </c>
      <c r="AB38" s="47">
        <v>0</v>
      </c>
      <c r="AC38" s="49">
        <v>0</v>
      </c>
      <c r="AD38" s="49">
        <v>0</v>
      </c>
      <c r="AE38" s="47">
        <v>0</v>
      </c>
      <c r="AF38" s="47">
        <v>0</v>
      </c>
      <c r="AG38" s="47">
        <v>5.2</v>
      </c>
      <c r="AH38" s="47">
        <v>16.600000000000001</v>
      </c>
      <c r="AI38" s="49">
        <v>1.1000000000000001</v>
      </c>
      <c r="AJ38" s="47">
        <v>43.5</v>
      </c>
    </row>
    <row r="39" spans="4:36" x14ac:dyDescent="0.3">
      <c r="D39" s="56">
        <v>2013</v>
      </c>
      <c r="E39" s="57">
        <v>300</v>
      </c>
      <c r="F39" s="58" t="s">
        <v>73</v>
      </c>
      <c r="G39" s="47">
        <v>1.3</v>
      </c>
      <c r="H39" s="47">
        <v>0</v>
      </c>
      <c r="I39" s="47">
        <v>1</v>
      </c>
      <c r="J39" s="47">
        <v>2.7</v>
      </c>
      <c r="K39" s="47">
        <v>1</v>
      </c>
      <c r="L39" s="47">
        <v>3.7</v>
      </c>
      <c r="M39" s="47">
        <v>1.3</v>
      </c>
      <c r="N39" s="47">
        <v>0</v>
      </c>
      <c r="O39" s="47">
        <v>0</v>
      </c>
      <c r="P39" s="47">
        <v>0</v>
      </c>
      <c r="Q39" s="47">
        <v>0</v>
      </c>
      <c r="R39" s="49">
        <v>0</v>
      </c>
      <c r="S39" s="49">
        <v>0</v>
      </c>
      <c r="T39" s="47">
        <v>1.7</v>
      </c>
      <c r="U39" s="47">
        <v>1.7</v>
      </c>
      <c r="V39" s="47">
        <v>2.2999999999999998</v>
      </c>
      <c r="W39" s="47">
        <v>0</v>
      </c>
      <c r="X39" s="47">
        <v>0</v>
      </c>
      <c r="Y39" s="47">
        <v>0</v>
      </c>
      <c r="Z39" s="47">
        <v>0</v>
      </c>
      <c r="AA39" s="59">
        <v>0</v>
      </c>
      <c r="AB39" s="47">
        <v>0</v>
      </c>
      <c r="AC39" s="49">
        <v>0</v>
      </c>
      <c r="AD39" s="49">
        <v>0</v>
      </c>
      <c r="AE39" s="47">
        <v>0</v>
      </c>
      <c r="AF39" s="47">
        <v>0</v>
      </c>
      <c r="AG39" s="47">
        <v>2</v>
      </c>
      <c r="AH39" s="47">
        <v>35.299999999999997</v>
      </c>
      <c r="AI39" s="49">
        <v>1.3</v>
      </c>
      <c r="AJ39" s="47">
        <v>44.7</v>
      </c>
    </row>
    <row r="40" spans="4:36" x14ac:dyDescent="0.3">
      <c r="D40" s="56">
        <v>2014</v>
      </c>
      <c r="E40" s="57">
        <v>270</v>
      </c>
      <c r="F40" s="58" t="s">
        <v>73</v>
      </c>
      <c r="G40" s="47">
        <v>8.5</v>
      </c>
      <c r="H40" s="47">
        <v>0.4</v>
      </c>
      <c r="I40" s="47">
        <v>0</v>
      </c>
      <c r="J40" s="47">
        <v>6.7</v>
      </c>
      <c r="K40" s="47">
        <v>0</v>
      </c>
      <c r="L40" s="47">
        <v>4.4000000000000004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9">
        <v>0</v>
      </c>
      <c r="S40" s="49">
        <v>2.6</v>
      </c>
      <c r="T40" s="47">
        <v>7.8</v>
      </c>
      <c r="U40" s="47">
        <v>1.5</v>
      </c>
      <c r="V40" s="47">
        <v>8.5</v>
      </c>
      <c r="W40" s="47">
        <v>0</v>
      </c>
      <c r="X40" s="47">
        <v>0</v>
      </c>
      <c r="Y40" s="47">
        <v>0</v>
      </c>
      <c r="Z40" s="47">
        <v>0</v>
      </c>
      <c r="AA40" s="59">
        <v>0</v>
      </c>
      <c r="AB40" s="47">
        <v>0</v>
      </c>
      <c r="AC40" s="49">
        <v>0</v>
      </c>
      <c r="AD40" s="49">
        <v>0</v>
      </c>
      <c r="AE40" s="47">
        <v>0</v>
      </c>
      <c r="AF40" s="47">
        <v>0</v>
      </c>
      <c r="AG40" s="47">
        <v>1.9</v>
      </c>
      <c r="AH40" s="47">
        <v>0</v>
      </c>
      <c r="AI40" s="49">
        <v>0.4</v>
      </c>
      <c r="AJ40" s="47">
        <v>57.4</v>
      </c>
    </row>
    <row r="41" spans="4:36" x14ac:dyDescent="0.3">
      <c r="D41" s="60">
        <v>2015</v>
      </c>
      <c r="E41" s="61" t="s">
        <v>76</v>
      </c>
      <c r="F41" s="62"/>
      <c r="G41" s="61" t="s">
        <v>67</v>
      </c>
      <c r="H41" s="61" t="s">
        <v>67</v>
      </c>
      <c r="I41" s="61" t="s">
        <v>67</v>
      </c>
      <c r="J41" s="61" t="s">
        <v>67</v>
      </c>
      <c r="K41" s="61" t="s">
        <v>67</v>
      </c>
      <c r="L41" s="61" t="s">
        <v>67</v>
      </c>
      <c r="M41" s="61" t="s">
        <v>67</v>
      </c>
      <c r="N41" s="61" t="s">
        <v>67</v>
      </c>
      <c r="O41" s="61" t="s">
        <v>67</v>
      </c>
      <c r="P41" s="61" t="s">
        <v>67</v>
      </c>
      <c r="Q41" s="61" t="s">
        <v>67</v>
      </c>
      <c r="R41" s="63" t="s">
        <v>67</v>
      </c>
      <c r="S41" s="63" t="s">
        <v>67</v>
      </c>
      <c r="T41" s="61" t="s">
        <v>67</v>
      </c>
      <c r="U41" s="61" t="s">
        <v>67</v>
      </c>
      <c r="V41" s="61" t="s">
        <v>67</v>
      </c>
      <c r="W41" s="61" t="s">
        <v>67</v>
      </c>
      <c r="X41" s="61" t="s">
        <v>67</v>
      </c>
      <c r="Y41" s="61" t="s">
        <v>67</v>
      </c>
      <c r="Z41" s="61" t="s">
        <v>67</v>
      </c>
      <c r="AA41" s="61" t="s">
        <v>67</v>
      </c>
      <c r="AB41" s="61" t="s">
        <v>67</v>
      </c>
      <c r="AC41" s="63" t="s">
        <v>67</v>
      </c>
      <c r="AD41" s="63" t="s">
        <v>67</v>
      </c>
      <c r="AE41" s="61" t="s">
        <v>67</v>
      </c>
      <c r="AF41" s="61" t="s">
        <v>67</v>
      </c>
      <c r="AG41" s="61" t="s">
        <v>67</v>
      </c>
      <c r="AH41" s="61" t="s">
        <v>67</v>
      </c>
      <c r="AI41" s="63" t="s">
        <v>67</v>
      </c>
      <c r="AJ41" s="61" t="s">
        <v>67</v>
      </c>
    </row>
    <row r="42" spans="4:36" x14ac:dyDescent="0.3">
      <c r="D42" s="64" t="s">
        <v>77</v>
      </c>
      <c r="E42" s="65">
        <v>1078</v>
      </c>
      <c r="F42" s="66"/>
      <c r="G42" s="67">
        <v>7.6</v>
      </c>
      <c r="H42" s="68">
        <v>0.4</v>
      </c>
      <c r="I42" s="68">
        <v>0.1</v>
      </c>
      <c r="J42" s="68">
        <v>3.5</v>
      </c>
      <c r="K42" s="68">
        <v>0</v>
      </c>
      <c r="L42" s="68">
        <v>9.1</v>
      </c>
      <c r="M42" s="69">
        <v>0</v>
      </c>
      <c r="N42" s="67">
        <v>1.6</v>
      </c>
      <c r="O42" s="68">
        <v>0.4</v>
      </c>
      <c r="P42" s="68">
        <v>0</v>
      </c>
      <c r="Q42" s="68">
        <v>0.2</v>
      </c>
      <c r="R42" s="70">
        <v>0.7</v>
      </c>
      <c r="S42" s="70">
        <v>1.1000000000000001</v>
      </c>
      <c r="T42" s="68">
        <v>2.7</v>
      </c>
      <c r="U42" s="68">
        <v>5.3</v>
      </c>
      <c r="V42" s="68">
        <v>0.8</v>
      </c>
      <c r="W42" s="68">
        <v>0</v>
      </c>
      <c r="X42" s="68">
        <v>0.4</v>
      </c>
      <c r="Y42" s="68">
        <v>0.4</v>
      </c>
      <c r="Z42" s="69">
        <v>0.5</v>
      </c>
      <c r="AA42" s="71">
        <v>0</v>
      </c>
      <c r="AB42" s="68">
        <v>0</v>
      </c>
      <c r="AC42" s="70">
        <v>0</v>
      </c>
      <c r="AD42" s="70">
        <v>0</v>
      </c>
      <c r="AE42" s="68">
        <v>0</v>
      </c>
      <c r="AF42" s="68">
        <v>0</v>
      </c>
      <c r="AG42" s="68">
        <v>4.2</v>
      </c>
      <c r="AH42" s="69">
        <v>14</v>
      </c>
      <c r="AI42" s="72">
        <v>2</v>
      </c>
      <c r="AJ42" s="69">
        <v>45</v>
      </c>
    </row>
    <row r="43" spans="4:36" x14ac:dyDescent="0.3">
      <c r="D43" s="64" t="s">
        <v>78</v>
      </c>
      <c r="E43" s="65">
        <v>807</v>
      </c>
      <c r="F43" s="66"/>
      <c r="G43" s="67">
        <v>5.6</v>
      </c>
      <c r="H43" s="68">
        <v>0.1</v>
      </c>
      <c r="I43" s="68">
        <v>0.3</v>
      </c>
      <c r="J43" s="68">
        <v>4.2</v>
      </c>
      <c r="K43" s="68">
        <v>0.2</v>
      </c>
      <c r="L43" s="68">
        <v>8</v>
      </c>
      <c r="M43" s="69">
        <v>0.3</v>
      </c>
      <c r="N43" s="67">
        <v>0.7</v>
      </c>
      <c r="O43" s="68">
        <v>0.3</v>
      </c>
      <c r="P43" s="68">
        <v>0.1</v>
      </c>
      <c r="Q43" s="68">
        <v>0</v>
      </c>
      <c r="R43" s="70">
        <v>0.5</v>
      </c>
      <c r="S43" s="70">
        <v>0.2</v>
      </c>
      <c r="T43" s="68">
        <v>1.7</v>
      </c>
      <c r="U43" s="68">
        <v>0.6</v>
      </c>
      <c r="V43" s="68">
        <v>1.1000000000000001</v>
      </c>
      <c r="W43" s="68">
        <v>0.1</v>
      </c>
      <c r="X43" s="68">
        <v>0.1</v>
      </c>
      <c r="Y43" s="68">
        <v>0</v>
      </c>
      <c r="Z43" s="69">
        <v>0.4</v>
      </c>
      <c r="AA43" s="71">
        <v>0</v>
      </c>
      <c r="AB43" s="68">
        <v>0</v>
      </c>
      <c r="AC43" s="70">
        <v>0</v>
      </c>
      <c r="AD43" s="70">
        <v>0</v>
      </c>
      <c r="AE43" s="68">
        <v>0</v>
      </c>
      <c r="AF43" s="68">
        <v>0</v>
      </c>
      <c r="AG43" s="68">
        <v>11</v>
      </c>
      <c r="AH43" s="69">
        <v>10</v>
      </c>
      <c r="AI43" s="72">
        <v>2.7</v>
      </c>
      <c r="AJ43" s="69">
        <v>51.7</v>
      </c>
    </row>
    <row r="44" spans="4:36" x14ac:dyDescent="0.3">
      <c r="D44" s="64" t="s">
        <v>79</v>
      </c>
      <c r="E44" s="65">
        <v>282</v>
      </c>
      <c r="F44" s="66"/>
      <c r="G44" s="67">
        <v>12.4</v>
      </c>
      <c r="H44" s="68">
        <v>0</v>
      </c>
      <c r="I44" s="68">
        <v>0</v>
      </c>
      <c r="J44" s="68">
        <v>2.4</v>
      </c>
      <c r="K44" s="68">
        <v>0</v>
      </c>
      <c r="L44" s="68">
        <v>0</v>
      </c>
      <c r="M44" s="69">
        <v>0</v>
      </c>
      <c r="N44" s="67">
        <v>0</v>
      </c>
      <c r="O44" s="68">
        <v>0</v>
      </c>
      <c r="P44" s="68">
        <v>0</v>
      </c>
      <c r="Q44" s="68">
        <v>0</v>
      </c>
      <c r="R44" s="70">
        <v>0</v>
      </c>
      <c r="S44" s="70">
        <v>0</v>
      </c>
      <c r="T44" s="68">
        <v>0.3</v>
      </c>
      <c r="U44" s="68">
        <v>0</v>
      </c>
      <c r="V44" s="68">
        <v>1.1000000000000001</v>
      </c>
      <c r="W44" s="68">
        <v>0</v>
      </c>
      <c r="X44" s="68">
        <v>0</v>
      </c>
      <c r="Y44" s="68">
        <v>0</v>
      </c>
      <c r="Z44" s="69">
        <v>0</v>
      </c>
      <c r="AA44" s="71">
        <v>0</v>
      </c>
      <c r="AB44" s="68">
        <v>0</v>
      </c>
      <c r="AC44" s="70">
        <v>0</v>
      </c>
      <c r="AD44" s="70">
        <v>0</v>
      </c>
      <c r="AE44" s="68">
        <v>0</v>
      </c>
      <c r="AF44" s="68">
        <v>0</v>
      </c>
      <c r="AG44" s="68">
        <v>0.5</v>
      </c>
      <c r="AH44" s="69">
        <v>3.8</v>
      </c>
      <c r="AI44" s="72">
        <v>0.2</v>
      </c>
      <c r="AJ44" s="69">
        <v>79.5</v>
      </c>
    </row>
    <row r="45" spans="4:36" x14ac:dyDescent="0.3">
      <c r="D45" s="64" t="s">
        <v>80</v>
      </c>
      <c r="E45" s="65">
        <v>575</v>
      </c>
      <c r="F45" s="66"/>
      <c r="G45" s="67">
        <v>12.8</v>
      </c>
      <c r="H45" s="68">
        <v>0</v>
      </c>
      <c r="I45" s="68">
        <v>0.7</v>
      </c>
      <c r="J45" s="68">
        <v>3.9</v>
      </c>
      <c r="K45" s="68">
        <v>1.5</v>
      </c>
      <c r="L45" s="68">
        <v>6.1</v>
      </c>
      <c r="M45" s="69">
        <v>1.5</v>
      </c>
      <c r="N45" s="67">
        <v>0</v>
      </c>
      <c r="O45" s="68">
        <v>0</v>
      </c>
      <c r="P45" s="68">
        <v>0.4</v>
      </c>
      <c r="Q45" s="68">
        <v>0</v>
      </c>
      <c r="R45" s="70">
        <v>0</v>
      </c>
      <c r="S45" s="70">
        <v>0.3</v>
      </c>
      <c r="T45" s="68">
        <v>3</v>
      </c>
      <c r="U45" s="68">
        <v>1.3</v>
      </c>
      <c r="V45" s="68">
        <v>1.9</v>
      </c>
      <c r="W45" s="68">
        <v>0.1</v>
      </c>
      <c r="X45" s="68">
        <v>0</v>
      </c>
      <c r="Y45" s="68">
        <v>0</v>
      </c>
      <c r="Z45" s="69">
        <v>0.7</v>
      </c>
      <c r="AA45" s="71">
        <v>0</v>
      </c>
      <c r="AB45" s="68">
        <v>0</v>
      </c>
      <c r="AC45" s="70">
        <v>0</v>
      </c>
      <c r="AD45" s="70">
        <v>0</v>
      </c>
      <c r="AE45" s="68">
        <v>0</v>
      </c>
      <c r="AF45" s="68">
        <v>0</v>
      </c>
      <c r="AG45" s="68">
        <v>4.4000000000000004</v>
      </c>
      <c r="AH45" s="69">
        <v>5.7</v>
      </c>
      <c r="AI45" s="72">
        <v>1.4</v>
      </c>
      <c r="AJ45" s="69">
        <v>54.3</v>
      </c>
    </row>
    <row r="46" spans="4:36" x14ac:dyDescent="0.3">
      <c r="D46" s="64" t="s">
        <v>81</v>
      </c>
      <c r="E46" s="65">
        <v>240</v>
      </c>
      <c r="F46" s="66"/>
      <c r="G46" s="67">
        <v>10.1</v>
      </c>
      <c r="H46" s="68">
        <v>0.4</v>
      </c>
      <c r="I46" s="68">
        <v>0.5</v>
      </c>
      <c r="J46" s="68">
        <v>5.6</v>
      </c>
      <c r="K46" s="68">
        <v>1.7</v>
      </c>
      <c r="L46" s="68">
        <v>4.5</v>
      </c>
      <c r="M46" s="69">
        <v>4.4000000000000004</v>
      </c>
      <c r="N46" s="67">
        <v>0</v>
      </c>
      <c r="O46" s="68">
        <v>0</v>
      </c>
      <c r="P46" s="68">
        <v>0</v>
      </c>
      <c r="Q46" s="68">
        <v>0</v>
      </c>
      <c r="R46" s="70">
        <v>0</v>
      </c>
      <c r="S46" s="70">
        <v>0.6</v>
      </c>
      <c r="T46" s="68">
        <v>3</v>
      </c>
      <c r="U46" s="68">
        <v>2.8</v>
      </c>
      <c r="V46" s="68">
        <v>2.2000000000000002</v>
      </c>
      <c r="W46" s="68">
        <v>0</v>
      </c>
      <c r="X46" s="68">
        <v>0</v>
      </c>
      <c r="Y46" s="68">
        <v>0</v>
      </c>
      <c r="Z46" s="69">
        <v>0</v>
      </c>
      <c r="AA46" s="71">
        <v>0</v>
      </c>
      <c r="AB46" s="68">
        <v>0</v>
      </c>
      <c r="AC46" s="70">
        <v>0</v>
      </c>
      <c r="AD46" s="70">
        <v>0</v>
      </c>
      <c r="AE46" s="68">
        <v>0</v>
      </c>
      <c r="AF46" s="68">
        <v>0</v>
      </c>
      <c r="AG46" s="68">
        <v>2.2000000000000002</v>
      </c>
      <c r="AH46" s="69">
        <v>14</v>
      </c>
      <c r="AI46" s="72">
        <v>0.8</v>
      </c>
      <c r="AJ46" s="69">
        <v>47.1</v>
      </c>
    </row>
    <row r="48" spans="4:36" x14ac:dyDescent="0.3">
      <c r="G48" s="76">
        <f>AVERAGE(G31:G40)</f>
        <v>12.5</v>
      </c>
      <c r="H48" s="76">
        <f t="shared" ref="H48:AJ48" si="0">AVERAGE(H31:H40)</f>
        <v>0.26</v>
      </c>
      <c r="I48" s="76">
        <f t="shared" si="0"/>
        <v>0.41999999999999993</v>
      </c>
      <c r="J48" s="76">
        <f t="shared" si="0"/>
        <v>5.95</v>
      </c>
      <c r="K48" s="76">
        <f t="shared" si="0"/>
        <v>2.0700000000000003</v>
      </c>
      <c r="L48" s="76">
        <f t="shared" si="0"/>
        <v>5.42</v>
      </c>
      <c r="M48" s="76">
        <f t="shared" si="0"/>
        <v>2.7600000000000002</v>
      </c>
      <c r="N48" s="76">
        <f t="shared" si="0"/>
        <v>0</v>
      </c>
      <c r="O48" s="76">
        <f t="shared" si="0"/>
        <v>0</v>
      </c>
      <c r="P48" s="76">
        <f t="shared" si="0"/>
        <v>0.27999999999999997</v>
      </c>
      <c r="Q48" s="76">
        <f t="shared" si="0"/>
        <v>0</v>
      </c>
      <c r="R48" s="76">
        <f t="shared" si="0"/>
        <v>0</v>
      </c>
      <c r="S48" s="76">
        <f t="shared" si="0"/>
        <v>0.55999999999999994</v>
      </c>
      <c r="T48" s="76">
        <f t="shared" si="0"/>
        <v>2.77</v>
      </c>
      <c r="U48" s="76">
        <f t="shared" si="0"/>
        <v>2.17</v>
      </c>
      <c r="V48" s="76">
        <f t="shared" si="0"/>
        <v>1.9100000000000001</v>
      </c>
      <c r="W48" s="76">
        <f t="shared" si="0"/>
        <v>0</v>
      </c>
      <c r="X48" s="76">
        <f t="shared" si="0"/>
        <v>0</v>
      </c>
      <c r="Y48" s="76">
        <f t="shared" si="0"/>
        <v>0</v>
      </c>
      <c r="Z48" s="76">
        <f t="shared" si="0"/>
        <v>0.55999999999999994</v>
      </c>
      <c r="AA48" s="76">
        <f t="shared" si="0"/>
        <v>0</v>
      </c>
      <c r="AB48" s="76">
        <f t="shared" si="0"/>
        <v>0</v>
      </c>
      <c r="AC48" s="76">
        <f t="shared" si="0"/>
        <v>0</v>
      </c>
      <c r="AD48" s="76">
        <f t="shared" si="0"/>
        <v>0</v>
      </c>
      <c r="AE48" s="76">
        <f t="shared" si="0"/>
        <v>0</v>
      </c>
      <c r="AF48" s="76">
        <f t="shared" si="0"/>
        <v>0</v>
      </c>
      <c r="AG48" s="76">
        <f t="shared" si="0"/>
        <v>3.35</v>
      </c>
      <c r="AH48" s="76">
        <f t="shared" si="0"/>
        <v>11.7</v>
      </c>
      <c r="AI48" s="76">
        <f t="shared" si="0"/>
        <v>0.78</v>
      </c>
      <c r="AJ48" s="76">
        <f t="shared" si="0"/>
        <v>46.54</v>
      </c>
    </row>
    <row r="50" spans="4:37" x14ac:dyDescent="0.3">
      <c r="F50" s="2" t="s">
        <v>22</v>
      </c>
      <c r="I50" s="76">
        <f>SUM(G48:I48)</f>
        <v>13.18</v>
      </c>
    </row>
    <row r="51" spans="4:37" x14ac:dyDescent="0.3">
      <c r="F51" s="2" t="s">
        <v>23</v>
      </c>
      <c r="I51" s="76">
        <f>SUM(J48:S48)</f>
        <v>17.04</v>
      </c>
    </row>
    <row r="52" spans="4:37" x14ac:dyDescent="0.3">
      <c r="F52" s="2" t="s">
        <v>24</v>
      </c>
      <c r="I52" s="76">
        <f>SUM(T48:Z48)</f>
        <v>7.4099999999999993</v>
      </c>
    </row>
    <row r="53" spans="4:37" x14ac:dyDescent="0.3">
      <c r="F53" s="4" t="s">
        <v>25</v>
      </c>
      <c r="I53" s="76">
        <f>AH48</f>
        <v>11.7</v>
      </c>
    </row>
    <row r="54" spans="4:37" x14ac:dyDescent="0.3">
      <c r="F54" s="4" t="s">
        <v>26</v>
      </c>
      <c r="I54" s="76">
        <f>AG48</f>
        <v>3.35</v>
      </c>
    </row>
    <row r="55" spans="4:37" x14ac:dyDescent="0.3">
      <c r="F55" s="2"/>
    </row>
    <row r="56" spans="4:37" x14ac:dyDescent="0.3">
      <c r="I56" s="76">
        <f>SUM(I50:I54)</f>
        <v>52.68</v>
      </c>
    </row>
    <row r="57" spans="4:37" x14ac:dyDescent="0.3">
      <c r="D57" t="s">
        <v>204</v>
      </c>
      <c r="I57" s="76"/>
    </row>
    <row r="58" spans="4:37" ht="15" thickBot="1" x14ac:dyDescent="0.35">
      <c r="D58" t="s">
        <v>206</v>
      </c>
    </row>
    <row r="59" spans="4:37" x14ac:dyDescent="0.3">
      <c r="D59" s="317" t="s">
        <v>200</v>
      </c>
      <c r="E59" s="104" t="s">
        <v>41</v>
      </c>
      <c r="F59" s="320" t="s">
        <v>42</v>
      </c>
      <c r="G59" s="324" t="s">
        <v>201</v>
      </c>
      <c r="H59" s="326" t="s">
        <v>201</v>
      </c>
      <c r="I59" s="326" t="s">
        <v>43</v>
      </c>
      <c r="J59" s="326"/>
      <c r="K59" s="326"/>
      <c r="L59" s="326" t="s">
        <v>201</v>
      </c>
      <c r="M59" s="330" t="s">
        <v>201</v>
      </c>
      <c r="N59" s="324" t="s">
        <v>201</v>
      </c>
      <c r="O59" s="326" t="s">
        <v>201</v>
      </c>
      <c r="P59" s="326" t="s">
        <v>201</v>
      </c>
      <c r="Q59" s="326" t="s">
        <v>201</v>
      </c>
      <c r="R59" s="326" t="s">
        <v>201</v>
      </c>
      <c r="S59" s="332" t="s">
        <v>44</v>
      </c>
      <c r="T59" s="332"/>
      <c r="U59" s="332"/>
      <c r="V59" s="326" t="s">
        <v>201</v>
      </c>
      <c r="W59" s="326" t="s">
        <v>201</v>
      </c>
      <c r="X59" s="326" t="s">
        <v>201</v>
      </c>
      <c r="Y59" s="326" t="s">
        <v>201</v>
      </c>
      <c r="Z59" s="330" t="s">
        <v>201</v>
      </c>
      <c r="AA59" s="324" t="s">
        <v>201</v>
      </c>
      <c r="AB59" s="326" t="s">
        <v>201</v>
      </c>
      <c r="AC59" s="326" t="s">
        <v>201</v>
      </c>
      <c r="AD59" s="334" t="s">
        <v>45</v>
      </c>
      <c r="AE59" s="334"/>
      <c r="AF59" s="334"/>
      <c r="AG59" s="326" t="s">
        <v>201</v>
      </c>
      <c r="AH59" s="330" t="s">
        <v>201</v>
      </c>
      <c r="AI59" s="336" t="s">
        <v>46</v>
      </c>
      <c r="AJ59" s="337"/>
    </row>
    <row r="60" spans="4:37" ht="15" thickBot="1" x14ac:dyDescent="0.35">
      <c r="D60" s="318"/>
      <c r="E60" s="105" t="s">
        <v>48</v>
      </c>
      <c r="F60" s="321"/>
      <c r="G60" s="325"/>
      <c r="H60" s="327"/>
      <c r="I60" s="327"/>
      <c r="J60" s="327"/>
      <c r="K60" s="327"/>
      <c r="L60" s="327"/>
      <c r="M60" s="331"/>
      <c r="N60" s="325"/>
      <c r="O60" s="327"/>
      <c r="P60" s="327"/>
      <c r="Q60" s="327"/>
      <c r="R60" s="327"/>
      <c r="S60" s="333"/>
      <c r="T60" s="333"/>
      <c r="U60" s="333"/>
      <c r="V60" s="327"/>
      <c r="W60" s="327"/>
      <c r="X60" s="327"/>
      <c r="Y60" s="327"/>
      <c r="Z60" s="331"/>
      <c r="AA60" s="325"/>
      <c r="AB60" s="327"/>
      <c r="AC60" s="327"/>
      <c r="AD60" s="335"/>
      <c r="AE60" s="335"/>
      <c r="AF60" s="335"/>
      <c r="AG60" s="327"/>
      <c r="AH60" s="331"/>
      <c r="AI60" s="338"/>
      <c r="AJ60" s="339"/>
    </row>
    <row r="61" spans="4:37" x14ac:dyDescent="0.3">
      <c r="D61" s="318"/>
      <c r="E61" s="106" t="s">
        <v>62</v>
      </c>
      <c r="F61" s="322"/>
      <c r="G61" s="328" t="s">
        <v>49</v>
      </c>
      <c r="H61" s="329"/>
      <c r="I61" s="329"/>
      <c r="J61" s="329" t="s">
        <v>50</v>
      </c>
      <c r="K61" s="329"/>
      <c r="L61" s="329" t="s">
        <v>51</v>
      </c>
      <c r="M61" s="329"/>
      <c r="N61" s="328" t="s">
        <v>52</v>
      </c>
      <c r="O61" s="329"/>
      <c r="P61" s="329"/>
      <c r="Q61" s="328" t="s">
        <v>53</v>
      </c>
      <c r="R61" s="329"/>
      <c r="S61" s="329"/>
      <c r="T61" s="328" t="s">
        <v>54</v>
      </c>
      <c r="U61" s="329"/>
      <c r="V61" s="328" t="s">
        <v>55</v>
      </c>
      <c r="W61" s="329"/>
      <c r="X61" s="107" t="s">
        <v>56</v>
      </c>
      <c r="Y61" s="328" t="s">
        <v>57</v>
      </c>
      <c r="Z61" s="329"/>
      <c r="AA61" s="328" t="s">
        <v>49</v>
      </c>
      <c r="AB61" s="329"/>
      <c r="AC61" s="329"/>
      <c r="AD61" s="328" t="s">
        <v>58</v>
      </c>
      <c r="AE61" s="329"/>
      <c r="AF61" s="328" t="s">
        <v>59</v>
      </c>
      <c r="AG61" s="329"/>
      <c r="AH61" s="329"/>
      <c r="AI61" s="342" t="s">
        <v>60</v>
      </c>
      <c r="AJ61" s="340" t="s">
        <v>61</v>
      </c>
      <c r="AK61" t="s">
        <v>202</v>
      </c>
    </row>
    <row r="62" spans="4:37" ht="15" thickBot="1" x14ac:dyDescent="0.35">
      <c r="D62" s="319"/>
      <c r="E62" s="108"/>
      <c r="F62" s="323"/>
      <c r="G62" s="109" t="s">
        <v>63</v>
      </c>
      <c r="H62" s="110" t="s">
        <v>64</v>
      </c>
      <c r="I62" s="110" t="s">
        <v>65</v>
      </c>
      <c r="J62" s="110" t="s">
        <v>63</v>
      </c>
      <c r="K62" s="110" t="s">
        <v>65</v>
      </c>
      <c r="L62" s="110" t="s">
        <v>63</v>
      </c>
      <c r="M62" s="111" t="s">
        <v>65</v>
      </c>
      <c r="N62" s="109" t="s">
        <v>63</v>
      </c>
      <c r="O62" s="112" t="s">
        <v>64</v>
      </c>
      <c r="P62" s="112" t="s">
        <v>65</v>
      </c>
      <c r="Q62" s="112" t="s">
        <v>63</v>
      </c>
      <c r="R62" s="112" t="s">
        <v>64</v>
      </c>
      <c r="S62" s="112" t="s">
        <v>65</v>
      </c>
      <c r="T62" s="112" t="s">
        <v>63</v>
      </c>
      <c r="U62" s="112" t="s">
        <v>65</v>
      </c>
      <c r="V62" s="112" t="s">
        <v>63</v>
      </c>
      <c r="W62" s="112" t="s">
        <v>65</v>
      </c>
      <c r="X62" s="112" t="s">
        <v>64</v>
      </c>
      <c r="Y62" s="112" t="s">
        <v>64</v>
      </c>
      <c r="Z62" s="113" t="s">
        <v>65</v>
      </c>
      <c r="AA62" s="109" t="s">
        <v>63</v>
      </c>
      <c r="AB62" s="112" t="s">
        <v>64</v>
      </c>
      <c r="AC62" s="112" t="s">
        <v>65</v>
      </c>
      <c r="AD62" s="112" t="s">
        <v>64</v>
      </c>
      <c r="AE62" s="112" t="s">
        <v>65</v>
      </c>
      <c r="AF62" s="112" t="s">
        <v>63</v>
      </c>
      <c r="AG62" s="112" t="s">
        <v>64</v>
      </c>
      <c r="AH62" s="113" t="s">
        <v>65</v>
      </c>
      <c r="AI62" s="343"/>
      <c r="AJ62" s="341"/>
      <c r="AK62" s="5" t="s">
        <v>203</v>
      </c>
    </row>
    <row r="63" spans="4:37" x14ac:dyDescent="0.3">
      <c r="D63" s="114">
        <v>1985</v>
      </c>
      <c r="E63" s="115">
        <v>343</v>
      </c>
      <c r="F63" s="115" t="s">
        <v>68</v>
      </c>
      <c r="G63" s="116">
        <v>2.2999999999999998</v>
      </c>
      <c r="H63" s="116">
        <v>0.6</v>
      </c>
      <c r="I63" s="116">
        <v>0</v>
      </c>
      <c r="J63" s="116">
        <v>6.7</v>
      </c>
      <c r="K63" s="116">
        <v>0</v>
      </c>
      <c r="L63" s="116">
        <v>9.9</v>
      </c>
      <c r="M63" s="117">
        <v>0.3</v>
      </c>
      <c r="N63" s="116">
        <v>0.3</v>
      </c>
      <c r="O63" s="116">
        <v>1.5</v>
      </c>
      <c r="P63" s="116">
        <v>0</v>
      </c>
      <c r="Q63" s="116">
        <v>0</v>
      </c>
      <c r="R63" s="116">
        <v>3.8</v>
      </c>
      <c r="S63" s="116">
        <v>0</v>
      </c>
      <c r="T63" s="116">
        <v>0.3</v>
      </c>
      <c r="U63" s="116">
        <v>2</v>
      </c>
      <c r="V63" s="116">
        <v>0.3</v>
      </c>
      <c r="W63" s="116">
        <v>0</v>
      </c>
      <c r="X63" s="116">
        <v>0</v>
      </c>
      <c r="Y63" s="116">
        <v>0.6</v>
      </c>
      <c r="Z63" s="117">
        <v>0</v>
      </c>
      <c r="AA63" s="116">
        <v>0</v>
      </c>
      <c r="AB63" s="116">
        <v>0</v>
      </c>
      <c r="AC63" s="116">
        <v>0</v>
      </c>
      <c r="AD63" s="116">
        <v>0</v>
      </c>
      <c r="AE63" s="116">
        <v>0</v>
      </c>
      <c r="AF63" s="116">
        <v>0</v>
      </c>
      <c r="AG63" s="116">
        <v>14.3</v>
      </c>
      <c r="AH63" s="117">
        <v>20.100000000000001</v>
      </c>
      <c r="AI63" s="116">
        <v>7.9</v>
      </c>
      <c r="AJ63" s="117">
        <v>29.2</v>
      </c>
    </row>
    <row r="64" spans="4:37" x14ac:dyDescent="0.3">
      <c r="D64" s="118">
        <v>1986</v>
      </c>
      <c r="E64" s="119">
        <v>673</v>
      </c>
      <c r="F64" s="119" t="s">
        <v>69</v>
      </c>
      <c r="G64" s="120">
        <v>6.2</v>
      </c>
      <c r="H64" s="120">
        <v>0</v>
      </c>
      <c r="I64" s="120">
        <v>0</v>
      </c>
      <c r="J64" s="120">
        <v>2.5</v>
      </c>
      <c r="K64" s="120">
        <v>0</v>
      </c>
      <c r="L64" s="120">
        <v>8.3000000000000007</v>
      </c>
      <c r="M64" s="121">
        <v>2.5</v>
      </c>
      <c r="N64" s="120">
        <v>2.4</v>
      </c>
      <c r="O64" s="120">
        <v>0.9</v>
      </c>
      <c r="P64" s="120">
        <v>0</v>
      </c>
      <c r="Q64" s="120">
        <v>0</v>
      </c>
      <c r="R64" s="120">
        <v>0</v>
      </c>
      <c r="S64" s="120">
        <v>0</v>
      </c>
      <c r="T64" s="120">
        <v>1.6</v>
      </c>
      <c r="U64" s="120">
        <v>0.6</v>
      </c>
      <c r="V64" s="120">
        <v>1.9</v>
      </c>
      <c r="W64" s="120">
        <v>0</v>
      </c>
      <c r="X64" s="120">
        <v>0</v>
      </c>
      <c r="Y64" s="120">
        <v>0</v>
      </c>
      <c r="Z64" s="121">
        <v>0</v>
      </c>
      <c r="AA64" s="120">
        <v>0</v>
      </c>
      <c r="AB64" s="120">
        <v>0</v>
      </c>
      <c r="AC64" s="120">
        <v>0</v>
      </c>
      <c r="AD64" s="120">
        <v>0</v>
      </c>
      <c r="AE64" s="120">
        <v>0</v>
      </c>
      <c r="AF64" s="120">
        <v>0</v>
      </c>
      <c r="AG64" s="120">
        <v>25.1</v>
      </c>
      <c r="AH64" s="121">
        <v>11.3</v>
      </c>
      <c r="AI64" s="120">
        <v>0.9</v>
      </c>
      <c r="AJ64" s="121">
        <v>35.700000000000003</v>
      </c>
    </row>
    <row r="65" spans="4:36" x14ac:dyDescent="0.3">
      <c r="D65" s="118">
        <v>1987</v>
      </c>
      <c r="E65" s="119">
        <v>1163</v>
      </c>
      <c r="F65" s="119" t="s">
        <v>73</v>
      </c>
      <c r="G65" s="120">
        <v>5.6</v>
      </c>
      <c r="H65" s="120">
        <v>0</v>
      </c>
      <c r="I65" s="120">
        <v>0</v>
      </c>
      <c r="J65" s="120">
        <v>5.5</v>
      </c>
      <c r="K65" s="120">
        <v>0</v>
      </c>
      <c r="L65" s="120">
        <v>9.6999999999999993</v>
      </c>
      <c r="M65" s="121">
        <v>1</v>
      </c>
      <c r="N65" s="120">
        <v>1.5</v>
      </c>
      <c r="O65" s="120">
        <v>0</v>
      </c>
      <c r="P65" s="120">
        <v>0</v>
      </c>
      <c r="Q65" s="120">
        <v>0</v>
      </c>
      <c r="R65" s="120">
        <v>0</v>
      </c>
      <c r="S65" s="120">
        <v>0</v>
      </c>
      <c r="T65" s="120">
        <v>1.1000000000000001</v>
      </c>
      <c r="U65" s="120">
        <v>0.9</v>
      </c>
      <c r="V65" s="120">
        <v>1.7</v>
      </c>
      <c r="W65" s="120">
        <v>0</v>
      </c>
      <c r="X65" s="120">
        <v>0.3</v>
      </c>
      <c r="Y65" s="120">
        <v>0</v>
      </c>
      <c r="Z65" s="121">
        <v>0.3</v>
      </c>
      <c r="AA65" s="120">
        <v>0</v>
      </c>
      <c r="AB65" s="120">
        <v>0</v>
      </c>
      <c r="AC65" s="120">
        <v>0</v>
      </c>
      <c r="AD65" s="120">
        <v>0</v>
      </c>
      <c r="AE65" s="120">
        <v>0</v>
      </c>
      <c r="AF65" s="120">
        <v>0</v>
      </c>
      <c r="AG65" s="120">
        <v>23.9</v>
      </c>
      <c r="AH65" s="121">
        <v>5</v>
      </c>
      <c r="AI65" s="120">
        <v>2.2999999999999998</v>
      </c>
      <c r="AJ65" s="121">
        <v>41.2</v>
      </c>
    </row>
    <row r="66" spans="4:36" x14ac:dyDescent="0.3">
      <c r="D66" s="118">
        <v>1988</v>
      </c>
      <c r="E66" s="119">
        <v>984</v>
      </c>
      <c r="F66" s="119" t="s">
        <v>73</v>
      </c>
      <c r="G66" s="120">
        <v>5.3</v>
      </c>
      <c r="H66" s="120">
        <v>0</v>
      </c>
      <c r="I66" s="120">
        <v>0</v>
      </c>
      <c r="J66" s="120">
        <v>3.6</v>
      </c>
      <c r="K66" s="120">
        <v>0</v>
      </c>
      <c r="L66" s="120">
        <v>10.9</v>
      </c>
      <c r="M66" s="121">
        <v>0</v>
      </c>
      <c r="N66" s="120">
        <v>0</v>
      </c>
      <c r="O66" s="120">
        <v>0.5</v>
      </c>
      <c r="P66" s="120">
        <v>0</v>
      </c>
      <c r="Q66" s="120">
        <v>0</v>
      </c>
      <c r="R66" s="120">
        <v>0.1</v>
      </c>
      <c r="S66" s="120">
        <v>0</v>
      </c>
      <c r="T66" s="120">
        <v>3.9</v>
      </c>
      <c r="U66" s="120">
        <v>0.6</v>
      </c>
      <c r="V66" s="120">
        <v>1</v>
      </c>
      <c r="W66" s="120">
        <v>0.4</v>
      </c>
      <c r="X66" s="120">
        <v>0</v>
      </c>
      <c r="Y66" s="120">
        <v>0</v>
      </c>
      <c r="Z66" s="121">
        <v>1.4</v>
      </c>
      <c r="AA66" s="120">
        <v>0</v>
      </c>
      <c r="AB66" s="120">
        <v>0</v>
      </c>
      <c r="AC66" s="120">
        <v>0</v>
      </c>
      <c r="AD66" s="120">
        <v>0</v>
      </c>
      <c r="AE66" s="120">
        <v>0</v>
      </c>
      <c r="AF66" s="120">
        <v>0</v>
      </c>
      <c r="AG66" s="120">
        <v>21.6</v>
      </c>
      <c r="AH66" s="121">
        <v>14.1</v>
      </c>
      <c r="AI66" s="120">
        <v>1.9</v>
      </c>
      <c r="AJ66" s="121">
        <v>34.700000000000003</v>
      </c>
    </row>
    <row r="67" spans="4:36" x14ac:dyDescent="0.3">
      <c r="D67" s="118">
        <v>1989</v>
      </c>
      <c r="E67" s="119">
        <v>1343</v>
      </c>
      <c r="F67" s="119" t="s">
        <v>73</v>
      </c>
      <c r="G67" s="120">
        <v>2.4</v>
      </c>
      <c r="H67" s="120">
        <v>0.7</v>
      </c>
      <c r="I67" s="120">
        <v>0.2</v>
      </c>
      <c r="J67" s="120">
        <v>5.0999999999999996</v>
      </c>
      <c r="K67" s="120">
        <v>0.4</v>
      </c>
      <c r="L67" s="120">
        <v>6</v>
      </c>
      <c r="M67" s="121">
        <v>0</v>
      </c>
      <c r="N67" s="120">
        <v>0.2</v>
      </c>
      <c r="O67" s="120">
        <v>0.7</v>
      </c>
      <c r="P67" s="120">
        <v>0</v>
      </c>
      <c r="Q67" s="120">
        <v>0</v>
      </c>
      <c r="R67" s="120">
        <v>0.8</v>
      </c>
      <c r="S67" s="120">
        <v>0.5</v>
      </c>
      <c r="T67" s="120">
        <v>3.1</v>
      </c>
      <c r="U67" s="120">
        <v>0.7</v>
      </c>
      <c r="V67" s="120">
        <v>2.2999999999999998</v>
      </c>
      <c r="W67" s="120">
        <v>0</v>
      </c>
      <c r="X67" s="120">
        <v>0.2</v>
      </c>
      <c r="Y67" s="120">
        <v>0</v>
      </c>
      <c r="Z67" s="121">
        <v>0</v>
      </c>
      <c r="AA67" s="120">
        <v>0</v>
      </c>
      <c r="AB67" s="120">
        <v>0</v>
      </c>
      <c r="AC67" s="120">
        <v>0</v>
      </c>
      <c r="AD67" s="120">
        <v>0</v>
      </c>
      <c r="AE67" s="120">
        <v>0</v>
      </c>
      <c r="AF67" s="120">
        <v>0</v>
      </c>
      <c r="AG67" s="120">
        <v>8.8000000000000007</v>
      </c>
      <c r="AH67" s="121">
        <v>6.6</v>
      </c>
      <c r="AI67" s="120">
        <v>4.5</v>
      </c>
      <c r="AJ67" s="121">
        <v>56.7</v>
      </c>
    </row>
    <row r="68" spans="4:36" x14ac:dyDescent="0.3">
      <c r="D68" s="118">
        <v>1990</v>
      </c>
      <c r="E68" s="119">
        <v>1203</v>
      </c>
      <c r="F68" s="119" t="s">
        <v>73</v>
      </c>
      <c r="G68" s="120">
        <v>7.3</v>
      </c>
      <c r="H68" s="120">
        <v>0</v>
      </c>
      <c r="I68" s="120">
        <v>0</v>
      </c>
      <c r="J68" s="120">
        <v>1.9</v>
      </c>
      <c r="K68" s="120">
        <v>0</v>
      </c>
      <c r="L68" s="120">
        <v>13.4</v>
      </c>
      <c r="M68" s="121">
        <v>0</v>
      </c>
      <c r="N68" s="120">
        <v>0.4</v>
      </c>
      <c r="O68" s="120">
        <v>0.6</v>
      </c>
      <c r="P68" s="120">
        <v>0.6</v>
      </c>
      <c r="Q68" s="120">
        <v>0</v>
      </c>
      <c r="R68" s="120">
        <v>0</v>
      </c>
      <c r="S68" s="120">
        <v>0.8</v>
      </c>
      <c r="T68" s="120">
        <v>2.7</v>
      </c>
      <c r="U68" s="120">
        <v>1.8</v>
      </c>
      <c r="V68" s="120">
        <v>1.5</v>
      </c>
      <c r="W68" s="120">
        <v>0</v>
      </c>
      <c r="X68" s="120">
        <v>0</v>
      </c>
      <c r="Y68" s="120">
        <v>0</v>
      </c>
      <c r="Z68" s="121">
        <v>1.3</v>
      </c>
      <c r="AA68" s="120">
        <v>0</v>
      </c>
      <c r="AB68" s="120">
        <v>0</v>
      </c>
      <c r="AC68" s="120">
        <v>0</v>
      </c>
      <c r="AD68" s="120">
        <v>0</v>
      </c>
      <c r="AE68" s="120">
        <v>0</v>
      </c>
      <c r="AF68" s="120">
        <v>0</v>
      </c>
      <c r="AG68" s="120">
        <v>3.2</v>
      </c>
      <c r="AH68" s="121">
        <v>2.2000000000000002</v>
      </c>
      <c r="AI68" s="120">
        <v>1.7</v>
      </c>
      <c r="AJ68" s="121">
        <v>60.7</v>
      </c>
    </row>
    <row r="69" spans="4:36" x14ac:dyDescent="0.3">
      <c r="D69" s="118">
        <v>1991</v>
      </c>
      <c r="E69" s="119">
        <v>910</v>
      </c>
      <c r="F69" s="119" t="s">
        <v>73</v>
      </c>
      <c r="G69" s="120">
        <v>7</v>
      </c>
      <c r="H69" s="120">
        <v>0.2</v>
      </c>
      <c r="I69" s="120">
        <v>0</v>
      </c>
      <c r="J69" s="120">
        <v>4.2</v>
      </c>
      <c r="K69" s="120">
        <v>1.2</v>
      </c>
      <c r="L69" s="120">
        <v>6.5</v>
      </c>
      <c r="M69" s="121">
        <v>0</v>
      </c>
      <c r="N69" s="120">
        <v>0.4</v>
      </c>
      <c r="O69" s="120">
        <v>0</v>
      </c>
      <c r="P69" s="120">
        <v>0</v>
      </c>
      <c r="Q69" s="120">
        <v>0</v>
      </c>
      <c r="R69" s="120">
        <v>0.7</v>
      </c>
      <c r="S69" s="120">
        <v>0</v>
      </c>
      <c r="T69" s="120">
        <v>1.3</v>
      </c>
      <c r="U69" s="120">
        <v>0.5</v>
      </c>
      <c r="V69" s="120">
        <v>1.1000000000000001</v>
      </c>
      <c r="W69" s="120">
        <v>0.5</v>
      </c>
      <c r="X69" s="120">
        <v>0</v>
      </c>
      <c r="Y69" s="120">
        <v>0</v>
      </c>
      <c r="Z69" s="121">
        <v>0</v>
      </c>
      <c r="AA69" s="120">
        <v>0</v>
      </c>
      <c r="AB69" s="120">
        <v>0</v>
      </c>
      <c r="AC69" s="120">
        <v>0</v>
      </c>
      <c r="AD69" s="120">
        <v>0</v>
      </c>
      <c r="AE69" s="120">
        <v>0</v>
      </c>
      <c r="AF69" s="120">
        <v>0</v>
      </c>
      <c r="AG69" s="120">
        <v>15.4</v>
      </c>
      <c r="AH69" s="121">
        <v>6</v>
      </c>
      <c r="AI69" s="120">
        <v>1.3</v>
      </c>
      <c r="AJ69" s="121">
        <v>53.5</v>
      </c>
    </row>
    <row r="70" spans="4:36" x14ac:dyDescent="0.3">
      <c r="D70" s="118">
        <v>1992</v>
      </c>
      <c r="E70" s="119">
        <v>572</v>
      </c>
      <c r="F70" s="119" t="s">
        <v>73</v>
      </c>
      <c r="G70" s="120">
        <v>1.9</v>
      </c>
      <c r="H70" s="120">
        <v>0</v>
      </c>
      <c r="I70" s="120">
        <v>0</v>
      </c>
      <c r="J70" s="120">
        <v>4.2</v>
      </c>
      <c r="K70" s="120">
        <v>0</v>
      </c>
      <c r="L70" s="120">
        <v>6.8</v>
      </c>
      <c r="M70" s="121">
        <v>0</v>
      </c>
      <c r="N70" s="120">
        <v>1.9</v>
      </c>
      <c r="O70" s="120">
        <v>0</v>
      </c>
      <c r="P70" s="120">
        <v>0</v>
      </c>
      <c r="Q70" s="120">
        <v>0</v>
      </c>
      <c r="R70" s="120">
        <v>0</v>
      </c>
      <c r="S70" s="120">
        <v>0.9</v>
      </c>
      <c r="T70" s="120">
        <v>1.2</v>
      </c>
      <c r="U70" s="120">
        <v>0.3</v>
      </c>
      <c r="V70" s="120">
        <v>1.9</v>
      </c>
      <c r="W70" s="120">
        <v>0.3</v>
      </c>
      <c r="X70" s="120">
        <v>0</v>
      </c>
      <c r="Y70" s="120">
        <v>0</v>
      </c>
      <c r="Z70" s="121">
        <v>1</v>
      </c>
      <c r="AA70" s="120">
        <v>0</v>
      </c>
      <c r="AB70" s="120">
        <v>0</v>
      </c>
      <c r="AC70" s="120">
        <v>0</v>
      </c>
      <c r="AD70" s="120">
        <v>0</v>
      </c>
      <c r="AE70" s="120">
        <v>0</v>
      </c>
      <c r="AF70" s="120">
        <v>0</v>
      </c>
      <c r="AG70" s="120">
        <v>4.4000000000000004</v>
      </c>
      <c r="AH70" s="121">
        <v>21.9</v>
      </c>
      <c r="AI70" s="120">
        <v>2.2999999999999998</v>
      </c>
      <c r="AJ70" s="121">
        <v>50.9</v>
      </c>
    </row>
    <row r="71" spans="4:36" x14ac:dyDescent="0.3">
      <c r="D71" s="118">
        <v>1993</v>
      </c>
      <c r="E71" s="119">
        <v>404</v>
      </c>
      <c r="F71" s="119" t="s">
        <v>73</v>
      </c>
      <c r="G71" s="120">
        <v>4.2</v>
      </c>
      <c r="H71" s="120">
        <v>0</v>
      </c>
      <c r="I71" s="120">
        <v>1</v>
      </c>
      <c r="J71" s="120">
        <v>5.9</v>
      </c>
      <c r="K71" s="120">
        <v>0</v>
      </c>
      <c r="L71" s="120">
        <v>8.6999999999999993</v>
      </c>
      <c r="M71" s="121">
        <v>0</v>
      </c>
      <c r="N71" s="120">
        <v>0</v>
      </c>
      <c r="O71" s="120">
        <v>0.2</v>
      </c>
      <c r="P71" s="120">
        <v>0</v>
      </c>
      <c r="Q71" s="120">
        <v>0</v>
      </c>
      <c r="R71" s="120">
        <v>1.5</v>
      </c>
      <c r="S71" s="120">
        <v>0</v>
      </c>
      <c r="T71" s="120">
        <v>1.5</v>
      </c>
      <c r="U71" s="120">
        <v>0.5</v>
      </c>
      <c r="V71" s="120">
        <v>0</v>
      </c>
      <c r="W71" s="120">
        <v>0</v>
      </c>
      <c r="X71" s="120">
        <v>0</v>
      </c>
      <c r="Y71" s="120">
        <v>0</v>
      </c>
      <c r="Z71" s="121">
        <v>0</v>
      </c>
      <c r="AA71" s="120">
        <v>0</v>
      </c>
      <c r="AB71" s="120">
        <v>0</v>
      </c>
      <c r="AC71" s="120">
        <v>0</v>
      </c>
      <c r="AD71" s="120">
        <v>0</v>
      </c>
      <c r="AE71" s="120">
        <v>0</v>
      </c>
      <c r="AF71" s="120">
        <v>0</v>
      </c>
      <c r="AG71" s="120">
        <v>6.4</v>
      </c>
      <c r="AH71" s="121">
        <v>8.6999999999999993</v>
      </c>
      <c r="AI71" s="120">
        <v>5.7</v>
      </c>
      <c r="AJ71" s="121">
        <v>55.7</v>
      </c>
    </row>
    <row r="72" spans="4:36" x14ac:dyDescent="0.3">
      <c r="D72" s="118">
        <v>1994</v>
      </c>
      <c r="E72" s="119">
        <v>264</v>
      </c>
      <c r="F72" s="119" t="s">
        <v>73</v>
      </c>
      <c r="G72" s="120">
        <v>8.6999999999999993</v>
      </c>
      <c r="H72" s="120">
        <v>0</v>
      </c>
      <c r="I72" s="120">
        <v>0</v>
      </c>
      <c r="J72" s="120">
        <v>4.9000000000000004</v>
      </c>
      <c r="K72" s="120">
        <v>0</v>
      </c>
      <c r="L72" s="120">
        <v>3.8</v>
      </c>
      <c r="M72" s="121">
        <v>0</v>
      </c>
      <c r="N72" s="120">
        <v>0</v>
      </c>
      <c r="O72" s="120">
        <v>0</v>
      </c>
      <c r="P72" s="120">
        <v>0</v>
      </c>
      <c r="Q72" s="120">
        <v>0</v>
      </c>
      <c r="R72" s="120">
        <v>1.5</v>
      </c>
      <c r="S72" s="120">
        <v>0</v>
      </c>
      <c r="T72" s="120">
        <v>0.8</v>
      </c>
      <c r="U72" s="120">
        <v>0</v>
      </c>
      <c r="V72" s="120">
        <v>0</v>
      </c>
      <c r="W72" s="120">
        <v>0</v>
      </c>
      <c r="X72" s="120">
        <v>0</v>
      </c>
      <c r="Y72" s="120">
        <v>0</v>
      </c>
      <c r="Z72" s="121">
        <v>0</v>
      </c>
      <c r="AA72" s="120">
        <v>0</v>
      </c>
      <c r="AB72" s="120">
        <v>0</v>
      </c>
      <c r="AC72" s="120">
        <v>0</v>
      </c>
      <c r="AD72" s="120">
        <v>0</v>
      </c>
      <c r="AE72" s="120">
        <v>0</v>
      </c>
      <c r="AF72" s="120">
        <v>0</v>
      </c>
      <c r="AG72" s="120">
        <v>1.5</v>
      </c>
      <c r="AH72" s="121">
        <v>0</v>
      </c>
      <c r="AI72" s="120">
        <v>3.8</v>
      </c>
      <c r="AJ72" s="121">
        <v>75</v>
      </c>
    </row>
    <row r="73" spans="4:36" x14ac:dyDescent="0.3">
      <c r="D73" s="118">
        <v>1995</v>
      </c>
      <c r="E73" s="119">
        <v>551</v>
      </c>
      <c r="F73" s="119" t="s">
        <v>73</v>
      </c>
      <c r="G73" s="120">
        <v>7.4</v>
      </c>
      <c r="H73" s="120">
        <v>0</v>
      </c>
      <c r="I73" s="120">
        <v>2.2000000000000002</v>
      </c>
      <c r="J73" s="120">
        <v>4</v>
      </c>
      <c r="K73" s="120">
        <v>0</v>
      </c>
      <c r="L73" s="120">
        <v>6.4</v>
      </c>
      <c r="M73" s="121">
        <v>0</v>
      </c>
      <c r="N73" s="120">
        <v>0</v>
      </c>
      <c r="O73" s="120">
        <v>0.5</v>
      </c>
      <c r="P73" s="120">
        <v>0</v>
      </c>
      <c r="Q73" s="120">
        <v>0</v>
      </c>
      <c r="R73" s="120">
        <v>0</v>
      </c>
      <c r="S73" s="120">
        <v>0</v>
      </c>
      <c r="T73" s="120">
        <v>0</v>
      </c>
      <c r="U73" s="120">
        <v>0</v>
      </c>
      <c r="V73" s="120">
        <v>0</v>
      </c>
      <c r="W73" s="120">
        <v>0</v>
      </c>
      <c r="X73" s="120">
        <v>0</v>
      </c>
      <c r="Y73" s="120">
        <v>0</v>
      </c>
      <c r="Z73" s="121">
        <v>0</v>
      </c>
      <c r="AA73" s="120">
        <v>0</v>
      </c>
      <c r="AB73" s="120">
        <v>0</v>
      </c>
      <c r="AC73" s="120">
        <v>0</v>
      </c>
      <c r="AD73" s="120">
        <v>0</v>
      </c>
      <c r="AE73" s="120">
        <v>0</v>
      </c>
      <c r="AF73" s="120">
        <v>0</v>
      </c>
      <c r="AG73" s="120">
        <v>0</v>
      </c>
      <c r="AH73" s="121">
        <v>24.3</v>
      </c>
      <c r="AI73" s="120">
        <v>2.4</v>
      </c>
      <c r="AJ73" s="121">
        <v>52.8</v>
      </c>
    </row>
    <row r="74" spans="4:36" x14ac:dyDescent="0.3">
      <c r="D74" s="118">
        <v>1996</v>
      </c>
      <c r="E74" s="119">
        <v>330</v>
      </c>
      <c r="F74" s="119" t="s">
        <v>73</v>
      </c>
      <c r="G74" s="120">
        <v>9.4</v>
      </c>
      <c r="H74" s="120">
        <v>0</v>
      </c>
      <c r="I74" s="120">
        <v>0</v>
      </c>
      <c r="J74" s="120">
        <v>0</v>
      </c>
      <c r="K74" s="120">
        <v>0</v>
      </c>
      <c r="L74" s="120">
        <v>0</v>
      </c>
      <c r="M74" s="121">
        <v>0</v>
      </c>
      <c r="N74" s="120">
        <v>0</v>
      </c>
      <c r="O74" s="120">
        <v>0</v>
      </c>
      <c r="P74" s="120">
        <v>0</v>
      </c>
      <c r="Q74" s="120">
        <v>0</v>
      </c>
      <c r="R74" s="120">
        <v>0</v>
      </c>
      <c r="S74" s="120">
        <v>0</v>
      </c>
      <c r="T74" s="120">
        <v>0.6</v>
      </c>
      <c r="U74" s="120">
        <v>0</v>
      </c>
      <c r="V74" s="120">
        <v>2.1</v>
      </c>
      <c r="W74" s="120">
        <v>0</v>
      </c>
      <c r="X74" s="120">
        <v>0</v>
      </c>
      <c r="Y74" s="120">
        <v>0</v>
      </c>
      <c r="Z74" s="121">
        <v>0</v>
      </c>
      <c r="AA74" s="120">
        <v>0</v>
      </c>
      <c r="AB74" s="120">
        <v>0</v>
      </c>
      <c r="AC74" s="120">
        <v>0</v>
      </c>
      <c r="AD74" s="120">
        <v>0</v>
      </c>
      <c r="AE74" s="120">
        <v>0</v>
      </c>
      <c r="AF74" s="120">
        <v>0</v>
      </c>
      <c r="AG74" s="120">
        <v>0.9</v>
      </c>
      <c r="AH74" s="121">
        <v>4.5</v>
      </c>
      <c r="AI74" s="120">
        <v>0.3</v>
      </c>
      <c r="AJ74" s="121">
        <v>82.1</v>
      </c>
    </row>
    <row r="75" spans="4:36" x14ac:dyDescent="0.3">
      <c r="D75" s="118">
        <v>1997</v>
      </c>
      <c r="E75" s="119">
        <v>234</v>
      </c>
      <c r="F75" s="119" t="s">
        <v>70</v>
      </c>
      <c r="G75" s="120">
        <v>15.4</v>
      </c>
      <c r="H75" s="120">
        <v>0</v>
      </c>
      <c r="I75" s="120">
        <v>0</v>
      </c>
      <c r="J75" s="120">
        <v>4.7</v>
      </c>
      <c r="K75" s="120">
        <v>0</v>
      </c>
      <c r="L75" s="120">
        <v>0</v>
      </c>
      <c r="M75" s="121">
        <v>0</v>
      </c>
      <c r="N75" s="120">
        <v>0</v>
      </c>
      <c r="O75" s="120">
        <v>0</v>
      </c>
      <c r="P75" s="120">
        <v>0</v>
      </c>
      <c r="Q75" s="120">
        <v>0</v>
      </c>
      <c r="R75" s="120">
        <v>0</v>
      </c>
      <c r="S75" s="120">
        <v>0</v>
      </c>
      <c r="T75" s="120">
        <v>0</v>
      </c>
      <c r="U75" s="120">
        <v>0</v>
      </c>
      <c r="V75" s="120">
        <v>0</v>
      </c>
      <c r="W75" s="120">
        <v>0</v>
      </c>
      <c r="X75" s="120">
        <v>0</v>
      </c>
      <c r="Y75" s="120">
        <v>0</v>
      </c>
      <c r="Z75" s="121">
        <v>0</v>
      </c>
      <c r="AA75" s="120">
        <v>0</v>
      </c>
      <c r="AB75" s="120">
        <v>0</v>
      </c>
      <c r="AC75" s="120">
        <v>0</v>
      </c>
      <c r="AD75" s="120">
        <v>0</v>
      </c>
      <c r="AE75" s="120">
        <v>0</v>
      </c>
      <c r="AF75" s="120">
        <v>0</v>
      </c>
      <c r="AG75" s="120">
        <v>0</v>
      </c>
      <c r="AH75" s="121">
        <v>3</v>
      </c>
      <c r="AI75" s="120">
        <v>0</v>
      </c>
      <c r="AJ75" s="121">
        <v>76.900000000000006</v>
      </c>
    </row>
    <row r="76" spans="4:36" x14ac:dyDescent="0.3">
      <c r="D76" s="114">
        <v>1998</v>
      </c>
      <c r="E76" s="115">
        <v>101</v>
      </c>
      <c r="F76" s="115" t="s">
        <v>74</v>
      </c>
      <c r="G76" s="116">
        <v>7.9</v>
      </c>
      <c r="H76" s="116">
        <v>0</v>
      </c>
      <c r="I76" s="116">
        <v>0</v>
      </c>
      <c r="J76" s="116">
        <v>5</v>
      </c>
      <c r="K76" s="116">
        <v>0</v>
      </c>
      <c r="L76" s="116">
        <v>0</v>
      </c>
      <c r="M76" s="117">
        <v>0</v>
      </c>
      <c r="N76" s="116">
        <v>0</v>
      </c>
      <c r="O76" s="116">
        <v>0</v>
      </c>
      <c r="P76" s="116">
        <v>0</v>
      </c>
      <c r="Q76" s="116">
        <v>0</v>
      </c>
      <c r="R76" s="116">
        <v>0</v>
      </c>
      <c r="S76" s="116">
        <v>0</v>
      </c>
      <c r="T76" s="116">
        <v>0</v>
      </c>
      <c r="U76" s="116">
        <v>0</v>
      </c>
      <c r="V76" s="116">
        <v>0</v>
      </c>
      <c r="W76" s="116">
        <v>0</v>
      </c>
      <c r="X76" s="116">
        <v>0</v>
      </c>
      <c r="Y76" s="116">
        <v>0</v>
      </c>
      <c r="Z76" s="117">
        <v>0</v>
      </c>
      <c r="AA76" s="116">
        <v>0</v>
      </c>
      <c r="AB76" s="116">
        <v>0</v>
      </c>
      <c r="AC76" s="116">
        <v>0</v>
      </c>
      <c r="AD76" s="116">
        <v>0</v>
      </c>
      <c r="AE76" s="116">
        <v>0</v>
      </c>
      <c r="AF76" s="116">
        <v>0</v>
      </c>
      <c r="AG76" s="116">
        <v>2</v>
      </c>
      <c r="AH76" s="117">
        <v>2</v>
      </c>
      <c r="AI76" s="116">
        <v>8.9</v>
      </c>
      <c r="AJ76" s="117">
        <v>74.3</v>
      </c>
    </row>
    <row r="77" spans="4:36" x14ac:dyDescent="0.3">
      <c r="D77" s="114">
        <v>1999</v>
      </c>
      <c r="E77" s="115">
        <v>62</v>
      </c>
      <c r="F77" s="115" t="s">
        <v>75</v>
      </c>
      <c r="G77" s="116">
        <v>17.7</v>
      </c>
      <c r="H77" s="116">
        <v>0</v>
      </c>
      <c r="I77" s="116">
        <v>1.6</v>
      </c>
      <c r="J77" s="116">
        <v>8.1</v>
      </c>
      <c r="K77" s="116">
        <v>0</v>
      </c>
      <c r="L77" s="116">
        <v>1.6</v>
      </c>
      <c r="M77" s="117">
        <v>1.6</v>
      </c>
      <c r="N77" s="116">
        <v>0</v>
      </c>
      <c r="O77" s="116">
        <v>0</v>
      </c>
      <c r="P77" s="116">
        <v>0</v>
      </c>
      <c r="Q77" s="116">
        <v>0</v>
      </c>
      <c r="R77" s="116">
        <v>0</v>
      </c>
      <c r="S77" s="116">
        <v>0</v>
      </c>
      <c r="T77" s="116">
        <v>1.6</v>
      </c>
      <c r="U77" s="116">
        <v>0</v>
      </c>
      <c r="V77" s="116">
        <v>0</v>
      </c>
      <c r="W77" s="116">
        <v>0</v>
      </c>
      <c r="X77" s="116">
        <v>0</v>
      </c>
      <c r="Y77" s="116">
        <v>0</v>
      </c>
      <c r="Z77" s="117">
        <v>0</v>
      </c>
      <c r="AA77" s="116">
        <v>0</v>
      </c>
      <c r="AB77" s="116">
        <v>0</v>
      </c>
      <c r="AC77" s="116">
        <v>0</v>
      </c>
      <c r="AD77" s="116">
        <v>0</v>
      </c>
      <c r="AE77" s="116">
        <v>0</v>
      </c>
      <c r="AF77" s="116">
        <v>0</v>
      </c>
      <c r="AG77" s="116">
        <v>0</v>
      </c>
      <c r="AH77" s="117">
        <v>0</v>
      </c>
      <c r="AI77" s="116">
        <v>1.6</v>
      </c>
      <c r="AJ77" s="117">
        <v>66.099999999999994</v>
      </c>
    </row>
    <row r="78" spans="4:36" x14ac:dyDescent="0.3">
      <c r="D78" s="114">
        <v>2000</v>
      </c>
      <c r="E78" s="115">
        <v>72</v>
      </c>
      <c r="F78" s="115" t="s">
        <v>69</v>
      </c>
      <c r="G78" s="116">
        <v>8.3000000000000007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7">
        <v>0</v>
      </c>
      <c r="N78" s="116">
        <v>0</v>
      </c>
      <c r="O78" s="116">
        <v>0</v>
      </c>
      <c r="P78" s="116">
        <v>0</v>
      </c>
      <c r="Q78" s="116">
        <v>0</v>
      </c>
      <c r="R78" s="116">
        <v>0</v>
      </c>
      <c r="S78" s="116">
        <v>0</v>
      </c>
      <c r="T78" s="116">
        <v>1.4</v>
      </c>
      <c r="U78" s="116">
        <v>0</v>
      </c>
      <c r="V78" s="116">
        <v>0</v>
      </c>
      <c r="W78" s="116">
        <v>0</v>
      </c>
      <c r="X78" s="116">
        <v>0</v>
      </c>
      <c r="Y78" s="116">
        <v>0</v>
      </c>
      <c r="Z78" s="117">
        <v>0</v>
      </c>
      <c r="AA78" s="116">
        <v>0</v>
      </c>
      <c r="AB78" s="116">
        <v>0</v>
      </c>
      <c r="AC78" s="116">
        <v>0</v>
      </c>
      <c r="AD78" s="116">
        <v>0</v>
      </c>
      <c r="AE78" s="116">
        <v>0</v>
      </c>
      <c r="AF78" s="116">
        <v>0</v>
      </c>
      <c r="AG78" s="116">
        <v>15.3</v>
      </c>
      <c r="AH78" s="117">
        <v>2.8</v>
      </c>
      <c r="AI78" s="116">
        <v>6.9</v>
      </c>
      <c r="AJ78" s="117">
        <v>65.3</v>
      </c>
    </row>
    <row r="79" spans="4:36" x14ac:dyDescent="0.3">
      <c r="D79" s="118">
        <v>2001</v>
      </c>
      <c r="E79" s="119">
        <v>239</v>
      </c>
      <c r="F79" s="119" t="s">
        <v>73</v>
      </c>
      <c r="G79" s="120">
        <v>5.9</v>
      </c>
      <c r="H79" s="120">
        <v>0</v>
      </c>
      <c r="I79" s="120">
        <v>2.5</v>
      </c>
      <c r="J79" s="120">
        <v>0</v>
      </c>
      <c r="K79" s="120">
        <v>0</v>
      </c>
      <c r="L79" s="120">
        <v>8.8000000000000007</v>
      </c>
      <c r="M79" s="121">
        <v>3.8</v>
      </c>
      <c r="N79" s="120">
        <v>0</v>
      </c>
      <c r="O79" s="120">
        <v>0</v>
      </c>
      <c r="P79" s="120">
        <v>0</v>
      </c>
      <c r="Q79" s="120">
        <v>0</v>
      </c>
      <c r="R79" s="120">
        <v>0</v>
      </c>
      <c r="S79" s="120">
        <v>0</v>
      </c>
      <c r="T79" s="120">
        <v>5</v>
      </c>
      <c r="U79" s="120">
        <v>2.1</v>
      </c>
      <c r="V79" s="120">
        <v>1.3</v>
      </c>
      <c r="W79" s="120">
        <v>0.8</v>
      </c>
      <c r="X79" s="120">
        <v>0</v>
      </c>
      <c r="Y79" s="120">
        <v>0</v>
      </c>
      <c r="Z79" s="121">
        <v>0</v>
      </c>
      <c r="AA79" s="120">
        <v>0</v>
      </c>
      <c r="AB79" s="120">
        <v>0</v>
      </c>
      <c r="AC79" s="120">
        <v>0</v>
      </c>
      <c r="AD79" s="120">
        <v>0</v>
      </c>
      <c r="AE79" s="120">
        <v>0</v>
      </c>
      <c r="AF79" s="120">
        <v>0</v>
      </c>
      <c r="AG79" s="120">
        <v>2.1</v>
      </c>
      <c r="AH79" s="121">
        <v>2.9</v>
      </c>
      <c r="AI79" s="120">
        <v>2.9</v>
      </c>
      <c r="AJ79" s="121">
        <v>61.9</v>
      </c>
    </row>
    <row r="80" spans="4:36" x14ac:dyDescent="0.3">
      <c r="D80" s="118">
        <v>2002</v>
      </c>
      <c r="E80" s="119">
        <v>386</v>
      </c>
      <c r="F80" s="119" t="s">
        <v>73</v>
      </c>
      <c r="G80" s="120">
        <v>15</v>
      </c>
      <c r="H80" s="120">
        <v>0</v>
      </c>
      <c r="I80" s="120">
        <v>1</v>
      </c>
      <c r="J80" s="120">
        <v>0</v>
      </c>
      <c r="K80" s="120">
        <v>0</v>
      </c>
      <c r="L80" s="120">
        <v>5.7</v>
      </c>
      <c r="M80" s="121">
        <v>5.7</v>
      </c>
      <c r="N80" s="120">
        <v>0</v>
      </c>
      <c r="O80" s="120">
        <v>0</v>
      </c>
      <c r="P80" s="120">
        <v>0</v>
      </c>
      <c r="Q80" s="120">
        <v>0</v>
      </c>
      <c r="R80" s="120">
        <v>0</v>
      </c>
      <c r="S80" s="120">
        <v>0</v>
      </c>
      <c r="T80" s="120">
        <v>2.8</v>
      </c>
      <c r="U80" s="120">
        <v>2.2999999999999998</v>
      </c>
      <c r="V80" s="120">
        <v>3.6</v>
      </c>
      <c r="W80" s="120">
        <v>0</v>
      </c>
      <c r="X80" s="120">
        <v>0</v>
      </c>
      <c r="Y80" s="120">
        <v>0</v>
      </c>
      <c r="Z80" s="121">
        <v>0</v>
      </c>
      <c r="AA80" s="120">
        <v>0</v>
      </c>
      <c r="AB80" s="120">
        <v>0</v>
      </c>
      <c r="AC80" s="120">
        <v>0</v>
      </c>
      <c r="AD80" s="120">
        <v>0</v>
      </c>
      <c r="AE80" s="120">
        <v>0</v>
      </c>
      <c r="AF80" s="120">
        <v>0</v>
      </c>
      <c r="AG80" s="120">
        <v>4.4000000000000004</v>
      </c>
      <c r="AH80" s="121">
        <v>2.2999999999999998</v>
      </c>
      <c r="AI80" s="120">
        <v>3.9</v>
      </c>
      <c r="AJ80" s="121">
        <v>53.1</v>
      </c>
    </row>
    <row r="81" spans="4:36" x14ac:dyDescent="0.3">
      <c r="D81" s="118">
        <v>2003</v>
      </c>
      <c r="E81" s="119">
        <v>477</v>
      </c>
      <c r="F81" s="119" t="s">
        <v>73</v>
      </c>
      <c r="G81" s="120">
        <v>10.7</v>
      </c>
      <c r="H81" s="120">
        <v>0</v>
      </c>
      <c r="I81" s="120">
        <v>0</v>
      </c>
      <c r="J81" s="120">
        <v>1.7</v>
      </c>
      <c r="K81" s="120">
        <v>1.3</v>
      </c>
      <c r="L81" s="120">
        <v>4.8</v>
      </c>
      <c r="M81" s="121">
        <v>1.3</v>
      </c>
      <c r="N81" s="120">
        <v>0</v>
      </c>
      <c r="O81" s="120">
        <v>0</v>
      </c>
      <c r="P81" s="120">
        <v>0</v>
      </c>
      <c r="Q81" s="120">
        <v>0</v>
      </c>
      <c r="R81" s="120">
        <v>0</v>
      </c>
      <c r="S81" s="120">
        <v>0</v>
      </c>
      <c r="T81" s="120">
        <v>6.1</v>
      </c>
      <c r="U81" s="120">
        <v>1</v>
      </c>
      <c r="V81" s="120">
        <v>4.2</v>
      </c>
      <c r="W81" s="120">
        <v>0</v>
      </c>
      <c r="X81" s="120">
        <v>0</v>
      </c>
      <c r="Y81" s="120">
        <v>0</v>
      </c>
      <c r="Z81" s="121">
        <v>0</v>
      </c>
      <c r="AA81" s="120">
        <v>0</v>
      </c>
      <c r="AB81" s="120">
        <v>0</v>
      </c>
      <c r="AC81" s="120">
        <v>0</v>
      </c>
      <c r="AD81" s="120">
        <v>0</v>
      </c>
      <c r="AE81" s="120">
        <v>0</v>
      </c>
      <c r="AF81" s="120">
        <v>0</v>
      </c>
      <c r="AG81" s="120">
        <v>6.5</v>
      </c>
      <c r="AH81" s="121">
        <v>5.9</v>
      </c>
      <c r="AI81" s="120">
        <v>1.3</v>
      </c>
      <c r="AJ81" s="121">
        <v>55.3</v>
      </c>
    </row>
    <row r="82" spans="4:36" x14ac:dyDescent="0.3">
      <c r="D82" s="118">
        <v>2004</v>
      </c>
      <c r="E82" s="119">
        <v>2167</v>
      </c>
      <c r="F82" s="119" t="s">
        <v>73</v>
      </c>
      <c r="G82" s="120">
        <v>6.6</v>
      </c>
      <c r="H82" s="120">
        <v>0</v>
      </c>
      <c r="I82" s="120">
        <v>0.3</v>
      </c>
      <c r="J82" s="120">
        <v>3.3</v>
      </c>
      <c r="K82" s="120">
        <v>0.5</v>
      </c>
      <c r="L82" s="120">
        <v>2.1</v>
      </c>
      <c r="M82" s="121">
        <v>0</v>
      </c>
      <c r="N82" s="120">
        <v>0</v>
      </c>
      <c r="O82" s="120">
        <v>0</v>
      </c>
      <c r="P82" s="120">
        <v>0</v>
      </c>
      <c r="Q82" s="120">
        <v>0</v>
      </c>
      <c r="R82" s="120">
        <v>0</v>
      </c>
      <c r="S82" s="120">
        <v>0.3</v>
      </c>
      <c r="T82" s="120">
        <v>0.6</v>
      </c>
      <c r="U82" s="120">
        <v>0</v>
      </c>
      <c r="V82" s="120">
        <v>0.1</v>
      </c>
      <c r="W82" s="120">
        <v>0.1</v>
      </c>
      <c r="X82" s="120">
        <v>0</v>
      </c>
      <c r="Y82" s="120">
        <v>0</v>
      </c>
      <c r="Z82" s="121">
        <v>0</v>
      </c>
      <c r="AA82" s="120">
        <v>0</v>
      </c>
      <c r="AB82" s="120">
        <v>0</v>
      </c>
      <c r="AC82" s="120">
        <v>0</v>
      </c>
      <c r="AD82" s="120">
        <v>0</v>
      </c>
      <c r="AE82" s="120">
        <v>0</v>
      </c>
      <c r="AF82" s="120">
        <v>0</v>
      </c>
      <c r="AG82" s="120">
        <v>2.5</v>
      </c>
      <c r="AH82" s="121">
        <v>1.9</v>
      </c>
      <c r="AI82" s="120">
        <v>0.4</v>
      </c>
      <c r="AJ82" s="121">
        <v>81.3</v>
      </c>
    </row>
    <row r="83" spans="4:36" x14ac:dyDescent="0.3">
      <c r="D83" s="118">
        <v>2005</v>
      </c>
      <c r="E83" s="119">
        <v>390</v>
      </c>
      <c r="F83" s="119" t="s">
        <v>73</v>
      </c>
      <c r="G83" s="120">
        <v>4.0999999999999996</v>
      </c>
      <c r="H83" s="120">
        <v>0</v>
      </c>
      <c r="I83" s="120">
        <v>0</v>
      </c>
      <c r="J83" s="120">
        <v>13.1</v>
      </c>
      <c r="K83" s="120">
        <v>7.2</v>
      </c>
      <c r="L83" s="120">
        <v>4.4000000000000004</v>
      </c>
      <c r="M83" s="121">
        <v>0</v>
      </c>
      <c r="N83" s="120">
        <v>0</v>
      </c>
      <c r="O83" s="120">
        <v>0</v>
      </c>
      <c r="P83" s="120">
        <v>0</v>
      </c>
      <c r="Q83" s="120">
        <v>0</v>
      </c>
      <c r="R83" s="120">
        <v>0</v>
      </c>
      <c r="S83" s="120">
        <v>0</v>
      </c>
      <c r="T83" s="120">
        <v>1.8</v>
      </c>
      <c r="U83" s="120">
        <v>0.8</v>
      </c>
      <c r="V83" s="120">
        <v>0</v>
      </c>
      <c r="W83" s="120">
        <v>0</v>
      </c>
      <c r="X83" s="120">
        <v>0</v>
      </c>
      <c r="Y83" s="120">
        <v>0</v>
      </c>
      <c r="Z83" s="121">
        <v>0</v>
      </c>
      <c r="AA83" s="120">
        <v>0</v>
      </c>
      <c r="AB83" s="120">
        <v>0</v>
      </c>
      <c r="AC83" s="120">
        <v>0</v>
      </c>
      <c r="AD83" s="120">
        <v>0</v>
      </c>
      <c r="AE83" s="120">
        <v>0</v>
      </c>
      <c r="AF83" s="120">
        <v>0</v>
      </c>
      <c r="AG83" s="120">
        <v>11.5</v>
      </c>
      <c r="AH83" s="121">
        <v>8.6999999999999993</v>
      </c>
      <c r="AI83" s="120">
        <v>0.3</v>
      </c>
      <c r="AJ83" s="121">
        <v>48.2</v>
      </c>
    </row>
    <row r="84" spans="4:36" x14ac:dyDescent="0.3">
      <c r="D84" s="118">
        <v>2006</v>
      </c>
      <c r="E84" s="119">
        <v>594</v>
      </c>
      <c r="F84" s="119" t="s">
        <v>73</v>
      </c>
      <c r="G84" s="120">
        <v>14.5</v>
      </c>
      <c r="H84" s="120">
        <v>0</v>
      </c>
      <c r="I84" s="120">
        <v>1.2</v>
      </c>
      <c r="J84" s="120">
        <v>6.6</v>
      </c>
      <c r="K84" s="120">
        <v>1.7</v>
      </c>
      <c r="L84" s="120">
        <v>8.1999999999999993</v>
      </c>
      <c r="M84" s="121">
        <v>1</v>
      </c>
      <c r="N84" s="120">
        <v>0</v>
      </c>
      <c r="O84" s="120">
        <v>0</v>
      </c>
      <c r="P84" s="120">
        <v>0</v>
      </c>
      <c r="Q84" s="120">
        <v>0</v>
      </c>
      <c r="R84" s="120">
        <v>0</v>
      </c>
      <c r="S84" s="120">
        <v>1.9</v>
      </c>
      <c r="T84" s="120">
        <v>1.2</v>
      </c>
      <c r="U84" s="120">
        <v>0.5</v>
      </c>
      <c r="V84" s="120">
        <v>0.3</v>
      </c>
      <c r="W84" s="120">
        <v>0</v>
      </c>
      <c r="X84" s="120">
        <v>0</v>
      </c>
      <c r="Y84" s="120">
        <v>0</v>
      </c>
      <c r="Z84" s="121">
        <v>0</v>
      </c>
      <c r="AA84" s="120">
        <v>0</v>
      </c>
      <c r="AB84" s="120">
        <v>0</v>
      </c>
      <c r="AC84" s="120">
        <v>0</v>
      </c>
      <c r="AD84" s="120">
        <v>0</v>
      </c>
      <c r="AE84" s="120">
        <v>0</v>
      </c>
      <c r="AF84" s="120">
        <v>0</v>
      </c>
      <c r="AG84" s="120">
        <v>5.6</v>
      </c>
      <c r="AH84" s="121">
        <v>19</v>
      </c>
      <c r="AI84" s="120">
        <v>1.3</v>
      </c>
      <c r="AJ84" s="121">
        <v>37</v>
      </c>
    </row>
    <row r="85" spans="4:36" x14ac:dyDescent="0.3">
      <c r="D85" s="118">
        <v>2007</v>
      </c>
      <c r="E85" s="119">
        <v>207</v>
      </c>
      <c r="F85" s="119" t="s">
        <v>73</v>
      </c>
      <c r="G85" s="120">
        <v>37.200000000000003</v>
      </c>
      <c r="H85" s="120">
        <v>0</v>
      </c>
      <c r="I85" s="120">
        <v>1.4</v>
      </c>
      <c r="J85" s="120">
        <v>6.3</v>
      </c>
      <c r="K85" s="120">
        <v>0</v>
      </c>
      <c r="L85" s="120">
        <v>1.9</v>
      </c>
      <c r="M85" s="121">
        <v>0</v>
      </c>
      <c r="N85" s="120">
        <v>0</v>
      </c>
      <c r="O85" s="120">
        <v>0</v>
      </c>
      <c r="P85" s="120">
        <v>0</v>
      </c>
      <c r="Q85" s="120">
        <v>0</v>
      </c>
      <c r="R85" s="120">
        <v>0</v>
      </c>
      <c r="S85" s="120">
        <v>0</v>
      </c>
      <c r="T85" s="120">
        <v>1</v>
      </c>
      <c r="U85" s="120">
        <v>2.9</v>
      </c>
      <c r="V85" s="120">
        <v>5.8</v>
      </c>
      <c r="W85" s="120">
        <v>0</v>
      </c>
      <c r="X85" s="120">
        <v>0</v>
      </c>
      <c r="Y85" s="120">
        <v>0</v>
      </c>
      <c r="Z85" s="121">
        <v>0</v>
      </c>
      <c r="AA85" s="120">
        <v>0</v>
      </c>
      <c r="AB85" s="120">
        <v>0</v>
      </c>
      <c r="AC85" s="120">
        <v>0</v>
      </c>
      <c r="AD85" s="120">
        <v>0</v>
      </c>
      <c r="AE85" s="120">
        <v>0</v>
      </c>
      <c r="AF85" s="120">
        <v>0</v>
      </c>
      <c r="AG85" s="120">
        <v>2.9</v>
      </c>
      <c r="AH85" s="121">
        <v>0</v>
      </c>
      <c r="AI85" s="120">
        <v>1.4</v>
      </c>
      <c r="AJ85" s="121">
        <v>39.1</v>
      </c>
    </row>
    <row r="86" spans="4:36" x14ac:dyDescent="0.3">
      <c r="D86" s="118">
        <v>2008</v>
      </c>
      <c r="E86" s="119">
        <v>142</v>
      </c>
      <c r="F86" s="119" t="s">
        <v>73</v>
      </c>
      <c r="G86" s="120">
        <v>8.5</v>
      </c>
      <c r="H86" s="120">
        <v>0</v>
      </c>
      <c r="I86" s="120">
        <v>0</v>
      </c>
      <c r="J86" s="120">
        <v>0</v>
      </c>
      <c r="K86" s="120">
        <v>1.4</v>
      </c>
      <c r="L86" s="120">
        <v>12.7</v>
      </c>
      <c r="M86" s="121">
        <v>0</v>
      </c>
      <c r="N86" s="120">
        <v>0</v>
      </c>
      <c r="O86" s="120">
        <v>0</v>
      </c>
      <c r="P86" s="120">
        <v>2.8</v>
      </c>
      <c r="Q86" s="120">
        <v>0</v>
      </c>
      <c r="R86" s="120">
        <v>0</v>
      </c>
      <c r="S86" s="120">
        <v>0</v>
      </c>
      <c r="T86" s="120">
        <v>5.6</v>
      </c>
      <c r="U86" s="120">
        <v>0.7</v>
      </c>
      <c r="V86" s="120">
        <v>0</v>
      </c>
      <c r="W86" s="120">
        <v>0</v>
      </c>
      <c r="X86" s="120">
        <v>0</v>
      </c>
      <c r="Y86" s="120">
        <v>0</v>
      </c>
      <c r="Z86" s="121">
        <v>5.6</v>
      </c>
      <c r="AA86" s="120">
        <v>0</v>
      </c>
      <c r="AB86" s="120">
        <v>0</v>
      </c>
      <c r="AC86" s="120">
        <v>0</v>
      </c>
      <c r="AD86" s="120">
        <v>0</v>
      </c>
      <c r="AE86" s="120">
        <v>0</v>
      </c>
      <c r="AF86" s="120">
        <v>0</v>
      </c>
      <c r="AG86" s="120">
        <v>0</v>
      </c>
      <c r="AH86" s="121">
        <v>4.9000000000000004</v>
      </c>
      <c r="AI86" s="120">
        <v>0</v>
      </c>
      <c r="AJ86" s="121">
        <v>57.7</v>
      </c>
    </row>
    <row r="87" spans="4:36" x14ac:dyDescent="0.3">
      <c r="D87" s="118">
        <v>2009</v>
      </c>
      <c r="E87" s="119">
        <v>176</v>
      </c>
      <c r="F87" s="119" t="s">
        <v>73</v>
      </c>
      <c r="G87" s="120">
        <v>19.899999999999999</v>
      </c>
      <c r="H87" s="120">
        <v>0</v>
      </c>
      <c r="I87" s="120">
        <v>0</v>
      </c>
      <c r="J87" s="120">
        <v>3.4</v>
      </c>
      <c r="K87" s="120">
        <v>2.2999999999999998</v>
      </c>
      <c r="L87" s="120">
        <v>6.3</v>
      </c>
      <c r="M87" s="121">
        <v>19.3</v>
      </c>
      <c r="N87" s="120">
        <v>0</v>
      </c>
      <c r="O87" s="120">
        <v>0</v>
      </c>
      <c r="P87" s="120">
        <v>0</v>
      </c>
      <c r="Q87" s="120">
        <v>0</v>
      </c>
      <c r="R87" s="120">
        <v>0</v>
      </c>
      <c r="S87" s="120">
        <v>1.1000000000000001</v>
      </c>
      <c r="T87" s="120">
        <v>0</v>
      </c>
      <c r="U87" s="120">
        <v>1.1000000000000001</v>
      </c>
      <c r="V87" s="120">
        <v>0</v>
      </c>
      <c r="W87" s="120">
        <v>0</v>
      </c>
      <c r="X87" s="120">
        <v>0</v>
      </c>
      <c r="Y87" s="120">
        <v>0</v>
      </c>
      <c r="Z87" s="121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0</v>
      </c>
      <c r="AF87" s="120">
        <v>0</v>
      </c>
      <c r="AG87" s="120">
        <v>0.6</v>
      </c>
      <c r="AH87" s="121">
        <v>3.4</v>
      </c>
      <c r="AI87" s="120">
        <v>0</v>
      </c>
      <c r="AJ87" s="121">
        <v>42.6</v>
      </c>
    </row>
    <row r="88" spans="4:36" x14ac:dyDescent="0.3">
      <c r="D88" s="118">
        <v>2010</v>
      </c>
      <c r="E88" s="119">
        <v>200</v>
      </c>
      <c r="F88" s="119" t="s">
        <v>73</v>
      </c>
      <c r="G88" s="120">
        <v>6.5</v>
      </c>
      <c r="H88" s="120">
        <v>0</v>
      </c>
      <c r="I88" s="120">
        <v>0</v>
      </c>
      <c r="J88" s="120">
        <v>5</v>
      </c>
      <c r="K88" s="120">
        <v>2.5</v>
      </c>
      <c r="L88" s="120">
        <v>1.5</v>
      </c>
      <c r="M88" s="121">
        <v>2</v>
      </c>
      <c r="N88" s="120">
        <v>0</v>
      </c>
      <c r="O88" s="120">
        <v>0</v>
      </c>
      <c r="P88" s="120">
        <v>0</v>
      </c>
      <c r="Q88" s="120">
        <v>0</v>
      </c>
      <c r="R88" s="120">
        <v>0</v>
      </c>
      <c r="S88" s="120">
        <v>0</v>
      </c>
      <c r="T88" s="120">
        <v>4</v>
      </c>
      <c r="U88" s="120">
        <v>4.5</v>
      </c>
      <c r="V88" s="120">
        <v>0</v>
      </c>
      <c r="W88" s="120">
        <v>0</v>
      </c>
      <c r="X88" s="120">
        <v>0</v>
      </c>
      <c r="Y88" s="120">
        <v>0</v>
      </c>
      <c r="Z88" s="121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2</v>
      </c>
      <c r="AH88" s="121">
        <v>8</v>
      </c>
      <c r="AI88" s="120">
        <v>0</v>
      </c>
      <c r="AJ88" s="121">
        <v>64</v>
      </c>
    </row>
    <row r="89" spans="4:36" x14ac:dyDescent="0.3">
      <c r="D89" s="118">
        <v>2011</v>
      </c>
      <c r="E89" s="119">
        <v>225</v>
      </c>
      <c r="F89" s="119" t="s">
        <v>73</v>
      </c>
      <c r="G89" s="120">
        <v>12</v>
      </c>
      <c r="H89" s="120">
        <v>0</v>
      </c>
      <c r="I89" s="120">
        <v>1.3</v>
      </c>
      <c r="J89" s="120">
        <v>12.4</v>
      </c>
      <c r="K89" s="120">
        <v>1.3</v>
      </c>
      <c r="L89" s="120">
        <v>4.4000000000000004</v>
      </c>
      <c r="M89" s="121">
        <v>4</v>
      </c>
      <c r="N89" s="120">
        <v>0</v>
      </c>
      <c r="O89" s="120">
        <v>0</v>
      </c>
      <c r="P89" s="120">
        <v>0</v>
      </c>
      <c r="Q89" s="120">
        <v>0</v>
      </c>
      <c r="R89" s="120">
        <v>0</v>
      </c>
      <c r="S89" s="120">
        <v>0</v>
      </c>
      <c r="T89" s="120">
        <v>0.9</v>
      </c>
      <c r="U89" s="120">
        <v>6.2</v>
      </c>
      <c r="V89" s="120">
        <v>2.2000000000000002</v>
      </c>
      <c r="W89" s="120">
        <v>0</v>
      </c>
      <c r="X89" s="120">
        <v>0</v>
      </c>
      <c r="Y89" s="120">
        <v>0</v>
      </c>
      <c r="Z89" s="121">
        <v>0</v>
      </c>
      <c r="AA89" s="120">
        <v>0</v>
      </c>
      <c r="AB89" s="120">
        <v>0</v>
      </c>
      <c r="AC89" s="120">
        <v>0</v>
      </c>
      <c r="AD89" s="120">
        <v>0</v>
      </c>
      <c r="AE89" s="120">
        <v>0</v>
      </c>
      <c r="AF89" s="120">
        <v>0</v>
      </c>
      <c r="AG89" s="120">
        <v>1.8</v>
      </c>
      <c r="AH89" s="121">
        <v>20.9</v>
      </c>
      <c r="AI89" s="120">
        <v>1.8</v>
      </c>
      <c r="AJ89" s="121">
        <v>30.7</v>
      </c>
    </row>
    <row r="90" spans="4:36" x14ac:dyDescent="0.3">
      <c r="D90" s="118">
        <v>2012</v>
      </c>
      <c r="E90" s="119">
        <v>272</v>
      </c>
      <c r="F90" s="119" t="s">
        <v>73</v>
      </c>
      <c r="G90" s="120">
        <v>12.5</v>
      </c>
      <c r="H90" s="120">
        <v>2.2000000000000002</v>
      </c>
      <c r="I90" s="120">
        <v>0.4</v>
      </c>
      <c r="J90" s="120">
        <v>3.3</v>
      </c>
      <c r="K90" s="120">
        <v>3.3</v>
      </c>
      <c r="L90" s="120">
        <v>6.6</v>
      </c>
      <c r="M90" s="121">
        <v>0</v>
      </c>
      <c r="N90" s="120">
        <v>0</v>
      </c>
      <c r="O90" s="120">
        <v>0</v>
      </c>
      <c r="P90" s="120">
        <v>0</v>
      </c>
      <c r="Q90" s="120">
        <v>0</v>
      </c>
      <c r="R90" s="120">
        <v>0</v>
      </c>
      <c r="S90" s="120">
        <v>0</v>
      </c>
      <c r="T90" s="120">
        <v>3.7</v>
      </c>
      <c r="U90" s="120">
        <v>1.8</v>
      </c>
      <c r="V90" s="120">
        <v>0</v>
      </c>
      <c r="W90" s="120">
        <v>0</v>
      </c>
      <c r="X90" s="120">
        <v>0</v>
      </c>
      <c r="Y90" s="120">
        <v>0</v>
      </c>
      <c r="Z90" s="121">
        <v>0</v>
      </c>
      <c r="AA90" s="120">
        <v>0</v>
      </c>
      <c r="AB90" s="120">
        <v>0</v>
      </c>
      <c r="AC90" s="120">
        <v>0</v>
      </c>
      <c r="AD90" s="120">
        <v>0</v>
      </c>
      <c r="AE90" s="120">
        <v>0</v>
      </c>
      <c r="AF90" s="120">
        <v>0</v>
      </c>
      <c r="AG90" s="120">
        <v>5.0999999999999996</v>
      </c>
      <c r="AH90" s="121">
        <v>16.5</v>
      </c>
      <c r="AI90" s="120">
        <v>1.1000000000000001</v>
      </c>
      <c r="AJ90" s="121">
        <v>43.4</v>
      </c>
    </row>
    <row r="91" spans="4:36" x14ac:dyDescent="0.3">
      <c r="D91" s="118">
        <v>2013</v>
      </c>
      <c r="E91" s="119">
        <v>301</v>
      </c>
      <c r="F91" s="119" t="s">
        <v>73</v>
      </c>
      <c r="G91" s="120">
        <v>1.3</v>
      </c>
      <c r="H91" s="120">
        <v>0</v>
      </c>
      <c r="I91" s="120">
        <v>1.3</v>
      </c>
      <c r="J91" s="120">
        <v>2.7</v>
      </c>
      <c r="K91" s="120">
        <v>1</v>
      </c>
      <c r="L91" s="120">
        <v>3.7</v>
      </c>
      <c r="M91" s="121">
        <v>1.3</v>
      </c>
      <c r="N91" s="120">
        <v>0</v>
      </c>
      <c r="O91" s="120">
        <v>0</v>
      </c>
      <c r="P91" s="120">
        <v>0</v>
      </c>
      <c r="Q91" s="120">
        <v>0</v>
      </c>
      <c r="R91" s="120">
        <v>0</v>
      </c>
      <c r="S91" s="120">
        <v>0</v>
      </c>
      <c r="T91" s="120">
        <v>1.7</v>
      </c>
      <c r="U91" s="120">
        <v>1.7</v>
      </c>
      <c r="V91" s="120">
        <v>2.2999999999999998</v>
      </c>
      <c r="W91" s="120">
        <v>0</v>
      </c>
      <c r="X91" s="120">
        <v>0</v>
      </c>
      <c r="Y91" s="120">
        <v>0</v>
      </c>
      <c r="Z91" s="121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0</v>
      </c>
      <c r="AF91" s="120">
        <v>0</v>
      </c>
      <c r="AG91" s="120">
        <v>2</v>
      </c>
      <c r="AH91" s="121">
        <v>35.200000000000003</v>
      </c>
      <c r="AI91" s="120">
        <v>1.3</v>
      </c>
      <c r="AJ91" s="121">
        <v>44.5</v>
      </c>
    </row>
    <row r="92" spans="4:36" x14ac:dyDescent="0.3">
      <c r="D92" s="118">
        <v>2014</v>
      </c>
      <c r="E92" s="119">
        <v>275</v>
      </c>
      <c r="F92" s="119" t="s">
        <v>73</v>
      </c>
      <c r="G92" s="120">
        <v>8.4</v>
      </c>
      <c r="H92" s="120">
        <v>0.4</v>
      </c>
      <c r="I92" s="120">
        <v>0</v>
      </c>
      <c r="J92" s="120">
        <v>6.9</v>
      </c>
      <c r="K92" s="120">
        <v>0</v>
      </c>
      <c r="L92" s="120">
        <v>4.4000000000000004</v>
      </c>
      <c r="M92" s="121">
        <v>0</v>
      </c>
      <c r="N92" s="120">
        <v>0</v>
      </c>
      <c r="O92" s="120">
        <v>0</v>
      </c>
      <c r="P92" s="120">
        <v>0</v>
      </c>
      <c r="Q92" s="120">
        <v>0</v>
      </c>
      <c r="R92" s="120">
        <v>0</v>
      </c>
      <c r="S92" s="120">
        <v>2.5</v>
      </c>
      <c r="T92" s="120">
        <v>7.6</v>
      </c>
      <c r="U92" s="120">
        <v>1.5</v>
      </c>
      <c r="V92" s="120">
        <v>8.4</v>
      </c>
      <c r="W92" s="120">
        <v>0</v>
      </c>
      <c r="X92" s="120">
        <v>0</v>
      </c>
      <c r="Y92" s="120">
        <v>0</v>
      </c>
      <c r="Z92" s="121">
        <v>0</v>
      </c>
      <c r="AA92" s="120">
        <v>0</v>
      </c>
      <c r="AB92" s="120">
        <v>0</v>
      </c>
      <c r="AC92" s="120">
        <v>0</v>
      </c>
      <c r="AD92" s="120">
        <v>0</v>
      </c>
      <c r="AE92" s="120">
        <v>0</v>
      </c>
      <c r="AF92" s="120">
        <v>0</v>
      </c>
      <c r="AG92" s="120">
        <v>3.3</v>
      </c>
      <c r="AH92" s="121">
        <v>0</v>
      </c>
      <c r="AI92" s="120">
        <v>0.4</v>
      </c>
      <c r="AJ92" s="121">
        <v>56.4</v>
      </c>
    </row>
    <row r="93" spans="4:36" x14ac:dyDescent="0.3">
      <c r="D93" s="118">
        <v>2015</v>
      </c>
      <c r="E93" s="119">
        <v>369</v>
      </c>
      <c r="F93" s="119" t="s">
        <v>73</v>
      </c>
      <c r="G93" s="120">
        <v>6.5</v>
      </c>
      <c r="H93" s="120">
        <v>0</v>
      </c>
      <c r="I93" s="120">
        <v>0.8</v>
      </c>
      <c r="J93" s="120">
        <v>6</v>
      </c>
      <c r="K93" s="120">
        <v>3</v>
      </c>
      <c r="L93" s="120">
        <v>0.5</v>
      </c>
      <c r="M93" s="121">
        <v>0</v>
      </c>
      <c r="N93" s="120">
        <v>0</v>
      </c>
      <c r="O93" s="120">
        <v>0</v>
      </c>
      <c r="P93" s="120">
        <v>1.1000000000000001</v>
      </c>
      <c r="Q93" s="120">
        <v>0</v>
      </c>
      <c r="R93" s="120">
        <v>0</v>
      </c>
      <c r="S93" s="120">
        <v>0</v>
      </c>
      <c r="T93" s="120">
        <v>0.8</v>
      </c>
      <c r="U93" s="120">
        <v>1.1000000000000001</v>
      </c>
      <c r="V93" s="120">
        <v>0.8</v>
      </c>
      <c r="W93" s="120">
        <v>0</v>
      </c>
      <c r="X93" s="120">
        <v>0</v>
      </c>
      <c r="Y93" s="120">
        <v>0</v>
      </c>
      <c r="Z93" s="121">
        <v>0</v>
      </c>
      <c r="AA93" s="120">
        <v>0</v>
      </c>
      <c r="AB93" s="120">
        <v>0</v>
      </c>
      <c r="AC93" s="120">
        <v>0</v>
      </c>
      <c r="AD93" s="120">
        <v>0</v>
      </c>
      <c r="AE93" s="120">
        <v>0</v>
      </c>
      <c r="AF93" s="120">
        <v>0</v>
      </c>
      <c r="AG93" s="120">
        <v>9.1999999999999993</v>
      </c>
      <c r="AH93" s="121">
        <v>2.7</v>
      </c>
      <c r="AI93" s="120">
        <v>0</v>
      </c>
      <c r="AJ93" s="121">
        <v>67.5</v>
      </c>
    </row>
    <row r="94" spans="4:36" ht="15" thickBot="1" x14ac:dyDescent="0.35">
      <c r="D94" s="122">
        <v>2016</v>
      </c>
      <c r="E94" s="123" t="s">
        <v>76</v>
      </c>
      <c r="F94" s="124" t="s">
        <v>201</v>
      </c>
      <c r="G94" s="125" t="s">
        <v>67</v>
      </c>
      <c r="H94" s="125" t="s">
        <v>67</v>
      </c>
      <c r="I94" s="125" t="s">
        <v>67</v>
      </c>
      <c r="J94" s="125" t="s">
        <v>67</v>
      </c>
      <c r="K94" s="125" t="s">
        <v>67</v>
      </c>
      <c r="L94" s="126" t="s">
        <v>67</v>
      </c>
      <c r="M94" s="123" t="s">
        <v>67</v>
      </c>
      <c r="N94" s="126" t="s">
        <v>67</v>
      </c>
      <c r="O94" s="125" t="s">
        <v>67</v>
      </c>
      <c r="P94" s="125" t="s">
        <v>67</v>
      </c>
      <c r="Q94" s="125" t="s">
        <v>67</v>
      </c>
      <c r="R94" s="125" t="s">
        <v>67</v>
      </c>
      <c r="S94" s="126" t="s">
        <v>67</v>
      </c>
      <c r="T94" s="125" t="s">
        <v>67</v>
      </c>
      <c r="U94" s="125" t="s">
        <v>67</v>
      </c>
      <c r="V94" s="125" t="s">
        <v>67</v>
      </c>
      <c r="W94" s="125" t="s">
        <v>67</v>
      </c>
      <c r="X94" s="127" t="s">
        <v>201</v>
      </c>
      <c r="Y94" s="127" t="s">
        <v>201</v>
      </c>
      <c r="Z94" s="124" t="s">
        <v>201</v>
      </c>
      <c r="AA94" s="127" t="s">
        <v>201</v>
      </c>
      <c r="AB94" s="127" t="s">
        <v>201</v>
      </c>
      <c r="AC94" s="127" t="s">
        <v>201</v>
      </c>
      <c r="AD94" s="127" t="s">
        <v>201</v>
      </c>
      <c r="AE94" s="127" t="s">
        <v>201</v>
      </c>
      <c r="AF94" s="127" t="s">
        <v>201</v>
      </c>
      <c r="AG94" s="127" t="s">
        <v>201</v>
      </c>
      <c r="AH94" s="124" t="s">
        <v>201</v>
      </c>
      <c r="AI94" s="125" t="s">
        <v>67</v>
      </c>
      <c r="AJ94" s="123" t="s">
        <v>67</v>
      </c>
    </row>
    <row r="95" spans="4:36" ht="15" thickBot="1" x14ac:dyDescent="0.35">
      <c r="D95" s="122" t="s">
        <v>78</v>
      </c>
      <c r="E95" s="123">
        <v>807</v>
      </c>
      <c r="F95" s="124" t="s">
        <v>201</v>
      </c>
      <c r="G95" s="127">
        <v>5.6</v>
      </c>
      <c r="H95" s="127">
        <v>0.1</v>
      </c>
      <c r="I95" s="127">
        <v>0.3</v>
      </c>
      <c r="J95" s="127">
        <v>4.2</v>
      </c>
      <c r="K95" s="127">
        <v>0.2</v>
      </c>
      <c r="L95" s="127">
        <v>8</v>
      </c>
      <c r="M95" s="124">
        <v>0.4</v>
      </c>
      <c r="N95" s="127">
        <v>0.7</v>
      </c>
      <c r="O95" s="127">
        <v>0.3</v>
      </c>
      <c r="P95" s="127">
        <v>0.1</v>
      </c>
      <c r="Q95" s="127">
        <v>0</v>
      </c>
      <c r="R95" s="127">
        <v>0.5</v>
      </c>
      <c r="S95" s="127">
        <v>0.2</v>
      </c>
      <c r="T95" s="127">
        <v>1.7</v>
      </c>
      <c r="U95" s="127">
        <v>0.6</v>
      </c>
      <c r="V95" s="127">
        <v>1.1000000000000001</v>
      </c>
      <c r="W95" s="127">
        <v>0.1</v>
      </c>
      <c r="X95" s="127">
        <v>0.1</v>
      </c>
      <c r="Y95" s="127">
        <v>0</v>
      </c>
      <c r="Z95" s="124">
        <v>0.4</v>
      </c>
      <c r="AA95" s="127">
        <v>0</v>
      </c>
      <c r="AB95" s="127">
        <v>0</v>
      </c>
      <c r="AC95" s="127">
        <v>0</v>
      </c>
      <c r="AD95" s="127">
        <v>0</v>
      </c>
      <c r="AE95" s="127">
        <v>0</v>
      </c>
      <c r="AF95" s="127">
        <v>0</v>
      </c>
      <c r="AG95" s="127">
        <v>11</v>
      </c>
      <c r="AH95" s="124">
        <v>10</v>
      </c>
      <c r="AI95" s="127">
        <v>2.7</v>
      </c>
      <c r="AJ95" s="124">
        <v>51.7</v>
      </c>
    </row>
    <row r="96" spans="4:36" ht="15" thickBot="1" x14ac:dyDescent="0.35">
      <c r="D96" s="122" t="s">
        <v>79</v>
      </c>
      <c r="E96" s="123">
        <v>282</v>
      </c>
      <c r="F96" s="124" t="s">
        <v>201</v>
      </c>
      <c r="G96" s="127">
        <v>12.4</v>
      </c>
      <c r="H96" s="127">
        <v>0</v>
      </c>
      <c r="I96" s="127">
        <v>0</v>
      </c>
      <c r="J96" s="127">
        <v>2.4</v>
      </c>
      <c r="K96" s="127">
        <v>0</v>
      </c>
      <c r="L96" s="127">
        <v>0</v>
      </c>
      <c r="M96" s="124">
        <v>0</v>
      </c>
      <c r="N96" s="127">
        <v>0</v>
      </c>
      <c r="O96" s="127">
        <v>0</v>
      </c>
      <c r="P96" s="127">
        <v>0</v>
      </c>
      <c r="Q96" s="127">
        <v>0</v>
      </c>
      <c r="R96" s="127">
        <v>0</v>
      </c>
      <c r="S96" s="127">
        <v>0</v>
      </c>
      <c r="T96" s="127">
        <v>0.3</v>
      </c>
      <c r="U96" s="127">
        <v>0</v>
      </c>
      <c r="V96" s="127">
        <v>1.1000000000000001</v>
      </c>
      <c r="W96" s="127">
        <v>0</v>
      </c>
      <c r="X96" s="127">
        <v>0</v>
      </c>
      <c r="Y96" s="127">
        <v>0</v>
      </c>
      <c r="Z96" s="124">
        <v>0</v>
      </c>
      <c r="AA96" s="127">
        <v>0</v>
      </c>
      <c r="AB96" s="127">
        <v>0</v>
      </c>
      <c r="AC96" s="127">
        <v>0</v>
      </c>
      <c r="AD96" s="127">
        <v>0</v>
      </c>
      <c r="AE96" s="127">
        <v>0</v>
      </c>
      <c r="AF96" s="127">
        <v>0</v>
      </c>
      <c r="AG96" s="127">
        <v>0.5</v>
      </c>
      <c r="AH96" s="124">
        <v>3.8</v>
      </c>
      <c r="AI96" s="127">
        <v>0.2</v>
      </c>
      <c r="AJ96" s="124">
        <v>79.5</v>
      </c>
    </row>
    <row r="97" spans="4:36" ht="15" thickBot="1" x14ac:dyDescent="0.35">
      <c r="D97" s="122" t="s">
        <v>80</v>
      </c>
      <c r="E97" s="123">
        <v>575</v>
      </c>
      <c r="F97" s="124" t="s">
        <v>201</v>
      </c>
      <c r="G97" s="127">
        <v>12.8</v>
      </c>
      <c r="H97" s="127">
        <v>0</v>
      </c>
      <c r="I97" s="127">
        <v>0.8</v>
      </c>
      <c r="J97" s="127">
        <v>3.9</v>
      </c>
      <c r="K97" s="127">
        <v>1.5</v>
      </c>
      <c r="L97" s="127">
        <v>6.1</v>
      </c>
      <c r="M97" s="124">
        <v>1.5</v>
      </c>
      <c r="N97" s="127">
        <v>0</v>
      </c>
      <c r="O97" s="127">
        <v>0</v>
      </c>
      <c r="P97" s="127">
        <v>0.4</v>
      </c>
      <c r="Q97" s="127">
        <v>0</v>
      </c>
      <c r="R97" s="127">
        <v>0</v>
      </c>
      <c r="S97" s="127">
        <v>0.3</v>
      </c>
      <c r="T97" s="127">
        <v>3</v>
      </c>
      <c r="U97" s="127">
        <v>1.3</v>
      </c>
      <c r="V97" s="127">
        <v>1.9</v>
      </c>
      <c r="W97" s="127">
        <v>0.1</v>
      </c>
      <c r="X97" s="127">
        <v>0</v>
      </c>
      <c r="Y97" s="127">
        <v>0</v>
      </c>
      <c r="Z97" s="124">
        <v>0.7</v>
      </c>
      <c r="AA97" s="127">
        <v>0</v>
      </c>
      <c r="AB97" s="127">
        <v>0</v>
      </c>
      <c r="AC97" s="127">
        <v>0</v>
      </c>
      <c r="AD97" s="127">
        <v>0</v>
      </c>
      <c r="AE97" s="127">
        <v>0</v>
      </c>
      <c r="AF97" s="127">
        <v>0</v>
      </c>
      <c r="AG97" s="127">
        <v>4.4000000000000004</v>
      </c>
      <c r="AH97" s="124">
        <v>5.7</v>
      </c>
      <c r="AI97" s="127">
        <v>1.4</v>
      </c>
      <c r="AJ97" s="124">
        <v>54.2</v>
      </c>
    </row>
    <row r="98" spans="4:36" ht="15" thickBot="1" x14ac:dyDescent="0.35">
      <c r="D98" s="122" t="s">
        <v>205</v>
      </c>
      <c r="E98" s="123">
        <v>260</v>
      </c>
      <c r="F98" s="124" t="s">
        <v>201</v>
      </c>
      <c r="G98" s="127">
        <v>9.6</v>
      </c>
      <c r="H98" s="127">
        <v>0.4</v>
      </c>
      <c r="I98" s="127">
        <v>0.5</v>
      </c>
      <c r="J98" s="127">
        <v>5.7</v>
      </c>
      <c r="K98" s="127">
        <v>1.9</v>
      </c>
      <c r="L98" s="127">
        <v>3.9</v>
      </c>
      <c r="M98" s="124">
        <v>3.8</v>
      </c>
      <c r="N98" s="127">
        <v>0</v>
      </c>
      <c r="O98" s="127">
        <v>0</v>
      </c>
      <c r="P98" s="127">
        <v>0.2</v>
      </c>
      <c r="Q98" s="127">
        <v>0</v>
      </c>
      <c r="R98" s="127">
        <v>0</v>
      </c>
      <c r="S98" s="127">
        <v>0.5</v>
      </c>
      <c r="T98" s="127">
        <v>2.7</v>
      </c>
      <c r="U98" s="127">
        <v>2.6</v>
      </c>
      <c r="V98" s="127">
        <v>2</v>
      </c>
      <c r="W98" s="127">
        <v>0</v>
      </c>
      <c r="X98" s="127">
        <v>0</v>
      </c>
      <c r="Y98" s="127">
        <v>0</v>
      </c>
      <c r="Z98" s="124">
        <v>0</v>
      </c>
      <c r="AA98" s="127">
        <v>0</v>
      </c>
      <c r="AB98" s="127">
        <v>0</v>
      </c>
      <c r="AC98" s="127">
        <v>0</v>
      </c>
      <c r="AD98" s="127">
        <v>0</v>
      </c>
      <c r="AE98" s="127">
        <v>0</v>
      </c>
      <c r="AF98" s="127">
        <v>0</v>
      </c>
      <c r="AG98" s="127">
        <v>3.4</v>
      </c>
      <c r="AH98" s="124">
        <v>12.4</v>
      </c>
      <c r="AI98" s="127">
        <v>0.7</v>
      </c>
      <c r="AJ98" s="124">
        <v>49.9</v>
      </c>
    </row>
  </sheetData>
  <mergeCells count="55">
    <mergeCell ref="AJ61:AJ62"/>
    <mergeCell ref="Y61:Z61"/>
    <mergeCell ref="AA61:AC61"/>
    <mergeCell ref="AD61:AE61"/>
    <mergeCell ref="AF61:AH61"/>
    <mergeCell ref="AI61:AI62"/>
    <mergeCell ref="L61:M61"/>
    <mergeCell ref="N61:P61"/>
    <mergeCell ref="Q61:S61"/>
    <mergeCell ref="T61:U61"/>
    <mergeCell ref="V61:W61"/>
    <mergeCell ref="AC59:AC60"/>
    <mergeCell ref="AD59:AF60"/>
    <mergeCell ref="AG59:AG60"/>
    <mergeCell ref="AH59:AH60"/>
    <mergeCell ref="AI59:AJ60"/>
    <mergeCell ref="X59:X60"/>
    <mergeCell ref="Y59:Y60"/>
    <mergeCell ref="Z59:Z60"/>
    <mergeCell ref="AA59:AA60"/>
    <mergeCell ref="AB59:AB60"/>
    <mergeCell ref="Q59:Q60"/>
    <mergeCell ref="R59:R60"/>
    <mergeCell ref="S59:U60"/>
    <mergeCell ref="V59:V60"/>
    <mergeCell ref="W59:W60"/>
    <mergeCell ref="L59:L60"/>
    <mergeCell ref="M59:M60"/>
    <mergeCell ref="N59:N60"/>
    <mergeCell ref="O59:O60"/>
    <mergeCell ref="P59:P60"/>
    <mergeCell ref="D59:D62"/>
    <mergeCell ref="F59:F62"/>
    <mergeCell ref="G59:G60"/>
    <mergeCell ref="H59:H60"/>
    <mergeCell ref="I59:K60"/>
    <mergeCell ref="G61:I61"/>
    <mergeCell ref="J61:K61"/>
    <mergeCell ref="F2:F4"/>
    <mergeCell ref="G2:M2"/>
    <mergeCell ref="N2:Z2"/>
    <mergeCell ref="AA2:AH2"/>
    <mergeCell ref="AI2:AJ2"/>
    <mergeCell ref="J3:K3"/>
    <mergeCell ref="L3:M3"/>
    <mergeCell ref="N3:P3"/>
    <mergeCell ref="Q3:S3"/>
    <mergeCell ref="T3:U3"/>
    <mergeCell ref="AI3:AI4"/>
    <mergeCell ref="AJ3:AJ4"/>
    <mergeCell ref="G5:I5"/>
    <mergeCell ref="V3:W3"/>
    <mergeCell ref="Y3:Z3"/>
    <mergeCell ref="AD3:AE3"/>
    <mergeCell ref="AF3:AH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Documentation</vt:lpstr>
      <vt:lpstr>Run</vt:lpstr>
      <vt:lpstr>Conv</vt:lpstr>
      <vt:lpstr>Spawners</vt:lpstr>
      <vt:lpstr>Hatchery</vt:lpstr>
      <vt:lpstr>Fishery</vt:lpstr>
      <vt:lpstr>Background</vt:lpstr>
      <vt:lpstr>Run!_Toc485835437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cp:lastPrinted>2019-03-08T04:05:06Z</cp:lastPrinted>
  <dcterms:created xsi:type="dcterms:W3CDTF">2018-03-20T01:08:30Z</dcterms:created>
  <dcterms:modified xsi:type="dcterms:W3CDTF">2021-09-07T19:27:36Z</dcterms:modified>
</cp:coreProperties>
</file>