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beame\Documents\NMFS Columbia Basin\10. Quantitative goals\LCR Chinook Spring\"/>
    </mc:Choice>
  </mc:AlternateContent>
  <xr:revisionPtr revIDLastSave="0" documentId="13_ncr:1_{3B080F25-B1B8-4A5D-A8F9-56BC98F414E1}" xr6:coauthVersionLast="46" xr6:coauthVersionMax="46" xr10:uidLastSave="{00000000-0000-0000-0000-000000000000}"/>
  <bookViews>
    <workbookView xWindow="-108" yWindow="-108" windowWidth="23256" windowHeight="12576" tabRatio="660" activeTab="4" xr2:uid="{00000000-000D-0000-FFFF-FFFF00000000}"/>
  </bookViews>
  <sheets>
    <sheet name="Summary" sheetId="2" r:id="rId1"/>
    <sheet name="Spawners" sheetId="3" r:id="rId2"/>
    <sheet name="Hatchery" sheetId="4" r:id="rId3"/>
    <sheet name="Fishery" sheetId="5" r:id="rId4"/>
    <sheet name="Run" sheetId="1" r:id="rId5"/>
    <sheet name="Conv" sheetId="9" r:id="rId6"/>
    <sheet name="Background" sheetId="6" r:id="rId7"/>
    <sheet name="EDT" sheetId="7" r:id="rId8"/>
    <sheet name="Documentation" sheetId="8" r:id="rId9"/>
  </sheets>
  <definedNames>
    <definedName name="_xlnm._FilterDatabase" localSheetId="7" hidden="1">EDT!$A$5:$AJ$90</definedName>
    <definedName name="_Ref67714019" localSheetId="7">EDT!$A$1</definedName>
    <definedName name="_Ref67714019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5" i="2" l="1"/>
  <c r="AE5" i="2"/>
  <c r="AD5" i="2"/>
  <c r="D22" i="9"/>
  <c r="D16" i="9"/>
  <c r="D18" i="9"/>
  <c r="L60" i="2" l="1"/>
  <c r="L59" i="2"/>
  <c r="L58" i="2"/>
  <c r="L57" i="2"/>
  <c r="L56" i="2"/>
  <c r="L55" i="2"/>
  <c r="L54" i="2"/>
  <c r="L53" i="2"/>
  <c r="K60" i="2"/>
  <c r="K59" i="2"/>
  <c r="K58" i="2"/>
  <c r="K57" i="2"/>
  <c r="K56" i="2"/>
  <c r="K55" i="2"/>
  <c r="K54" i="2"/>
  <c r="K53" i="2"/>
  <c r="M67" i="2"/>
  <c r="Y27" i="2" l="1"/>
  <c r="Y25" i="2"/>
  <c r="V25" i="2"/>
  <c r="V22" i="2" l="1"/>
  <c r="V27" i="2" s="1"/>
  <c r="Y22" i="2"/>
  <c r="W22" i="2"/>
  <c r="W27" i="2" s="1"/>
  <c r="X44" i="2" l="1"/>
  <c r="W44" i="2"/>
  <c r="P8" i="9" l="1"/>
  <c r="CW17" i="1" l="1"/>
  <c r="CW16" i="1"/>
  <c r="CW15" i="1"/>
  <c r="CW14" i="1"/>
  <c r="CH18" i="1"/>
  <c r="CH17" i="1"/>
  <c r="CH16" i="1"/>
  <c r="CH15" i="1"/>
  <c r="CH12" i="1"/>
  <c r="CH11" i="1"/>
  <c r="CH10" i="1"/>
  <c r="BS18" i="1"/>
  <c r="BS17" i="1"/>
  <c r="BS16" i="1"/>
  <c r="BS14" i="1"/>
  <c r="BS13" i="1"/>
  <c r="BS12" i="1"/>
  <c r="BS11" i="1"/>
  <c r="BS10" i="1"/>
  <c r="BK15" i="1" l="1"/>
  <c r="BJ15" i="1"/>
  <c r="BS15" i="1" s="1"/>
  <c r="DV38" i="1" l="1"/>
  <c r="DV37" i="1"/>
  <c r="DV36" i="1"/>
  <c r="DV35" i="1"/>
  <c r="DV34" i="1"/>
  <c r="DV33" i="1"/>
  <c r="DV32" i="1"/>
  <c r="DV31" i="1"/>
  <c r="DV30" i="1"/>
  <c r="DV29" i="1"/>
  <c r="DV28" i="1"/>
  <c r="DN38" i="1"/>
  <c r="DN37" i="1"/>
  <c r="DN36" i="1"/>
  <c r="DN35" i="1"/>
  <c r="DN34" i="1"/>
  <c r="DN33" i="1"/>
  <c r="DN32" i="1"/>
  <c r="DN31" i="1"/>
  <c r="DV41" i="1" l="1"/>
  <c r="Y43" i="2" s="1"/>
  <c r="DP11" i="1"/>
  <c r="DP10" i="1"/>
  <c r="DP9" i="1"/>
  <c r="DP8" i="1"/>
  <c r="DP7" i="1"/>
  <c r="DP12" i="1"/>
  <c r="AJ41" i="1" l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L25" i="1" s="1"/>
  <c r="AJ24" i="1"/>
  <c r="AL24" i="1" s="1"/>
  <c r="AJ23" i="1"/>
  <c r="AL23" i="1" s="1"/>
  <c r="BB10" i="1" s="1"/>
  <c r="AJ22" i="1"/>
  <c r="AL22" i="1" s="1"/>
  <c r="BB9" i="1" s="1"/>
  <c r="AJ21" i="1"/>
  <c r="AL21" i="1" s="1"/>
  <c r="BB8" i="1" s="1"/>
  <c r="AJ20" i="1"/>
  <c r="AL20" i="1" s="1"/>
  <c r="BB7" i="1" s="1"/>
  <c r="AJ15" i="1"/>
  <c r="AL15" i="1" s="1"/>
  <c r="AJ14" i="1"/>
  <c r="AL14" i="1" s="1"/>
  <c r="AJ11" i="1"/>
  <c r="AL11" i="1" s="1"/>
  <c r="AJ10" i="1"/>
  <c r="AJ9" i="1"/>
  <c r="AL9" i="1" s="1"/>
  <c r="AJ8" i="1"/>
  <c r="AL8" i="1" s="1"/>
  <c r="AJ7" i="1"/>
  <c r="AL7" i="1" s="1"/>
  <c r="AL38" i="1" l="1"/>
  <c r="AL28" i="1"/>
  <c r="AL41" i="1"/>
  <c r="AL35" i="1"/>
  <c r="AL31" i="1"/>
  <c r="HN20" i="1"/>
  <c r="HN19" i="1"/>
  <c r="HN18" i="1"/>
  <c r="HN17" i="1"/>
  <c r="HN16" i="1"/>
  <c r="HN15" i="1"/>
  <c r="HN14" i="1"/>
  <c r="HN13" i="1"/>
  <c r="HN12" i="1"/>
  <c r="HN11" i="1"/>
  <c r="HN10" i="1"/>
  <c r="HK20" i="1"/>
  <c r="HJ20" i="1"/>
  <c r="HK19" i="1"/>
  <c r="HJ19" i="1"/>
  <c r="HK18" i="1"/>
  <c r="HJ18" i="1"/>
  <c r="HK17" i="1"/>
  <c r="HJ17" i="1"/>
  <c r="HK16" i="1"/>
  <c r="HJ16" i="1"/>
  <c r="HK15" i="1"/>
  <c r="HJ15" i="1"/>
  <c r="HK14" i="1"/>
  <c r="HJ14" i="1"/>
  <c r="HK13" i="1"/>
  <c r="HJ13" i="1"/>
  <c r="HK12" i="1"/>
  <c r="HJ12" i="1"/>
  <c r="HK11" i="1"/>
  <c r="HJ11" i="1"/>
  <c r="HK10" i="1"/>
  <c r="HJ10" i="1"/>
  <c r="GW20" i="1"/>
  <c r="GW19" i="1"/>
  <c r="GW18" i="1"/>
  <c r="GW17" i="1"/>
  <c r="GW16" i="1"/>
  <c r="GW15" i="1"/>
  <c r="GW14" i="1"/>
  <c r="GW13" i="1"/>
  <c r="GW12" i="1"/>
  <c r="GW11" i="1"/>
  <c r="GW10" i="1"/>
  <c r="GT20" i="1"/>
  <c r="GT19" i="1"/>
  <c r="GT18" i="1"/>
  <c r="GT17" i="1"/>
  <c r="GT16" i="1"/>
  <c r="GT15" i="1"/>
  <c r="GT14" i="1"/>
  <c r="GT13" i="1"/>
  <c r="GT12" i="1"/>
  <c r="GT11" i="1"/>
  <c r="GT10" i="1"/>
  <c r="GW9" i="1"/>
  <c r="HN9" i="1"/>
  <c r="HK9" i="1"/>
  <c r="HJ9" i="1"/>
  <c r="GT9" i="1"/>
  <c r="HD20" i="1"/>
  <c r="HD19" i="1"/>
  <c r="HD18" i="1"/>
  <c r="HD17" i="1"/>
  <c r="HD16" i="1"/>
  <c r="HD15" i="1"/>
  <c r="HD14" i="1"/>
  <c r="HD13" i="1"/>
  <c r="HD12" i="1"/>
  <c r="HD11" i="1"/>
  <c r="HD10" i="1"/>
  <c r="HD9" i="1"/>
  <c r="HG20" i="1"/>
  <c r="HG19" i="1"/>
  <c r="HG18" i="1"/>
  <c r="HG17" i="1"/>
  <c r="HG16" i="1"/>
  <c r="HG15" i="1"/>
  <c r="HG14" i="1"/>
  <c r="HG13" i="1"/>
  <c r="HG12" i="1"/>
  <c r="HG11" i="1"/>
  <c r="HG10" i="1"/>
  <c r="HG9" i="1"/>
  <c r="HL14" i="1" l="1"/>
  <c r="HL18" i="1"/>
  <c r="HO10" i="1"/>
  <c r="HK22" i="1"/>
  <c r="Y49" i="2" s="1"/>
  <c r="HL12" i="1"/>
  <c r="HL16" i="1"/>
  <c r="HL20" i="1"/>
  <c r="HL9" i="1"/>
  <c r="HO9" i="1"/>
  <c r="HL19" i="1"/>
  <c r="HO18" i="1"/>
  <c r="HL10" i="1"/>
  <c r="HO11" i="1"/>
  <c r="HO19" i="1"/>
  <c r="HO12" i="1"/>
  <c r="HO20" i="1"/>
  <c r="HO13" i="1"/>
  <c r="HL13" i="1"/>
  <c r="HL11" i="1"/>
  <c r="HL15" i="1"/>
  <c r="HO14" i="1"/>
  <c r="HO17" i="1"/>
  <c r="HO15" i="1"/>
  <c r="HL17" i="1"/>
  <c r="HO16" i="1"/>
  <c r="HN22" i="1"/>
  <c r="Y48" i="2" s="1"/>
  <c r="HW20" i="1"/>
  <c r="HZ20" i="1" s="1"/>
  <c r="HV20" i="1"/>
  <c r="HY20" i="1" s="1"/>
  <c r="HW19" i="1"/>
  <c r="HZ19" i="1" s="1"/>
  <c r="HV19" i="1"/>
  <c r="HY19" i="1" s="1"/>
  <c r="HW18" i="1"/>
  <c r="HZ18" i="1" s="1"/>
  <c r="HV18" i="1"/>
  <c r="HY18" i="1" s="1"/>
  <c r="HW17" i="1"/>
  <c r="HZ17" i="1" s="1"/>
  <c r="HV17" i="1"/>
  <c r="HY17" i="1" s="1"/>
  <c r="HW16" i="1"/>
  <c r="HZ16" i="1" s="1"/>
  <c r="HV16" i="1"/>
  <c r="HY16" i="1" s="1"/>
  <c r="HW15" i="1"/>
  <c r="HZ15" i="1" s="1"/>
  <c r="HV15" i="1"/>
  <c r="HY15" i="1" s="1"/>
  <c r="HW14" i="1"/>
  <c r="HZ14" i="1" s="1"/>
  <c r="HV14" i="1"/>
  <c r="HY14" i="1" s="1"/>
  <c r="HW13" i="1"/>
  <c r="HZ13" i="1" s="1"/>
  <c r="HV13" i="1"/>
  <c r="HY13" i="1" s="1"/>
  <c r="HW12" i="1"/>
  <c r="HZ12" i="1" s="1"/>
  <c r="HV12" i="1"/>
  <c r="HY12" i="1" s="1"/>
  <c r="HW11" i="1"/>
  <c r="HZ11" i="1" s="1"/>
  <c r="HV11" i="1"/>
  <c r="HY11" i="1" s="1"/>
  <c r="HW10" i="1"/>
  <c r="HZ10" i="1" s="1"/>
  <c r="HV10" i="1"/>
  <c r="HY10" i="1" s="1"/>
  <c r="HW9" i="1"/>
  <c r="HZ9" i="1" s="1"/>
  <c r="HV9" i="1"/>
  <c r="HY9" i="1" s="1"/>
  <c r="Z48" i="2" l="1"/>
  <c r="HL22" i="1"/>
  <c r="V49" i="2" s="1"/>
  <c r="HO22" i="1"/>
  <c r="V48" i="2" s="1"/>
  <c r="V17" i="2"/>
  <c r="Z50" i="2" l="1"/>
  <c r="V50" i="2"/>
  <c r="U50" i="2"/>
  <c r="Y50" i="2"/>
  <c r="GI19" i="1" l="1"/>
  <c r="GJ19" i="1" s="1"/>
  <c r="GI18" i="1"/>
  <c r="GJ18" i="1" s="1"/>
  <c r="GI17" i="1"/>
  <c r="GJ17" i="1" s="1"/>
  <c r="GI16" i="1"/>
  <c r="GJ16" i="1" s="1"/>
  <c r="GI15" i="1"/>
  <c r="GJ15" i="1" s="1"/>
  <c r="GI14" i="1"/>
  <c r="GJ14" i="1" s="1"/>
  <c r="GI13" i="1"/>
  <c r="GJ13" i="1" s="1"/>
  <c r="GI12" i="1"/>
  <c r="GI22" i="1" l="1"/>
  <c r="Y46" i="2" s="1"/>
  <c r="GJ12" i="1"/>
  <c r="GJ22" i="1" s="1"/>
  <c r="V45" i="2" s="1"/>
  <c r="GD19" i="1"/>
  <c r="GD18" i="1"/>
  <c r="GD17" i="1"/>
  <c r="GD16" i="1"/>
  <c r="GD15" i="1"/>
  <c r="GD14" i="1"/>
  <c r="GD13" i="1"/>
  <c r="GD12" i="1"/>
  <c r="GD22" i="1" l="1"/>
  <c r="Y45" i="2" s="1"/>
  <c r="GE12" i="1"/>
  <c r="GL13" i="1"/>
  <c r="GM13" i="1" s="1"/>
  <c r="GE13" i="1"/>
  <c r="GL14" i="1"/>
  <c r="GM14" i="1" s="1"/>
  <c r="GE14" i="1"/>
  <c r="GL15" i="1"/>
  <c r="GM15" i="1" s="1"/>
  <c r="GE15" i="1"/>
  <c r="GL16" i="1"/>
  <c r="GM16" i="1" s="1"/>
  <c r="GE16" i="1"/>
  <c r="GL17" i="1"/>
  <c r="GM17" i="1" s="1"/>
  <c r="GE17" i="1"/>
  <c r="GL18" i="1"/>
  <c r="GM18" i="1" s="1"/>
  <c r="GE18" i="1"/>
  <c r="GL19" i="1"/>
  <c r="GM19" i="1" s="1"/>
  <c r="GE19" i="1"/>
  <c r="GL12" i="1"/>
  <c r="GM12" i="1" s="1"/>
  <c r="EJ57" i="1"/>
  <c r="EJ56" i="1"/>
  <c r="EJ55" i="1"/>
  <c r="EJ54" i="1"/>
  <c r="EJ53" i="1"/>
  <c r="EJ52" i="1"/>
  <c r="EJ51" i="1"/>
  <c r="EJ50" i="1"/>
  <c r="EI57" i="1"/>
  <c r="EI56" i="1"/>
  <c r="EI55" i="1"/>
  <c r="EI54" i="1"/>
  <c r="EI53" i="1"/>
  <c r="EI52" i="1"/>
  <c r="EI51" i="1"/>
  <c r="EI50" i="1"/>
  <c r="EH57" i="1"/>
  <c r="EH56" i="1"/>
  <c r="EH55" i="1"/>
  <c r="EH54" i="1"/>
  <c r="EK54" i="1" s="1"/>
  <c r="EH53" i="1"/>
  <c r="EH52" i="1"/>
  <c r="EH51" i="1"/>
  <c r="EH50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GM22" i="1" l="1"/>
  <c r="GE22" i="1"/>
  <c r="V46" i="2" s="1"/>
  <c r="V47" i="2" s="1"/>
  <c r="Y47" i="2"/>
  <c r="Z45" i="2" s="1"/>
  <c r="Z47" i="2" s="1"/>
  <c r="EI44" i="1"/>
  <c r="EL44" i="1"/>
  <c r="EK53" i="1"/>
  <c r="EV44" i="1"/>
  <c r="EK51" i="1"/>
  <c r="EK52" i="1"/>
  <c r="EJ61" i="1"/>
  <c r="EK56" i="1"/>
  <c r="EK55" i="1"/>
  <c r="EK57" i="1"/>
  <c r="EH61" i="1"/>
  <c r="EK50" i="1"/>
  <c r="EI61" i="1"/>
  <c r="U31" i="2" l="1"/>
  <c r="U38" i="2"/>
  <c r="U40" i="2"/>
  <c r="U33" i="2"/>
  <c r="U32" i="2"/>
  <c r="U39" i="2"/>
  <c r="EK61" i="1"/>
  <c r="I4" i="9" s="1"/>
  <c r="AC32" i="2" l="1"/>
  <c r="I9" i="9"/>
  <c r="I8" i="9"/>
  <c r="Q8" i="9" s="1"/>
  <c r="F13" i="9"/>
  <c r="I7" i="9"/>
  <c r="Q7" i="9" s="1"/>
  <c r="DN17" i="1"/>
  <c r="DM17" i="1"/>
  <c r="DL17" i="1"/>
  <c r="DN16" i="1"/>
  <c r="DM16" i="1"/>
  <c r="DL16" i="1"/>
  <c r="DN15" i="1"/>
  <c r="DM15" i="1"/>
  <c r="DL15" i="1"/>
  <c r="DN14" i="1"/>
  <c r="DM14" i="1"/>
  <c r="DL14" i="1"/>
  <c r="DN13" i="1"/>
  <c r="DM13" i="1"/>
  <c r="DL13" i="1"/>
  <c r="DL11" i="1"/>
  <c r="DL10" i="1"/>
  <c r="DL9" i="1"/>
  <c r="DL8" i="1"/>
  <c r="DL7" i="1"/>
  <c r="DR11" i="1"/>
  <c r="DN11" i="1" s="1"/>
  <c r="DR10" i="1"/>
  <c r="DN10" i="1" s="1"/>
  <c r="DR9" i="1"/>
  <c r="DN9" i="1" s="1"/>
  <c r="DR8" i="1"/>
  <c r="DR7" i="1"/>
  <c r="DQ11" i="1"/>
  <c r="DM11" i="1" s="1"/>
  <c r="DQ10" i="1"/>
  <c r="DM10" i="1" s="1"/>
  <c r="DQ9" i="1"/>
  <c r="DM9" i="1" s="1"/>
  <c r="DQ8" i="1"/>
  <c r="DQ7" i="1"/>
  <c r="DM7" i="1" s="1"/>
  <c r="DR12" i="1"/>
  <c r="DN12" i="1" s="1"/>
  <c r="DQ12" i="1"/>
  <c r="DM12" i="1" s="1"/>
  <c r="DL12" i="1"/>
  <c r="DJ18" i="1"/>
  <c r="K32" i="1" s="1"/>
  <c r="DI18" i="1"/>
  <c r="DH18" i="1"/>
  <c r="BE17" i="1"/>
  <c r="DH17" i="1" s="1"/>
  <c r="BE16" i="1"/>
  <c r="DH16" i="1" s="1"/>
  <c r="BE15" i="1"/>
  <c r="DH15" i="1" s="1"/>
  <c r="BE14" i="1"/>
  <c r="DH14" i="1" s="1"/>
  <c r="BE13" i="1"/>
  <c r="BE12" i="1"/>
  <c r="BE11" i="1"/>
  <c r="BE10" i="1"/>
  <c r="BE9" i="1"/>
  <c r="BE8" i="1"/>
  <c r="BC17" i="1"/>
  <c r="BC16" i="1"/>
  <c r="BC15" i="1"/>
  <c r="BC14" i="1"/>
  <c r="BC13" i="1"/>
  <c r="BC12" i="1"/>
  <c r="BC11" i="1"/>
  <c r="BC10" i="1"/>
  <c r="BC9" i="1"/>
  <c r="BC8" i="1"/>
  <c r="BC7" i="1"/>
  <c r="BE7" i="1"/>
  <c r="F17" i="9" l="1"/>
  <c r="F18" i="9"/>
  <c r="F16" i="9"/>
  <c r="Q9" i="9"/>
  <c r="G9" i="9"/>
  <c r="DV17" i="1"/>
  <c r="DU17" i="1"/>
  <c r="DM38" i="1" s="1"/>
  <c r="DT17" i="1"/>
  <c r="DL38" i="1" s="1"/>
  <c r="DT15" i="1"/>
  <c r="DL36" i="1" s="1"/>
  <c r="DU15" i="1"/>
  <c r="DM36" i="1" s="1"/>
  <c r="DV15" i="1"/>
  <c r="DV14" i="1"/>
  <c r="DU14" i="1"/>
  <c r="DM35" i="1" s="1"/>
  <c r="DT14" i="1"/>
  <c r="DL35" i="1" s="1"/>
  <c r="DV16" i="1"/>
  <c r="DT16" i="1"/>
  <c r="DL37" i="1" s="1"/>
  <c r="DU16" i="1"/>
  <c r="DM37" i="1" s="1"/>
  <c r="DN8" i="1"/>
  <c r="DM8" i="1"/>
  <c r="DN7" i="1"/>
  <c r="CZ18" i="1" l="1"/>
  <c r="CY18" i="1"/>
  <c r="CX18" i="1"/>
  <c r="CR18" i="1"/>
  <c r="CQ18" i="1"/>
  <c r="CZ17" i="1"/>
  <c r="CY17" i="1"/>
  <c r="CX17" i="1"/>
  <c r="CR17" i="1"/>
  <c r="CQ17" i="1"/>
  <c r="CZ16" i="1"/>
  <c r="CY16" i="1"/>
  <c r="CX16" i="1"/>
  <c r="CR16" i="1"/>
  <c r="CQ16" i="1"/>
  <c r="CZ15" i="1"/>
  <c r="CY15" i="1"/>
  <c r="CX15" i="1"/>
  <c r="CR15" i="1"/>
  <c r="CQ15" i="1"/>
  <c r="CZ14" i="1"/>
  <c r="CY14" i="1"/>
  <c r="CX14" i="1"/>
  <c r="CR14" i="1"/>
  <c r="CQ14" i="1"/>
  <c r="CZ13" i="1"/>
  <c r="CZ12" i="1"/>
  <c r="CZ11" i="1"/>
  <c r="CZ10" i="1"/>
  <c r="CZ9" i="1"/>
  <c r="CZ8" i="1"/>
  <c r="CZ7" i="1"/>
  <c r="CR20" i="1" l="1"/>
  <c r="CQ20" i="1"/>
  <c r="CN7" i="1" l="1"/>
  <c r="CW7" i="1" s="1"/>
  <c r="CN12" i="1"/>
  <c r="CN8" i="1"/>
  <c r="CW8" i="1" s="1"/>
  <c r="CN9" i="1"/>
  <c r="CW9" i="1" s="1"/>
  <c r="CN11" i="1"/>
  <c r="CN10" i="1"/>
  <c r="CN13" i="1"/>
  <c r="CO7" i="1"/>
  <c r="CO10" i="1"/>
  <c r="CY10" i="1" s="1"/>
  <c r="CO13" i="1"/>
  <c r="CY13" i="1" s="1"/>
  <c r="CO12" i="1"/>
  <c r="CY12" i="1" s="1"/>
  <c r="CO11" i="1"/>
  <c r="CY11" i="1" s="1"/>
  <c r="CO9" i="1"/>
  <c r="CO8" i="1"/>
  <c r="CK18" i="1"/>
  <c r="CJ18" i="1"/>
  <c r="DD18" i="1" s="1"/>
  <c r="CI18" i="1"/>
  <c r="CC18" i="1"/>
  <c r="CB18" i="1"/>
  <c r="CK17" i="1"/>
  <c r="CJ17" i="1"/>
  <c r="CI17" i="1"/>
  <c r="CC17" i="1"/>
  <c r="CB17" i="1"/>
  <c r="CK16" i="1"/>
  <c r="CJ16" i="1"/>
  <c r="CI16" i="1"/>
  <c r="CC16" i="1"/>
  <c r="CB16" i="1"/>
  <c r="CK15" i="1"/>
  <c r="CJ15" i="1"/>
  <c r="CI15" i="1"/>
  <c r="DC15" i="1" s="1"/>
  <c r="CC15" i="1"/>
  <c r="CB15" i="1"/>
  <c r="CK14" i="1"/>
  <c r="CJ14" i="1"/>
  <c r="CI14" i="1"/>
  <c r="CC14" i="1"/>
  <c r="CB14" i="1"/>
  <c r="CK13" i="1"/>
  <c r="CJ13" i="1"/>
  <c r="CI13" i="1"/>
  <c r="CC13" i="1"/>
  <c r="CB13" i="1"/>
  <c r="CK12" i="1"/>
  <c r="CJ12" i="1"/>
  <c r="CI12" i="1"/>
  <c r="CC12" i="1"/>
  <c r="CB12" i="1"/>
  <c r="CK11" i="1"/>
  <c r="CJ11" i="1"/>
  <c r="CI11" i="1"/>
  <c r="CC11" i="1"/>
  <c r="CB11" i="1"/>
  <c r="CK10" i="1"/>
  <c r="CJ10" i="1"/>
  <c r="CI10" i="1"/>
  <c r="CC10" i="1"/>
  <c r="CB10" i="1"/>
  <c r="BV18" i="1"/>
  <c r="BU18" i="1"/>
  <c r="BT18" i="1"/>
  <c r="BV17" i="1"/>
  <c r="BU17" i="1"/>
  <c r="BT17" i="1"/>
  <c r="BV16" i="1"/>
  <c r="BU16" i="1"/>
  <c r="BT16" i="1"/>
  <c r="BV15" i="1"/>
  <c r="BU15" i="1"/>
  <c r="BT15" i="1"/>
  <c r="BV14" i="1"/>
  <c r="BU14" i="1"/>
  <c r="BT14" i="1"/>
  <c r="BV13" i="1"/>
  <c r="BU13" i="1"/>
  <c r="BT13" i="1"/>
  <c r="BV12" i="1"/>
  <c r="BU12" i="1"/>
  <c r="BT12" i="1"/>
  <c r="BV11" i="1"/>
  <c r="BU11" i="1"/>
  <c r="BT11" i="1"/>
  <c r="BV10" i="1"/>
  <c r="BU10" i="1"/>
  <c r="BT10" i="1"/>
  <c r="BV9" i="1"/>
  <c r="BV8" i="1"/>
  <c r="BV7" i="1"/>
  <c r="DE18" i="1" l="1"/>
  <c r="DC17" i="1"/>
  <c r="DC14" i="1"/>
  <c r="DC16" i="1"/>
  <c r="DC18" i="1"/>
  <c r="CW11" i="1"/>
  <c r="DH11" i="1"/>
  <c r="CX11" i="1"/>
  <c r="DC11" i="1" s="1"/>
  <c r="CW10" i="1"/>
  <c r="DH10" i="1"/>
  <c r="CX10" i="1"/>
  <c r="DC10" i="1" s="1"/>
  <c r="CW12" i="1"/>
  <c r="DH12" i="1"/>
  <c r="CX12" i="1"/>
  <c r="DC12" i="1" s="1"/>
  <c r="CW13" i="1"/>
  <c r="DH13" i="1"/>
  <c r="CX13" i="1"/>
  <c r="DC13" i="1" s="1"/>
  <c r="CY8" i="1"/>
  <c r="CX7" i="1"/>
  <c r="CX9" i="1"/>
  <c r="CY9" i="1"/>
  <c r="CY7" i="1"/>
  <c r="CX8" i="1"/>
  <c r="CC20" i="1"/>
  <c r="CB20" i="1"/>
  <c r="CW20" i="1" l="1"/>
  <c r="BY7" i="1"/>
  <c r="CH7" i="1" s="1"/>
  <c r="BY8" i="1"/>
  <c r="CH8" i="1" s="1"/>
  <c r="BY9" i="1"/>
  <c r="CH9" i="1" s="1"/>
  <c r="BZ7" i="1"/>
  <c r="BZ9" i="1"/>
  <c r="BZ8" i="1"/>
  <c r="DV12" i="1"/>
  <c r="DT12" i="1"/>
  <c r="DL33" i="1" s="1"/>
  <c r="DU12" i="1"/>
  <c r="DM33" i="1" s="1"/>
  <c r="DU10" i="1"/>
  <c r="DM31" i="1" s="1"/>
  <c r="DV10" i="1"/>
  <c r="DT10" i="1"/>
  <c r="DL31" i="1" s="1"/>
  <c r="DV13" i="1"/>
  <c r="DU13" i="1"/>
  <c r="DM34" i="1" s="1"/>
  <c r="DT13" i="1"/>
  <c r="DL34" i="1" s="1"/>
  <c r="DT11" i="1"/>
  <c r="DL32" i="1" s="1"/>
  <c r="DV11" i="1"/>
  <c r="DU11" i="1"/>
  <c r="DM32" i="1" s="1"/>
  <c r="AX17" i="1"/>
  <c r="AX16" i="1"/>
  <c r="AX15" i="1"/>
  <c r="AX14" i="1"/>
  <c r="AX13" i="1"/>
  <c r="AX12" i="1"/>
  <c r="AX11" i="1"/>
  <c r="AX10" i="1"/>
  <c r="AX9" i="1"/>
  <c r="AX8" i="1"/>
  <c r="AX7" i="1"/>
  <c r="CH20" i="1" l="1"/>
  <c r="CJ9" i="1"/>
  <c r="AY8" i="1"/>
  <c r="BF8" i="1" s="1"/>
  <c r="BG8" i="1"/>
  <c r="AY9" i="1"/>
  <c r="BF9" i="1" s="1"/>
  <c r="BG9" i="1"/>
  <c r="AY17" i="1"/>
  <c r="BF17" i="1" s="1"/>
  <c r="BG17" i="1"/>
  <c r="DE17" i="1" s="1"/>
  <c r="CJ8" i="1"/>
  <c r="AY12" i="1"/>
  <c r="BF12" i="1" s="1"/>
  <c r="BG12" i="1"/>
  <c r="DE12" i="1" s="1"/>
  <c r="CJ7" i="1"/>
  <c r="AY13" i="1"/>
  <c r="BF13" i="1" s="1"/>
  <c r="BG13" i="1"/>
  <c r="DE13" i="1" s="1"/>
  <c r="AY14" i="1"/>
  <c r="BF14" i="1" s="1"/>
  <c r="BG14" i="1"/>
  <c r="DE14" i="1" s="1"/>
  <c r="AY16" i="1"/>
  <c r="BF16" i="1" s="1"/>
  <c r="BG16" i="1"/>
  <c r="DE16" i="1" s="1"/>
  <c r="AY10" i="1"/>
  <c r="BF10" i="1" s="1"/>
  <c r="BG10" i="1"/>
  <c r="DE10" i="1" s="1"/>
  <c r="AY11" i="1"/>
  <c r="BF11" i="1" s="1"/>
  <c r="BG11" i="1"/>
  <c r="DE11" i="1" s="1"/>
  <c r="AY7" i="1"/>
  <c r="BF7" i="1" s="1"/>
  <c r="BG7" i="1"/>
  <c r="AY15" i="1"/>
  <c r="BF15" i="1" s="1"/>
  <c r="BG15" i="1"/>
  <c r="DE15" i="1" s="1"/>
  <c r="BN18" i="1"/>
  <c r="BN17" i="1"/>
  <c r="BN16" i="1"/>
  <c r="BM15" i="1"/>
  <c r="BN14" i="1"/>
  <c r="BM13" i="1"/>
  <c r="BN12" i="1"/>
  <c r="BM11" i="1"/>
  <c r="BM10" i="1"/>
  <c r="DI17" i="1" l="1"/>
  <c r="DD17" i="1"/>
  <c r="DI11" i="1"/>
  <c r="DZ11" i="1" s="1"/>
  <c r="DD11" i="1"/>
  <c r="DI14" i="1"/>
  <c r="DX14" i="1" s="1"/>
  <c r="DT35" i="1" s="1"/>
  <c r="DD14" i="1"/>
  <c r="DI10" i="1"/>
  <c r="DY10" i="1" s="1"/>
  <c r="DU31" i="1" s="1"/>
  <c r="DD10" i="1"/>
  <c r="DI13" i="1"/>
  <c r="DD13" i="1"/>
  <c r="DI12" i="1"/>
  <c r="DX12" i="1" s="1"/>
  <c r="DT33" i="1" s="1"/>
  <c r="DD12" i="1"/>
  <c r="DI15" i="1"/>
  <c r="DX15" i="1" s="1"/>
  <c r="DT36" i="1" s="1"/>
  <c r="DD15" i="1"/>
  <c r="DI16" i="1"/>
  <c r="DZ16" i="1" s="1"/>
  <c r="DD16" i="1"/>
  <c r="DZ14" i="1"/>
  <c r="DY14" i="1"/>
  <c r="DU35" i="1" s="1"/>
  <c r="DY11" i="1"/>
  <c r="DU32" i="1" s="1"/>
  <c r="DX11" i="1"/>
  <c r="DT32" i="1" s="1"/>
  <c r="DY17" i="1"/>
  <c r="DU38" i="1" s="1"/>
  <c r="DX17" i="1"/>
  <c r="DT38" i="1" s="1"/>
  <c r="DZ17" i="1"/>
  <c r="DZ13" i="1"/>
  <c r="DY13" i="1"/>
  <c r="DU34" i="1" s="1"/>
  <c r="DX13" i="1"/>
  <c r="DT34" i="1" s="1"/>
  <c r="DJ10" i="1"/>
  <c r="K24" i="1" s="1"/>
  <c r="DJ8" i="1"/>
  <c r="K22" i="1" s="1"/>
  <c r="DJ17" i="1"/>
  <c r="K31" i="1" s="1"/>
  <c r="DJ9" i="1"/>
  <c r="K23" i="1" s="1"/>
  <c r="DJ12" i="1"/>
  <c r="K26" i="1" s="1"/>
  <c r="DJ14" i="1"/>
  <c r="K28" i="1" s="1"/>
  <c r="DJ13" i="1"/>
  <c r="K27" i="1" s="1"/>
  <c r="DJ15" i="1"/>
  <c r="K29" i="1" s="1"/>
  <c r="DJ16" i="1"/>
  <c r="K30" i="1" s="1"/>
  <c r="DJ7" i="1"/>
  <c r="K21" i="1" s="1"/>
  <c r="DJ11" i="1"/>
  <c r="K25" i="1" s="1"/>
  <c r="BN15" i="1"/>
  <c r="BM12" i="1"/>
  <c r="BN13" i="1"/>
  <c r="BM16" i="1"/>
  <c r="BN11" i="1"/>
  <c r="BM14" i="1"/>
  <c r="BM17" i="1"/>
  <c r="BM18" i="1"/>
  <c r="BN10" i="1"/>
  <c r="DX16" i="1" l="1"/>
  <c r="DT37" i="1" s="1"/>
  <c r="DY16" i="1"/>
  <c r="DU37" i="1" s="1"/>
  <c r="DZ10" i="1"/>
  <c r="DY15" i="1"/>
  <c r="DU36" i="1" s="1"/>
  <c r="DZ15" i="1"/>
  <c r="DY12" i="1"/>
  <c r="DU33" i="1" s="1"/>
  <c r="DX10" i="1"/>
  <c r="DT31" i="1" s="1"/>
  <c r="DZ12" i="1"/>
  <c r="EB12" i="1"/>
  <c r="EB16" i="1"/>
  <c r="DH37" i="1" s="1"/>
  <c r="EB10" i="1"/>
  <c r="EB14" i="1"/>
  <c r="EB17" i="1"/>
  <c r="DH38" i="1" s="1"/>
  <c r="EB15" i="1"/>
  <c r="EB11" i="1"/>
  <c r="EB13" i="1"/>
  <c r="BM20" i="1"/>
  <c r="BN20" i="1"/>
  <c r="BK9" i="1" l="1"/>
  <c r="DI9" i="1" s="1"/>
  <c r="BK8" i="1"/>
  <c r="DI8" i="1" s="1"/>
  <c r="BK7" i="1"/>
  <c r="DI7" i="1" s="1"/>
  <c r="BJ9" i="1"/>
  <c r="BS9" i="1" s="1"/>
  <c r="BJ8" i="1"/>
  <c r="BS8" i="1" s="1"/>
  <c r="BJ7" i="1"/>
  <c r="BS7" i="1" s="1"/>
  <c r="DR38" i="1"/>
  <c r="DP38" i="1"/>
  <c r="DQ38" i="1"/>
  <c r="EU56" i="1"/>
  <c r="EV56" i="1" s="1"/>
  <c r="EZ56" i="1" s="1"/>
  <c r="DH35" i="1"/>
  <c r="EU57" i="1"/>
  <c r="EV57" i="1" s="1"/>
  <c r="EX57" i="1" s="1"/>
  <c r="DH36" i="1"/>
  <c r="EU52" i="1"/>
  <c r="EV52" i="1" s="1"/>
  <c r="EZ52" i="1" s="1"/>
  <c r="DH31" i="1"/>
  <c r="EU55" i="1"/>
  <c r="EV55" i="1" s="1"/>
  <c r="EY55" i="1" s="1"/>
  <c r="DH34" i="1"/>
  <c r="EU54" i="1"/>
  <c r="EV54" i="1" s="1"/>
  <c r="EY54" i="1" s="1"/>
  <c r="DH33" i="1"/>
  <c r="EU53" i="1"/>
  <c r="EV53" i="1" s="1"/>
  <c r="EX53" i="1" s="1"/>
  <c r="DH32" i="1"/>
  <c r="DR37" i="1"/>
  <c r="DP37" i="1"/>
  <c r="DQ37" i="1"/>
  <c r="ED15" i="1"/>
  <c r="DJ36" i="1" s="1"/>
  <c r="DZ36" i="1" s="1"/>
  <c r="EC15" i="1"/>
  <c r="DI36" i="1" s="1"/>
  <c r="ED12" i="1"/>
  <c r="DJ33" i="1" s="1"/>
  <c r="DZ33" i="1" s="1"/>
  <c r="EC12" i="1"/>
  <c r="ED10" i="1"/>
  <c r="DJ31" i="1" s="1"/>
  <c r="DZ31" i="1" s="1"/>
  <c r="EC10" i="1"/>
  <c r="ED11" i="1"/>
  <c r="DJ32" i="1" s="1"/>
  <c r="DZ32" i="1" s="1"/>
  <c r="EC11" i="1"/>
  <c r="ED17" i="1"/>
  <c r="DJ38" i="1" s="1"/>
  <c r="DZ38" i="1" s="1"/>
  <c r="EC17" i="1"/>
  <c r="DI38" i="1" s="1"/>
  <c r="ED14" i="1"/>
  <c r="DJ35" i="1" s="1"/>
  <c r="DZ35" i="1" s="1"/>
  <c r="EC14" i="1"/>
  <c r="EC16" i="1"/>
  <c r="DI37" i="1" s="1"/>
  <c r="ED16" i="1"/>
  <c r="DJ37" i="1" s="1"/>
  <c r="DZ37" i="1" s="1"/>
  <c r="EC13" i="1"/>
  <c r="ED13" i="1"/>
  <c r="DJ34" i="1" s="1"/>
  <c r="DZ34" i="1" s="1"/>
  <c r="BS20" i="1" l="1"/>
  <c r="DN29" i="1"/>
  <c r="DN28" i="1"/>
  <c r="DN30" i="1"/>
  <c r="DH9" i="1"/>
  <c r="DT9" i="1" s="1"/>
  <c r="DL30" i="1" s="1"/>
  <c r="DH7" i="1"/>
  <c r="DU7" i="1" s="1"/>
  <c r="DM28" i="1" s="1"/>
  <c r="DH8" i="1"/>
  <c r="DV8" i="1" s="1"/>
  <c r="EZ57" i="1"/>
  <c r="EY57" i="1"/>
  <c r="FA57" i="1"/>
  <c r="EX55" i="1"/>
  <c r="EZ55" i="1"/>
  <c r="FA55" i="1"/>
  <c r="FA56" i="1"/>
  <c r="EZ54" i="1"/>
  <c r="EZ53" i="1"/>
  <c r="DY9" i="1"/>
  <c r="DU30" i="1" s="1"/>
  <c r="DX9" i="1"/>
  <c r="DT30" i="1" s="1"/>
  <c r="DZ9" i="1"/>
  <c r="DZ7" i="1"/>
  <c r="EC7" i="1" s="1"/>
  <c r="DI28" i="1" s="1"/>
  <c r="DY7" i="1"/>
  <c r="DU28" i="1" s="1"/>
  <c r="DX7" i="1"/>
  <c r="DT28" i="1" s="1"/>
  <c r="DZ8" i="1"/>
  <c r="DZ20" i="1" s="1"/>
  <c r="DY8" i="1"/>
  <c r="DU29" i="1" s="1"/>
  <c r="DX8" i="1"/>
  <c r="DT29" i="1" s="1"/>
  <c r="FA54" i="1"/>
  <c r="EY53" i="1"/>
  <c r="FA53" i="1"/>
  <c r="EX56" i="1"/>
  <c r="EX54" i="1"/>
  <c r="EY56" i="1"/>
  <c r="EM52" i="1"/>
  <c r="EN52" i="1" s="1"/>
  <c r="EP52" i="1" s="1"/>
  <c r="DI31" i="1"/>
  <c r="EM54" i="1"/>
  <c r="EN54" i="1" s="1"/>
  <c r="EP54" i="1" s="1"/>
  <c r="DI33" i="1"/>
  <c r="DX37" i="1"/>
  <c r="DY37" i="1"/>
  <c r="DX38" i="1"/>
  <c r="DY38" i="1"/>
  <c r="EM56" i="1"/>
  <c r="EN56" i="1" s="1"/>
  <c r="EQ56" i="1" s="1"/>
  <c r="DI35" i="1"/>
  <c r="EM55" i="1"/>
  <c r="EN55" i="1" s="1"/>
  <c r="ES55" i="1" s="1"/>
  <c r="DI34" i="1"/>
  <c r="EM53" i="1"/>
  <c r="EN53" i="1" s="1"/>
  <c r="EQ53" i="1" s="1"/>
  <c r="DI32" i="1"/>
  <c r="DY36" i="1"/>
  <c r="DX36" i="1"/>
  <c r="EY52" i="1"/>
  <c r="DR32" i="1"/>
  <c r="DP32" i="1"/>
  <c r="DQ32" i="1"/>
  <c r="DR36" i="1"/>
  <c r="DQ36" i="1"/>
  <c r="DP36" i="1"/>
  <c r="FA52" i="1"/>
  <c r="DR35" i="1"/>
  <c r="DQ35" i="1"/>
  <c r="DP35" i="1"/>
  <c r="DR33" i="1"/>
  <c r="DQ33" i="1"/>
  <c r="DP33" i="1"/>
  <c r="DR34" i="1"/>
  <c r="DP34" i="1"/>
  <c r="DQ34" i="1"/>
  <c r="EX52" i="1"/>
  <c r="DR31" i="1"/>
  <c r="DQ31" i="1"/>
  <c r="DP31" i="1"/>
  <c r="EM57" i="1"/>
  <c r="EN57" i="1" s="1"/>
  <c r="BU7" i="1"/>
  <c r="DD7" i="1" s="1"/>
  <c r="BU8" i="1"/>
  <c r="DD8" i="1" s="1"/>
  <c r="BU9" i="1"/>
  <c r="DD9" i="1" s="1"/>
  <c r="BT9" i="1"/>
  <c r="BT7" i="1"/>
  <c r="BT8" i="1"/>
  <c r="DD20" i="1" l="1"/>
  <c r="U61" i="2" s="1"/>
  <c r="EB8" i="1"/>
  <c r="DH29" i="1" s="1"/>
  <c r="DN41" i="1"/>
  <c r="Y36" i="2" s="1"/>
  <c r="DU9" i="1"/>
  <c r="DM30" i="1" s="1"/>
  <c r="DV9" i="1"/>
  <c r="EB9" i="1" s="1"/>
  <c r="EU51" i="1" s="1"/>
  <c r="EV51" i="1" s="1"/>
  <c r="EZ51" i="1" s="1"/>
  <c r="DV7" i="1"/>
  <c r="EB7" i="1" s="1"/>
  <c r="DH28" i="1" s="1"/>
  <c r="DT7" i="1"/>
  <c r="DL28" i="1" s="1"/>
  <c r="DU8" i="1"/>
  <c r="DM29" i="1" s="1"/>
  <c r="DT8" i="1"/>
  <c r="DL29" i="1" s="1"/>
  <c r="DL41" i="1" s="1"/>
  <c r="DY28" i="1"/>
  <c r="DU41" i="1"/>
  <c r="Y41" i="2" s="1"/>
  <c r="DT41" i="1"/>
  <c r="Y42" i="2" s="1"/>
  <c r="DX28" i="1"/>
  <c r="ER56" i="1"/>
  <c r="ES52" i="1"/>
  <c r="EU50" i="1"/>
  <c r="EV50" i="1" s="1"/>
  <c r="ER52" i="1"/>
  <c r="ED8" i="1"/>
  <c r="DJ29" i="1" s="1"/>
  <c r="EP53" i="1"/>
  <c r="EQ52" i="1"/>
  <c r="EC8" i="1"/>
  <c r="EC9" i="1"/>
  <c r="ER54" i="1"/>
  <c r="ES54" i="1"/>
  <c r="ES53" i="1"/>
  <c r="ER53" i="1"/>
  <c r="EQ54" i="1"/>
  <c r="EQ55" i="1"/>
  <c r="EP55" i="1"/>
  <c r="ER55" i="1"/>
  <c r="DY33" i="1"/>
  <c r="DX33" i="1"/>
  <c r="DY32" i="1"/>
  <c r="DX32" i="1"/>
  <c r="ES56" i="1"/>
  <c r="DY35" i="1"/>
  <c r="DX35" i="1"/>
  <c r="EP56" i="1"/>
  <c r="DX34" i="1"/>
  <c r="DY34" i="1"/>
  <c r="DY31" i="1"/>
  <c r="DX31" i="1"/>
  <c r="EQ57" i="1"/>
  <c r="EP57" i="1"/>
  <c r="ER57" i="1"/>
  <c r="ES57" i="1"/>
  <c r="AP16" i="1"/>
  <c r="AP15" i="1"/>
  <c r="AP14" i="1"/>
  <c r="AP13" i="1"/>
  <c r="AP12" i="1"/>
  <c r="AP11" i="1"/>
  <c r="AP10" i="1"/>
  <c r="AP9" i="1"/>
  <c r="AP8" i="1"/>
  <c r="AP7" i="1"/>
  <c r="AO16" i="1"/>
  <c r="AO15" i="1"/>
  <c r="AO14" i="1"/>
  <c r="AO13" i="1"/>
  <c r="AO12" i="1"/>
  <c r="AO11" i="1"/>
  <c r="AO10" i="1"/>
  <c r="AO9" i="1"/>
  <c r="AO8" i="1"/>
  <c r="AO7" i="1"/>
  <c r="U65" i="2" l="1"/>
  <c r="DV20" i="1"/>
  <c r="DZ29" i="1"/>
  <c r="DR29" i="1"/>
  <c r="Y35" i="2"/>
  <c r="DM41" i="1"/>
  <c r="Y34" i="2" s="1"/>
  <c r="FA51" i="1"/>
  <c r="EY51" i="1"/>
  <c r="EX51" i="1"/>
  <c r="EV61" i="1"/>
  <c r="DH30" i="1"/>
  <c r="DR30" i="1" s="1"/>
  <c r="ED9" i="1"/>
  <c r="DJ30" i="1" s="1"/>
  <c r="DZ30" i="1" s="1"/>
  <c r="DZ41" i="1" s="1"/>
  <c r="V43" i="2" s="1"/>
  <c r="U43" i="2" s="1"/>
  <c r="DP28" i="1"/>
  <c r="DQ28" i="1"/>
  <c r="DR28" i="1"/>
  <c r="ED7" i="1"/>
  <c r="DJ28" i="1" s="1"/>
  <c r="DZ28" i="1" s="1"/>
  <c r="EZ50" i="1"/>
  <c r="EZ61" i="1" s="1"/>
  <c r="Y33" i="2" s="1"/>
  <c r="FA50" i="1"/>
  <c r="EU61" i="1"/>
  <c r="DQ29" i="1"/>
  <c r="DP29" i="1"/>
  <c r="EY50" i="1"/>
  <c r="DI29" i="1"/>
  <c r="EM50" i="1"/>
  <c r="EX50" i="1"/>
  <c r="EX61" i="1" s="1"/>
  <c r="Y31" i="2" s="1"/>
  <c r="EM51" i="1"/>
  <c r="EN51" i="1" s="1"/>
  <c r="DI30" i="1"/>
  <c r="DR41" i="1"/>
  <c r="V36" i="2" s="1"/>
  <c r="U36" i="2" s="1"/>
  <c r="AQ7" i="1"/>
  <c r="AR11" i="1"/>
  <c r="AR12" i="1"/>
  <c r="AR13" i="1"/>
  <c r="AR14" i="1"/>
  <c r="AR7" i="1"/>
  <c r="AR15" i="1"/>
  <c r="AR8" i="1"/>
  <c r="AR16" i="1"/>
  <c r="AR9" i="1"/>
  <c r="AR10" i="1"/>
  <c r="AQ15" i="1"/>
  <c r="AQ13" i="1"/>
  <c r="AQ14" i="1"/>
  <c r="AQ12" i="1"/>
  <c r="AQ8" i="1"/>
  <c r="AQ16" i="1"/>
  <c r="AQ9" i="1"/>
  <c r="AQ10" i="1"/>
  <c r="AQ11" i="1"/>
  <c r="DL12" i="3"/>
  <c r="DL11" i="3"/>
  <c r="DL10" i="3"/>
  <c r="DL9" i="3"/>
  <c r="DL16" i="3" l="1"/>
  <c r="DM6" i="3" s="1"/>
  <c r="U64" i="2"/>
  <c r="U63" i="2" s="1"/>
  <c r="U66" i="2" s="1"/>
  <c r="F4" i="9"/>
  <c r="DJ41" i="1"/>
  <c r="DH41" i="1"/>
  <c r="U56" i="2" s="1"/>
  <c r="DI41" i="1"/>
  <c r="EY61" i="1"/>
  <c r="Y32" i="2" s="1"/>
  <c r="Y37" i="2" s="1"/>
  <c r="U68" i="2" s="1"/>
  <c r="FA61" i="1"/>
  <c r="DP30" i="1"/>
  <c r="DP41" i="1" s="1"/>
  <c r="V35" i="2" s="1"/>
  <c r="U35" i="2" s="1"/>
  <c r="DQ30" i="1"/>
  <c r="DQ41" i="1" s="1"/>
  <c r="V34" i="2" s="1"/>
  <c r="U34" i="2" s="1"/>
  <c r="DY29" i="1"/>
  <c r="DX29" i="1"/>
  <c r="EQ51" i="1"/>
  <c r="EP51" i="1"/>
  <c r="ES51" i="1"/>
  <c r="ER51" i="1"/>
  <c r="EN50" i="1"/>
  <c r="EM61" i="1"/>
  <c r="DY30" i="1"/>
  <c r="DX30" i="1"/>
  <c r="U11" i="2"/>
  <c r="U57" i="2" l="1"/>
  <c r="U55" i="2" s="1"/>
  <c r="U58" i="2" s="1"/>
  <c r="I13" i="9"/>
  <c r="E14" i="9" s="1"/>
  <c r="G14" i="9" s="1"/>
  <c r="H4" i="9"/>
  <c r="K5" i="9" s="1"/>
  <c r="J5" i="9" s="1"/>
  <c r="H5" i="9" s="1"/>
  <c r="U37" i="2"/>
  <c r="F67" i="2" s="1"/>
  <c r="V37" i="2"/>
  <c r="G4" i="9" s="1"/>
  <c r="ER50" i="1"/>
  <c r="ER61" i="1" s="1"/>
  <c r="Y40" i="2" s="1"/>
  <c r="EQ50" i="1"/>
  <c r="EQ61" i="1" s="1"/>
  <c r="Y39" i="2" s="1"/>
  <c r="EN61" i="1"/>
  <c r="ES50" i="1"/>
  <c r="ES61" i="1" s="1"/>
  <c r="EP50" i="1"/>
  <c r="EP61" i="1" s="1"/>
  <c r="Y38" i="2" s="1"/>
  <c r="DX41" i="1"/>
  <c r="V42" i="2" s="1"/>
  <c r="U42" i="2" s="1"/>
  <c r="DY41" i="1"/>
  <c r="V41" i="2" s="1"/>
  <c r="AE31" i="3"/>
  <c r="U12" i="2" s="1"/>
  <c r="G5" i="9" l="1"/>
  <c r="Y44" i="2"/>
  <c r="U69" i="2" s="1"/>
  <c r="U67" i="2" s="1"/>
  <c r="U70" i="2" s="1"/>
  <c r="F5" i="9"/>
  <c r="G7" i="9"/>
  <c r="G8" i="9" s="1"/>
  <c r="V44" i="2"/>
  <c r="J13" i="9" s="1"/>
  <c r="K14" i="9" s="1"/>
  <c r="O14" i="9" s="1"/>
  <c r="P14" i="9" s="1"/>
  <c r="U41" i="2"/>
  <c r="U44" i="2" s="1"/>
  <c r="R14" i="9" s="1"/>
  <c r="DJ42" i="3"/>
  <c r="DJ41" i="3"/>
  <c r="DJ40" i="3"/>
  <c r="DJ39" i="3"/>
  <c r="DJ38" i="3"/>
  <c r="DJ37" i="3"/>
  <c r="DJ36" i="3"/>
  <c r="DJ35" i="3"/>
  <c r="DJ34" i="3"/>
  <c r="DJ33" i="3"/>
  <c r="DJ27" i="3"/>
  <c r="DJ26" i="3"/>
  <c r="DJ25" i="3"/>
  <c r="DJ24" i="3"/>
  <c r="DJ23" i="3"/>
  <c r="DJ22" i="3"/>
  <c r="DJ21" i="3"/>
  <c r="R16" i="9" l="1"/>
  <c r="J18" i="9"/>
  <c r="S18" i="9"/>
  <c r="S17" i="9"/>
  <c r="S16" i="9"/>
  <c r="M5" i="9"/>
  <c r="N5" i="9" s="1"/>
  <c r="DJ28" i="3"/>
  <c r="U8" i="2" s="1"/>
  <c r="DJ44" i="3"/>
  <c r="U9" i="2" s="1"/>
  <c r="F8" i="8" s="1"/>
  <c r="F6" i="8"/>
  <c r="J16" i="9" l="1"/>
  <c r="R17" i="9"/>
  <c r="J17" i="9" s="1"/>
  <c r="F5" i="8"/>
  <c r="X31" i="2" l="1"/>
  <c r="W31" i="2"/>
  <c r="AA51" i="5" l="1"/>
  <c r="AA50" i="5"/>
  <c r="AA49" i="5"/>
  <c r="AA48" i="5"/>
  <c r="AA47" i="5"/>
  <c r="AA46" i="5"/>
  <c r="AA45" i="5"/>
  <c r="AA44" i="5"/>
  <c r="AA43" i="5"/>
  <c r="AA42" i="5"/>
  <c r="AC256" i="5"/>
  <c r="AC255" i="5"/>
  <c r="AC254" i="5"/>
  <c r="AC253" i="5"/>
  <c r="AC252" i="5"/>
  <c r="AC251" i="5"/>
  <c r="AC250" i="5"/>
  <c r="AC249" i="5"/>
  <c r="AC248" i="5"/>
  <c r="AC247" i="5"/>
  <c r="AA52" i="5" l="1"/>
  <c r="AB34" i="5"/>
  <c r="AA34" i="5"/>
  <c r="AB33" i="5"/>
  <c r="AA33" i="5"/>
  <c r="AB32" i="5"/>
  <c r="AA32" i="5"/>
  <c r="AB31" i="5"/>
  <c r="AA31" i="5"/>
  <c r="AB30" i="5"/>
  <c r="AA30" i="5"/>
  <c r="AB29" i="5"/>
  <c r="AA29" i="5"/>
  <c r="AB28" i="5"/>
  <c r="AA28" i="5"/>
  <c r="AB27" i="5"/>
  <c r="AA27" i="5"/>
  <c r="AB26" i="5"/>
  <c r="AA26" i="5"/>
  <c r="AB25" i="5"/>
  <c r="AA25" i="5"/>
  <c r="AG76" i="5"/>
  <c r="AG75" i="5"/>
  <c r="AG74" i="5"/>
  <c r="AG73" i="5"/>
  <c r="AG72" i="5"/>
  <c r="AG71" i="5"/>
  <c r="AG70" i="5"/>
  <c r="AG69" i="5"/>
  <c r="AG68" i="5"/>
  <c r="AG67" i="5"/>
  <c r="AG66" i="5"/>
  <c r="AC184" i="5"/>
  <c r="AB17" i="5" s="1"/>
  <c r="AC183" i="5"/>
  <c r="AB16" i="5" s="1"/>
  <c r="AC182" i="5"/>
  <c r="AB15" i="5" s="1"/>
  <c r="AC181" i="5"/>
  <c r="AB14" i="5" s="1"/>
  <c r="AC180" i="5"/>
  <c r="AB13" i="5" s="1"/>
  <c r="AC179" i="5"/>
  <c r="AB12" i="5" s="1"/>
  <c r="AC178" i="5"/>
  <c r="AB11" i="5" s="1"/>
  <c r="AC177" i="5"/>
  <c r="AB10" i="5" s="1"/>
  <c r="AC176" i="5"/>
  <c r="AB9" i="5" s="1"/>
  <c r="AC175" i="5"/>
  <c r="AB8" i="5" s="1"/>
  <c r="AC100" i="5"/>
  <c r="AA8" i="5" s="1"/>
  <c r="AC101" i="5"/>
  <c r="AA9" i="5" s="1"/>
  <c r="AC102" i="5"/>
  <c r="AA10" i="5" s="1"/>
  <c r="AC103" i="5"/>
  <c r="AA11" i="5" s="1"/>
  <c r="AC104" i="5"/>
  <c r="AA12" i="5" s="1"/>
  <c r="AC105" i="5"/>
  <c r="AA13" i="5" s="1"/>
  <c r="AC106" i="5"/>
  <c r="AA14" i="5" s="1"/>
  <c r="AC107" i="5"/>
  <c r="AA15" i="5" s="1"/>
  <c r="AC108" i="5"/>
  <c r="AA16" i="5" s="1"/>
  <c r="AC109" i="5"/>
  <c r="AA17" i="5" s="1"/>
  <c r="AF66" i="5"/>
  <c r="Z8" i="5" s="1"/>
  <c r="AF76" i="5"/>
  <c r="AF75" i="5"/>
  <c r="Z17" i="5" s="1"/>
  <c r="Z51" i="5" s="1"/>
  <c r="AB51" i="5" s="1"/>
  <c r="AF74" i="5"/>
  <c r="Z16" i="5" s="1"/>
  <c r="Z50" i="5" s="1"/>
  <c r="AB50" i="5" s="1"/>
  <c r="AF73" i="5"/>
  <c r="Z15" i="5" s="1"/>
  <c r="Z49" i="5" s="1"/>
  <c r="AB49" i="5" s="1"/>
  <c r="AF72" i="5"/>
  <c r="Z14" i="5" s="1"/>
  <c r="Z48" i="5" s="1"/>
  <c r="AB48" i="5" s="1"/>
  <c r="AF71" i="5"/>
  <c r="Z13" i="5" s="1"/>
  <c r="Z47" i="5" s="1"/>
  <c r="AB47" i="5" s="1"/>
  <c r="AF70" i="5"/>
  <c r="Z12" i="5" s="1"/>
  <c r="Z46" i="5" s="1"/>
  <c r="AB46" i="5" s="1"/>
  <c r="AF69" i="5"/>
  <c r="Z11" i="5" s="1"/>
  <c r="Z45" i="5" s="1"/>
  <c r="AB45" i="5" s="1"/>
  <c r="AF68" i="5"/>
  <c r="Z10" i="5" s="1"/>
  <c r="Z44" i="5" s="1"/>
  <c r="AB44" i="5" s="1"/>
  <c r="AF67" i="5"/>
  <c r="Z9" i="5" s="1"/>
  <c r="Z43" i="5" s="1"/>
  <c r="AB43" i="5" s="1"/>
  <c r="AY152" i="4"/>
  <c r="AY153" i="4" s="1"/>
  <c r="AM116" i="4"/>
  <c r="AO116" i="4" s="1"/>
  <c r="AN115" i="4"/>
  <c r="AM110" i="4"/>
  <c r="AM106" i="4"/>
  <c r="AC106" i="4"/>
  <c r="Y19" i="2" s="1"/>
  <c r="AC104" i="4"/>
  <c r="AC103" i="4"/>
  <c r="AC102" i="4"/>
  <c r="AC101" i="4"/>
  <c r="AC100" i="4"/>
  <c r="AC99" i="4"/>
  <c r="AC98" i="4"/>
  <c r="AC97" i="4"/>
  <c r="AC96" i="4"/>
  <c r="AC95" i="4"/>
  <c r="Q135" i="4"/>
  <c r="S135" i="4" s="1"/>
  <c r="Y18" i="2" s="1"/>
  <c r="R134" i="4"/>
  <c r="W18" i="2" s="1"/>
  <c r="Q133" i="4"/>
  <c r="Q132" i="4"/>
  <c r="Q131" i="4"/>
  <c r="Q130" i="4"/>
  <c r="Q129" i="4"/>
  <c r="Q128" i="4"/>
  <c r="Q127" i="4"/>
  <c r="Q126" i="4"/>
  <c r="Q125" i="4"/>
  <c r="Q124" i="4"/>
  <c r="Q123" i="4"/>
  <c r="C124" i="4"/>
  <c r="W26" i="2" l="1"/>
  <c r="Y26" i="2"/>
  <c r="Z18" i="5"/>
  <c r="AQ11" i="5" s="1"/>
  <c r="AQ12" i="5" s="1"/>
  <c r="AQ13" i="5" s="1"/>
  <c r="Z42" i="5"/>
  <c r="AB42" i="5" s="1"/>
  <c r="AB52" i="5" s="1"/>
  <c r="Z28" i="5"/>
  <c r="Z32" i="5"/>
  <c r="AD32" i="5" s="1"/>
  <c r="AF32" i="5" s="1"/>
  <c r="Z29" i="5"/>
  <c r="AD29" i="5" s="1"/>
  <c r="AF29" i="5" s="1"/>
  <c r="Z33" i="5"/>
  <c r="AC33" i="5" s="1"/>
  <c r="AE33" i="5" s="1"/>
  <c r="Z26" i="5"/>
  <c r="AC26" i="5" s="1"/>
  <c r="AE26" i="5" s="1"/>
  <c r="Z30" i="5"/>
  <c r="AD30" i="5" s="1"/>
  <c r="AF30" i="5" s="1"/>
  <c r="Z34" i="5"/>
  <c r="AC34" i="5" s="1"/>
  <c r="AE34" i="5" s="1"/>
  <c r="Z27" i="5"/>
  <c r="AD27" i="5" s="1"/>
  <c r="AF27" i="5" s="1"/>
  <c r="Z31" i="5"/>
  <c r="AC31" i="5" s="1"/>
  <c r="AE31" i="5" s="1"/>
  <c r="Z25" i="5"/>
  <c r="AC25" i="5" s="1"/>
  <c r="AE25" i="5" s="1"/>
  <c r="AB18" i="5"/>
  <c r="AA18" i="5"/>
  <c r="AC14" i="5"/>
  <c r="AC10" i="5"/>
  <c r="AD9" i="5"/>
  <c r="AC17" i="5"/>
  <c r="AC13" i="5"/>
  <c r="AC9" i="5"/>
  <c r="AD10" i="5"/>
  <c r="AD14" i="5"/>
  <c r="AD31" i="5"/>
  <c r="AF31" i="5" s="1"/>
  <c r="AC28" i="5"/>
  <c r="AE28" i="5" s="1"/>
  <c r="AD28" i="5"/>
  <c r="AF28" i="5" s="1"/>
  <c r="AD13" i="5"/>
  <c r="AD17" i="5"/>
  <c r="AC16" i="5"/>
  <c r="AC12" i="5"/>
  <c r="AC8" i="5"/>
  <c r="AD11" i="5"/>
  <c r="AD15" i="5"/>
  <c r="AC15" i="5"/>
  <c r="AC11" i="5"/>
  <c r="AD8" i="5"/>
  <c r="AD12" i="5"/>
  <c r="AD16" i="5"/>
  <c r="AM115" i="4"/>
  <c r="Q134" i="4"/>
  <c r="V18" i="2" s="1"/>
  <c r="AC105" i="4"/>
  <c r="F11" i="8"/>
  <c r="DG44" i="3"/>
  <c r="F7" i="8"/>
  <c r="DK16" i="3"/>
  <c r="U4" i="2" s="1"/>
  <c r="AN16" i="3"/>
  <c r="AD34" i="5" l="1"/>
  <c r="AF34" i="5" s="1"/>
  <c r="V26" i="2"/>
  <c r="U10" i="2"/>
  <c r="F9" i="8" s="1"/>
  <c r="F4" i="8"/>
  <c r="F3" i="8"/>
  <c r="AD26" i="5"/>
  <c r="AF26" i="5" s="1"/>
  <c r="AC29" i="5"/>
  <c r="AE29" i="5" s="1"/>
  <c r="AC30" i="5"/>
  <c r="AE30" i="5" s="1"/>
  <c r="AC27" i="5"/>
  <c r="AE27" i="5" s="1"/>
  <c r="AC32" i="5"/>
  <c r="AE32" i="5" s="1"/>
  <c r="AD33" i="5"/>
  <c r="AF33" i="5" s="1"/>
  <c r="AD25" i="5"/>
  <c r="AF25" i="5" s="1"/>
  <c r="AC18" i="5"/>
  <c r="AD18" i="5"/>
  <c r="AF35" i="5" l="1"/>
  <c r="AE35" i="5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4" i="1" l="1"/>
  <c r="Y33" i="1"/>
  <c r="V33" i="1"/>
  <c r="S33" i="1"/>
  <c r="P33" i="1"/>
  <c r="V11" i="2"/>
  <c r="Y11" i="2" l="1"/>
  <c r="F46" i="8" s="1"/>
  <c r="F19" i="8"/>
  <c r="W10" i="2"/>
  <c r="F27" i="8" s="1"/>
  <c r="W12" i="2"/>
  <c r="V10" i="2"/>
  <c r="F18" i="8" s="1"/>
  <c r="V12" i="2"/>
  <c r="Y12" i="2"/>
  <c r="Y10" i="2"/>
  <c r="F45" i="8" s="1"/>
  <c r="X12" i="3"/>
  <c r="Y9" i="2" s="1"/>
  <c r="F44" i="8" s="1"/>
  <c r="F47" i="8" l="1"/>
  <c r="F29" i="8"/>
  <c r="F20" i="8"/>
  <c r="X12" i="2"/>
  <c r="F38" i="8" s="1"/>
  <c r="X10" i="2"/>
  <c r="F36" i="8" s="1"/>
  <c r="X11" i="3"/>
  <c r="Y8" i="2" s="1"/>
  <c r="F43" i="8" s="1"/>
  <c r="X10" i="3"/>
  <c r="Y7" i="2" s="1"/>
  <c r="F42" i="8" s="1"/>
  <c r="X9" i="3"/>
  <c r="Y6" i="2" s="1"/>
  <c r="F41" i="8" s="1"/>
  <c r="X8" i="3"/>
  <c r="Y5" i="2" s="1"/>
  <c r="F40" i="8" s="1"/>
  <c r="X7" i="3"/>
  <c r="Y4" i="2" s="1"/>
  <c r="F39" i="8" s="1"/>
  <c r="T94" i="7"/>
  <c r="S94" i="7"/>
  <c r="R94" i="7"/>
  <c r="D94" i="7"/>
  <c r="C94" i="7"/>
  <c r="T93" i="7"/>
  <c r="S93" i="7"/>
  <c r="R93" i="7"/>
  <c r="D93" i="7"/>
  <c r="C93" i="7"/>
  <c r="T92" i="7"/>
  <c r="S92" i="7"/>
  <c r="R92" i="7"/>
  <c r="D92" i="7"/>
  <c r="C92" i="7"/>
  <c r="Y13" i="2" l="1"/>
  <c r="D23" i="2" l="1"/>
  <c r="W11" i="2"/>
  <c r="F10" i="8"/>
  <c r="W9" i="2"/>
  <c r="V9" i="2"/>
  <c r="F17" i="8" s="1"/>
  <c r="W8" i="2"/>
  <c r="V8" i="2"/>
  <c r="F16" i="8" s="1"/>
  <c r="W7" i="2"/>
  <c r="V7" i="2"/>
  <c r="W6" i="2"/>
  <c r="V6" i="2"/>
  <c r="W5" i="2"/>
  <c r="V5" i="2"/>
  <c r="F13" i="8" s="1"/>
  <c r="W4" i="2"/>
  <c r="F21" i="8" s="1"/>
  <c r="V4" i="2"/>
  <c r="F12" i="8" s="1"/>
  <c r="T12" i="2"/>
  <c r="T11" i="2"/>
  <c r="T10" i="2"/>
  <c r="T9" i="2"/>
  <c r="T8" i="2"/>
  <c r="T7" i="2"/>
  <c r="T6" i="2"/>
  <c r="T5" i="2"/>
  <c r="T4" i="2"/>
  <c r="X11" i="2" l="1"/>
  <c r="F37" i="8" s="1"/>
  <c r="F28" i="8"/>
  <c r="X8" i="2"/>
  <c r="F34" i="8" s="1"/>
  <c r="F25" i="8"/>
  <c r="X5" i="2"/>
  <c r="F31" i="8" s="1"/>
  <c r="F22" i="8"/>
  <c r="X9" i="2"/>
  <c r="F35" i="8" s="1"/>
  <c r="F26" i="8"/>
  <c r="X7" i="2"/>
  <c r="F33" i="8" s="1"/>
  <c r="F24" i="8"/>
  <c r="X6" i="2"/>
  <c r="F32" i="8" s="1"/>
  <c r="F23" i="8"/>
  <c r="F14" i="8"/>
  <c r="F15" i="8"/>
  <c r="U13" i="2"/>
  <c r="X4" i="2"/>
  <c r="W13" i="2"/>
  <c r="V13" i="2"/>
  <c r="D24" i="2" l="1"/>
  <c r="D20" i="2"/>
  <c r="D21" i="2"/>
  <c r="X13" i="2"/>
  <c r="F30" i="8"/>
  <c r="CK8" i="1"/>
  <c r="DE8" i="1" s="1"/>
  <c r="CK9" i="1"/>
  <c r="DE9" i="1" s="1"/>
  <c r="CI9" i="1"/>
  <c r="DC9" i="1" s="1"/>
  <c r="CK7" i="1"/>
  <c r="DE7" i="1" s="1"/>
  <c r="D22" i="2" l="1"/>
  <c r="CI8" i="1"/>
  <c r="DC8" i="1" s="1"/>
  <c r="DC20" i="1" s="1"/>
  <c r="U60" i="2" s="1"/>
  <c r="U59" i="2" s="1"/>
  <c r="CI7" i="1"/>
  <c r="DC7" i="1" s="1"/>
  <c r="D17" i="9" l="1"/>
  <c r="H14" i="9"/>
  <c r="D4" i="9"/>
  <c r="U62" i="2"/>
  <c r="D7" i="9" l="1"/>
  <c r="V60" i="2" s="1"/>
  <c r="D9" i="9"/>
  <c r="X60" i="2" s="1"/>
  <c r="D8" i="9"/>
  <c r="W60" i="2" s="1"/>
  <c r="I14" i="9"/>
  <c r="H18" i="9"/>
  <c r="I18" i="9" s="1"/>
  <c r="H17" i="9"/>
  <c r="I17" i="9" s="1"/>
  <c r="H16" i="9"/>
  <c r="I16" i="9" s="1"/>
  <c r="L13" i="9"/>
  <c r="E8" i="9"/>
  <c r="E7" i="9"/>
  <c r="H7" i="9" s="1"/>
  <c r="V56" i="2" s="1"/>
  <c r="E9" i="9"/>
  <c r="D5" i="9"/>
  <c r="H9" i="9" l="1"/>
  <c r="X56" i="2" s="1"/>
  <c r="H8" i="9"/>
  <c r="W56" i="2" s="1"/>
  <c r="W57" i="2"/>
  <c r="E17" i="9"/>
  <c r="G17" i="9" s="1"/>
  <c r="K17" i="9"/>
  <c r="K16" i="9"/>
  <c r="E16" i="9"/>
  <c r="G16" i="9" s="1"/>
  <c r="V57" i="2"/>
  <c r="V55" i="2" s="1"/>
  <c r="V58" i="2" s="1"/>
  <c r="K18" i="9"/>
  <c r="E18" i="9"/>
  <c r="G18" i="9" s="1"/>
  <c r="Z38" i="2" s="1"/>
  <c r="X57" i="2"/>
  <c r="F7" i="9"/>
  <c r="V64" i="2" s="1"/>
  <c r="K7" i="9"/>
  <c r="J7" i="9" s="1"/>
  <c r="F8" i="9"/>
  <c r="W64" i="2" s="1"/>
  <c r="L17" i="9"/>
  <c r="M17" i="9" s="1"/>
  <c r="W61" i="2" s="1"/>
  <c r="W59" i="2" s="1"/>
  <c r="W62" i="2" s="1"/>
  <c r="L18" i="9"/>
  <c r="M18" i="9" s="1"/>
  <c r="X61" i="2" s="1"/>
  <c r="X59" i="2" s="1"/>
  <c r="X62" i="2" s="1"/>
  <c r="L16" i="9"/>
  <c r="M16" i="9" s="1"/>
  <c r="V61" i="2" s="1"/>
  <c r="V59" i="2" s="1"/>
  <c r="V62" i="2" s="1"/>
  <c r="M14" i="9"/>
  <c r="F9" i="9" l="1"/>
  <c r="X64" i="2" s="1"/>
  <c r="K9" i="9"/>
  <c r="J9" i="9" s="1"/>
  <c r="Z31" i="2" s="1"/>
  <c r="X55" i="2"/>
  <c r="X58" i="2" s="1"/>
  <c r="K8" i="9"/>
  <c r="J8" i="9" s="1"/>
  <c r="M8" i="9" s="1"/>
  <c r="W55" i="2"/>
  <c r="W58" i="2" s="1"/>
  <c r="V65" i="2"/>
  <c r="V63" i="2" s="1"/>
  <c r="V66" i="2" s="1"/>
  <c r="O16" i="9"/>
  <c r="O17" i="9"/>
  <c r="W65" i="2"/>
  <c r="W63" i="2" s="1"/>
  <c r="W66" i="2" s="1"/>
  <c r="O18" i="9"/>
  <c r="X65" i="2"/>
  <c r="Z41" i="2"/>
  <c r="Z44" i="2" s="1"/>
  <c r="Z34" i="2"/>
  <c r="M7" i="9"/>
  <c r="M9" i="9" l="1"/>
  <c r="N9" i="9" s="1"/>
  <c r="Z37" i="2"/>
  <c r="V69" i="2"/>
  <c r="P16" i="9"/>
  <c r="X63" i="2"/>
  <c r="X66" i="2" s="1"/>
  <c r="X69" i="2"/>
  <c r="P18" i="9"/>
  <c r="P17" i="9"/>
  <c r="W69" i="2"/>
  <c r="N7" i="9"/>
  <c r="V68" i="2"/>
  <c r="N8" i="9"/>
  <c r="W68" i="2"/>
  <c r="X68" i="2" l="1"/>
  <c r="X67" i="2" s="1"/>
  <c r="X70" i="2" s="1"/>
  <c r="V67" i="2"/>
  <c r="V70" i="2" s="1"/>
  <c r="W67" i="2"/>
  <c r="W7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Ray Beamesderfer</author>
  </authors>
  <commentList>
    <comment ref="Y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OR recovery plan table 10-1
</t>
        </r>
      </text>
    </comment>
    <comment ref="U6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reported in white salmon recovery plan based on LeMier &amp; Smith 1955</t>
        </r>
      </text>
    </comment>
    <comment ref="V14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EDT template in YN analysis as per NPCC database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justincase</author>
    <author>BS</author>
    <author>Hymer, Joe A (DFW)</author>
  </authors>
  <commentList>
    <comment ref="BP8" authorId="0" shapeId="0" xr:uid="{2019FB09-D967-40C4-B05F-EEC6486A3AC5}">
      <text>
        <r>
          <rPr>
            <b/>
            <sz val="9"/>
            <color indexed="81"/>
            <rFont val="Tahoma"/>
            <family val="2"/>
          </rPr>
          <t>justincase:</t>
        </r>
        <r>
          <rPr>
            <sz val="9"/>
            <color indexed="81"/>
            <rFont val="Tahoma"/>
            <family val="2"/>
          </rPr>
          <t xml:space="preserve">
Used NS NM prop% to age</t>
        </r>
      </text>
    </comment>
    <comment ref="BP9" authorId="0" shapeId="0" xr:uid="{C776D2AE-B365-41CA-A621-D1AC53017379}">
      <text>
        <r>
          <rPr>
            <b/>
            <sz val="9"/>
            <color indexed="81"/>
            <rFont val="Tahoma"/>
            <family val="2"/>
          </rPr>
          <t>justincase:</t>
        </r>
        <r>
          <rPr>
            <sz val="9"/>
            <color indexed="81"/>
            <rFont val="Tahoma"/>
            <family val="2"/>
          </rPr>
          <t xml:space="preserve">
Used NS NM prop% to age</t>
        </r>
      </text>
    </comment>
    <comment ref="BP10" authorId="0" shapeId="0" xr:uid="{593198BF-8544-4B10-A83D-AFA5400C321A}">
      <text>
        <r>
          <rPr>
            <b/>
            <sz val="9"/>
            <color indexed="81"/>
            <rFont val="Tahoma"/>
            <family val="2"/>
          </rPr>
          <t>justincase:</t>
        </r>
        <r>
          <rPr>
            <sz val="9"/>
            <color indexed="81"/>
            <rFont val="Tahoma"/>
            <family val="2"/>
          </rPr>
          <t xml:space="preserve">
used creel sampling:2wild rel*2100sportcatch est=4200. 4200/26Hatch kept =161.5.(161.5*.10)=16
Aged using hatchery age comp</t>
        </r>
      </text>
    </comment>
    <comment ref="BP11" authorId="1" shapeId="0" xr:uid="{D54B628E-0B3D-49DA-AEF4-F76FEBF9A2F7}">
      <text>
        <r>
          <rPr>
            <b/>
            <sz val="9"/>
            <color indexed="81"/>
            <rFont val="Tahoma"/>
            <family val="2"/>
          </rPr>
          <t>BS:</t>
        </r>
        <r>
          <rPr>
            <sz val="9"/>
            <color indexed="81"/>
            <rFont val="Tahoma"/>
            <family val="2"/>
          </rPr>
          <t xml:space="preserve">
updated with 2011 CRC results.</t>
        </r>
      </text>
    </comment>
    <comment ref="BP12" authorId="2" shapeId="0" xr:uid="{FB6BBCAA-DE5D-4C1D-8063-8370C33DC1BF}">
      <text>
        <r>
          <rPr>
            <b/>
            <sz val="9"/>
            <color indexed="81"/>
            <rFont val="Tahoma"/>
            <family val="2"/>
          </rPr>
          <t>Hymer, Joe A (DFW):</t>
        </r>
        <r>
          <rPr>
            <sz val="9"/>
            <color indexed="81"/>
            <rFont val="Tahoma"/>
            <family val="2"/>
          </rPr>
          <t xml:space="preserve">
Updated with 2012 preliminary CRC results.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P3" authorId="0" shapeId="0" xr:uid="{DA61BE63-5F72-44A9-AB28-EFCAAEC97FC3}">
      <text>
        <r>
          <rPr>
            <b/>
            <sz val="9"/>
            <color indexed="81"/>
            <rFont val="Tahoma"/>
            <family val="2"/>
          </rPr>
          <t>from goal summary table</t>
        </r>
      </text>
    </comment>
    <comment ref="E4" authorId="0" shapeId="0" xr:uid="{BCC2B0FF-4E57-4361-BB03-9DDFFD78C95C}">
      <text>
        <r>
          <rPr>
            <b/>
            <sz val="9"/>
            <color indexed="81"/>
            <rFont val="Tahoma"/>
            <family val="2"/>
          </rPr>
          <t>For this example solved to force match to number of spawners (because averages don't always align perfectly)</t>
        </r>
      </text>
    </comment>
    <comment ref="Q7" authorId="0" shapeId="0" xr:uid="{6849BEC5-719A-4356-915B-A01E9D7816D5}">
      <text>
        <r>
          <rPr>
            <b/>
            <sz val="9"/>
            <color indexed="81"/>
            <rFont val="Tahoma"/>
            <family val="2"/>
          </rPr>
          <t>need to select this so that total matches target (col N = col P)</t>
        </r>
      </text>
    </comment>
    <comment ref="Q8" authorId="0" shapeId="0" xr:uid="{2C2AEFA1-EF33-4380-9CEA-EFF73B98ED56}">
      <text>
        <r>
          <rPr>
            <b/>
            <sz val="9"/>
            <color indexed="81"/>
            <rFont val="Tahoma"/>
            <family val="2"/>
          </rPr>
          <t>need to select this so that total matches target (col N = col P)</t>
        </r>
      </text>
    </comment>
    <comment ref="G9" authorId="0" shapeId="0" xr:uid="{8E0F6173-AEF2-4A6C-ACB2-02DA3CFFA337}">
      <text>
        <r>
          <rPr>
            <b/>
            <sz val="9"/>
            <color indexed="81"/>
            <rFont val="Tahoma"/>
            <family val="2"/>
          </rPr>
          <t>need to select this so that total matches target (col N = col P)</t>
        </r>
      </text>
    </comment>
    <comment ref="Q9" authorId="0" shapeId="0" xr:uid="{C47FE501-DB57-4A87-99E9-92C3D233D882}">
      <text>
        <r>
          <rPr>
            <b/>
            <sz val="9"/>
            <color indexed="81"/>
            <rFont val="Tahoma"/>
            <family val="2"/>
          </rPr>
          <t>need to select this so that total matches target (col N = col P)</t>
        </r>
      </text>
    </comment>
    <comment ref="M12" authorId="0" shapeId="0" xr:uid="{A6686B68-4D97-498E-A3C7-F836A9A3B5CE}">
      <text>
        <r>
          <rPr>
            <b/>
            <sz val="9"/>
            <color indexed="81"/>
            <rFont val="Tahoma"/>
            <family val="2"/>
          </rPr>
          <t>this ideally should include hatchery rack returns &amp; strays into natural spawning grounds</t>
        </r>
      </text>
    </comment>
    <comment ref="R12" authorId="0" shapeId="0" xr:uid="{A0539E87-54B5-4D49-84ED-65D49E675219}">
      <text>
        <r>
          <rPr>
            <b/>
            <sz val="9"/>
            <color indexed="81"/>
            <rFont val="Tahoma"/>
            <family val="2"/>
          </rPr>
          <t>from goal summary table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xxx</author>
  </authors>
  <commentList>
    <comment ref="D2" authorId="0" shapeId="0" xr:uid="{C61C0FF2-78E1-4532-88FF-910A348DA80F}">
      <text>
        <r>
          <rPr>
            <b/>
            <u/>
            <sz val="9"/>
            <color indexed="81"/>
            <rFont val="Tahoma"/>
            <family val="2"/>
          </rPr>
          <t>Subject</t>
        </r>
        <r>
          <rPr>
            <b/>
            <sz val="9"/>
            <color indexed="81"/>
            <rFont val="Tahoma"/>
            <family val="2"/>
          </rPr>
          <t xml:space="preserve">
Population
Fishery
Hatchery</t>
        </r>
      </text>
    </comment>
    <comment ref="F2" authorId="0" shapeId="0" xr:uid="{30F5429C-2BD6-4047-96E1-81F4DFE40287}">
      <text>
        <r>
          <rPr>
            <b/>
            <sz val="9"/>
            <color indexed="81"/>
            <rFont val="Tahoma"/>
            <family val="2"/>
          </rPr>
          <t>fill these in when final</t>
        </r>
      </text>
    </comment>
    <comment ref="I2" authorId="0" shapeId="0" xr:uid="{14A44451-9212-4352-9194-59315FBDA81F}">
      <text>
        <r>
          <rPr>
            <b/>
            <u/>
            <sz val="9"/>
            <color indexed="81"/>
            <rFont val="Tahoma"/>
            <family val="2"/>
          </rPr>
          <t>Natural Production (eg)</t>
        </r>
        <r>
          <rPr>
            <b/>
            <sz val="9"/>
            <color indexed="81"/>
            <rFont val="Tahoma"/>
            <family val="2"/>
          </rPr>
          <t xml:space="preserve">
(current)
spawning ground survey 
dam count
weir count
EDT model (patient)
expert judgement
(historical)
Reference period estimate
EDT model (template)
Other model
Harvest expansion
???
(goals)
</t>
        </r>
        <r>
          <rPr>
            <b/>
            <u/>
            <sz val="9"/>
            <color indexed="81"/>
            <rFont val="Tahoma"/>
            <family val="2"/>
          </rPr>
          <t>Hatchery</t>
        </r>
        <r>
          <rPr>
            <b/>
            <sz val="9"/>
            <color indexed="81"/>
            <rFont val="Tahoma"/>
            <family val="2"/>
          </rPr>
          <t xml:space="preserve">
release
adult return</t>
        </r>
      </text>
    </comment>
    <comment ref="J2" authorId="0" shapeId="0" xr:uid="{97D4B555-CE81-4868-AAA1-EBBF34E1610B}">
      <text>
        <r>
          <rPr>
            <b/>
            <sz val="9"/>
            <color indexed="81"/>
            <rFont val="Tahoma"/>
            <family val="2"/>
          </rPr>
          <t>if applicable</t>
        </r>
      </text>
    </comment>
    <comment ref="L2" authorId="0" shapeId="0" xr:uid="{F92CFFAA-85CD-43A4-854B-D6C1BC9031FB}">
      <text>
        <r>
          <rPr>
            <b/>
            <u/>
            <sz val="9"/>
            <color indexed="81"/>
            <rFont val="Tahoma"/>
            <family val="2"/>
          </rPr>
          <t>Reference (short form)</t>
        </r>
        <r>
          <rPr>
            <b/>
            <sz val="9"/>
            <color indexed="81"/>
            <rFont val="Tahoma"/>
            <family val="2"/>
          </rPr>
          <t xml:space="preserve">
Recovery plan
Subbasin plan
Technical report
Website
Agency unpublished
etc.</t>
        </r>
      </text>
    </comment>
  </commentList>
</comments>
</file>

<file path=xl/sharedStrings.xml><?xml version="1.0" encoding="utf-8"?>
<sst xmlns="http://schemas.openxmlformats.org/spreadsheetml/2006/main" count="2389" uniqueCount="488">
  <si>
    <t>Cowlitz</t>
  </si>
  <si>
    <t>Kalama</t>
  </si>
  <si>
    <t>Lewis</t>
  </si>
  <si>
    <t>Sandy</t>
  </si>
  <si>
    <t>Year</t>
  </si>
  <si>
    <t>Total Tributary Return</t>
  </si>
  <si>
    <t>Hatchery Escapement</t>
  </si>
  <si>
    <t>Natural-origin Spawners</t>
  </si>
  <si>
    <t>na</t>
  </si>
  <si>
    <t xml:space="preserve">na </t>
  </si>
  <si>
    <t>Hatchery and natural wont add to total due to sport harvest that is not included</t>
  </si>
  <si>
    <t>from biop</t>
  </si>
  <si>
    <t>ESA: Threatened</t>
  </si>
  <si>
    <t>Total</t>
  </si>
  <si>
    <t>Hatchery</t>
  </si>
  <si>
    <t>@ Columbia R Mouth</t>
  </si>
  <si>
    <t>Totals</t>
  </si>
  <si>
    <t>Natural Production</t>
  </si>
  <si>
    <t>Abundance</t>
  </si>
  <si>
    <t>Potential Goal Range</t>
  </si>
  <si>
    <t>Fisheries / Harvest</t>
  </si>
  <si>
    <t>Exploitation rate</t>
  </si>
  <si>
    <t>MPG</t>
  </si>
  <si>
    <t>Population</t>
  </si>
  <si>
    <t>Historical</t>
  </si>
  <si>
    <t>Low</t>
  </si>
  <si>
    <t>Med</t>
  </si>
  <si>
    <t>High</t>
  </si>
  <si>
    <t>Location</t>
  </si>
  <si>
    <t>Goal</t>
  </si>
  <si>
    <t>Col sport</t>
  </si>
  <si>
    <t>Col commercial</t>
  </si>
  <si>
    <t>Toutle</t>
  </si>
  <si>
    <t>Coweeman</t>
  </si>
  <si>
    <t>Washougal</t>
  </si>
  <si>
    <t>Total Return</t>
  </si>
  <si>
    <t>@ Goals</t>
  </si>
  <si>
    <t>% hatchery</t>
  </si>
  <si>
    <t>Artificial Production</t>
  </si>
  <si>
    <t>Current Production</t>
  </si>
  <si>
    <t>Return</t>
  </si>
  <si>
    <t>Location (Program)</t>
  </si>
  <si>
    <t>Brood</t>
  </si>
  <si>
    <t>Current</t>
  </si>
  <si>
    <t>production</t>
  </si>
  <si>
    <t>Lower Columbia Spring Chinook</t>
  </si>
  <si>
    <t>Legacy?**</t>
  </si>
  <si>
    <t>to Recovery</t>
  </si>
  <si>
    <t>Cascade</t>
  </si>
  <si>
    <t>Upper Cowlitz (WA)</t>
  </si>
  <si>
    <t>C, GL</t>
  </si>
  <si>
    <t>Primary</t>
  </si>
  <si>
    <t>VL</t>
  </si>
  <si>
    <t>H+</t>
  </si>
  <si>
    <t>spring</t>
  </si>
  <si>
    <t>Cispus (WA)</t>
  </si>
  <si>
    <t>C</t>
  </si>
  <si>
    <t>Tilton (WA)</t>
  </si>
  <si>
    <t>Stabilizing</t>
  </si>
  <si>
    <t>Toutle (WA)</t>
  </si>
  <si>
    <t>Contributing</t>
  </si>
  <si>
    <t>M</t>
  </si>
  <si>
    <t>Kalama (WA)</t>
  </si>
  <si>
    <t>L</t>
  </si>
  <si>
    <t>NF Lewis (WA)</t>
  </si>
  <si>
    <t>H</t>
  </si>
  <si>
    <t>Sandy (OR)</t>
  </si>
  <si>
    <t>Gorge</t>
  </si>
  <si>
    <t>White Salmon (WA)</t>
  </si>
  <si>
    <t>L+</t>
  </si>
  <si>
    <t>Hood (OR)</t>
  </si>
  <si>
    <t>VH</t>
  </si>
  <si>
    <t>Stratum</t>
  </si>
  <si>
    <t>Pop</t>
  </si>
  <si>
    <t>core or genetic</t>
  </si>
  <si>
    <t>contribution</t>
  </si>
  <si>
    <t>baseline viability</t>
  </si>
  <si>
    <t>target viability</t>
  </si>
  <si>
    <r>
      <t>Upper Cowlitz (WA)</t>
    </r>
    <r>
      <rPr>
        <sz val="5"/>
        <color indexed="8"/>
        <rFont val="Arial"/>
        <family val="1"/>
        <charset val="204"/>
      </rPr>
      <t>C, G</t>
    </r>
  </si>
  <si>
    <r>
      <t>Cispus (WA)</t>
    </r>
    <r>
      <rPr>
        <sz val="5"/>
        <color indexed="8"/>
        <rFont val="Arial"/>
        <family val="1"/>
        <charset val="204"/>
      </rPr>
      <t>C</t>
    </r>
  </si>
  <si>
    <r>
      <t>NF Lewis (WA)</t>
    </r>
    <r>
      <rPr>
        <sz val="5"/>
        <color indexed="8"/>
        <rFont val="Arial"/>
        <family val="1"/>
        <charset val="204"/>
      </rPr>
      <t>C</t>
    </r>
  </si>
  <si>
    <r>
      <t>Sandy (OR)</t>
    </r>
    <r>
      <rPr>
        <sz val="5"/>
        <color indexed="8"/>
        <rFont val="Arial"/>
        <family val="1"/>
        <charset val="204"/>
      </rPr>
      <t>C, G</t>
    </r>
  </si>
  <si>
    <t>abundance</t>
  </si>
  <si>
    <t>historical</t>
  </si>
  <si>
    <t>baseline</t>
  </si>
  <si>
    <t>target</t>
  </si>
  <si>
    <t>A&amp;P</t>
  </si>
  <si>
    <t>S</t>
  </si>
  <si>
    <t>D</t>
  </si>
  <si>
    <t>Net</t>
  </si>
  <si>
    <t>Target</t>
  </si>
  <si>
    <t>Baseline</t>
  </si>
  <si>
    <r>
      <t xml:space="preserve">	Population productivity, abundance, and diversity (of both smolts and adults) based on EDT analysis of current (P or patient) and historical (T or template)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 xml:space="preserve"> habitat conditions.</t>
    </r>
  </si>
  <si>
    <r>
      <t>1</t>
    </r>
    <r>
      <rPr>
        <sz val="8"/>
        <color theme="1"/>
        <rFont val="Calibri"/>
        <family val="2"/>
        <scheme val="minor"/>
      </rPr>
      <t xml:space="preserve"> Estimate represents historical conditions in the subbasin and current conditions in the mainstem and estuary.</t>
    </r>
  </si>
  <si>
    <t>2010 Recovery Plan</t>
  </si>
  <si>
    <t>2004 draft Recovery Plan</t>
  </si>
  <si>
    <t> </t>
  </si>
  <si>
    <t>Adult Abundance</t>
  </si>
  <si>
    <t>Adult Productivity</t>
  </si>
  <si>
    <t>Diversity Index</t>
  </si>
  <si>
    <t>Smolt Abundance</t>
  </si>
  <si>
    <t>Smolt Productivity</t>
  </si>
  <si>
    <t>Species</t>
  </si>
  <si>
    <t>P</t>
  </si>
  <si>
    <t>T</t>
  </si>
  <si>
    <t>PFC</t>
  </si>
  <si>
    <t>Grays</t>
  </si>
  <si>
    <t>Fall Chinook</t>
  </si>
  <si>
    <t>Chum</t>
  </si>
  <si>
    <t>Coho</t>
  </si>
  <si>
    <t>Winter Steelhead</t>
  </si>
  <si>
    <t>Elochoman</t>
  </si>
  <si>
    <t>Skamokawa</t>
  </si>
  <si>
    <t>Mill</t>
  </si>
  <si>
    <t>Abernathy</t>
  </si>
  <si>
    <t>Germany</t>
  </si>
  <si>
    <t>Cowlitz upper</t>
  </si>
  <si>
    <t>Spring Chinook</t>
  </si>
  <si>
    <t>Cispus</t>
  </si>
  <si>
    <t>Tilton</t>
  </si>
  <si>
    <t>Cowlitz lower</t>
  </si>
  <si>
    <t>-</t>
  </si>
  <si>
    <t>Summer Steelhead</t>
  </si>
  <si>
    <t>Lewis NF (lower)</t>
  </si>
  <si>
    <t>Lewis NF (upper)</t>
  </si>
  <si>
    <t>Lewis EF</t>
  </si>
  <si>
    <t>Salmon Cr</t>
  </si>
  <si>
    <t>L Gorge tribs</t>
  </si>
  <si>
    <t>Wind</t>
  </si>
  <si>
    <t>sorted</t>
  </si>
  <si>
    <t>intermediate</t>
  </si>
  <si>
    <t>large</t>
  </si>
  <si>
    <t>very large</t>
  </si>
  <si>
    <t>MAG</t>
  </si>
  <si>
    <t>Eloch/Skam</t>
  </si>
  <si>
    <t>Lewis NF</t>
  </si>
  <si>
    <t>PFC+</t>
  </si>
  <si>
    <t>WA</t>
  </si>
  <si>
    <t>OR</t>
  </si>
  <si>
    <t>Broad sense</t>
  </si>
  <si>
    <t>EDT</t>
  </si>
  <si>
    <t>Ocean</t>
  </si>
  <si>
    <r>
      <t>Select
Areas</t>
    </r>
    <r>
      <rPr>
        <i/>
        <sz val="6"/>
        <color indexed="8"/>
        <rFont val="Times New Roman"/>
        <family val="1"/>
        <charset val="204"/>
      </rPr>
      <t>2</t>
    </r>
  </si>
  <si>
    <t>Cowlitz
River</t>
  </si>
  <si>
    <t>Kalama
River</t>
  </si>
  <si>
    <t>Lewis
River</t>
  </si>
  <si>
    <t>Sandy
River</t>
  </si>
  <si>
    <r>
      <t>Willamette
River</t>
    </r>
    <r>
      <rPr>
        <i/>
        <sz val="6"/>
        <color indexed="8"/>
        <rFont val="Times New Roman"/>
        <family val="1"/>
        <charset val="204"/>
      </rPr>
      <t>3</t>
    </r>
  </si>
  <si>
    <r>
      <t>Upriver
Run</t>
    </r>
    <r>
      <rPr>
        <i/>
        <sz val="6"/>
        <color indexed="8"/>
        <rFont val="Times New Roman"/>
        <family val="1"/>
        <charset val="204"/>
      </rPr>
      <t>4</t>
    </r>
  </si>
  <si>
    <t>1980-84 Ave.</t>
  </si>
  <si>
    <t>1985-89 Ave.</t>
  </si>
  <si>
    <t>1990-94 Ave.</t>
  </si>
  <si>
    <t>1995-99 Ave.</t>
  </si>
  <si>
    <t>2000-04 Ave.</t>
  </si>
  <si>
    <t>2005-09Ave.</t>
  </si>
  <si>
    <t>2010-14 Ave.</t>
  </si>
  <si>
    <t>CKLS</t>
  </si>
  <si>
    <t>Terminal fishery areas</t>
  </si>
  <si>
    <t>Kalama River</t>
  </si>
  <si>
    <t xml:space="preserve">Cowlitz River </t>
  </si>
  <si>
    <t>Lewis River</t>
  </si>
  <si>
    <t>Sandy River</t>
  </si>
  <si>
    <t>Hood River</t>
  </si>
  <si>
    <t>Life History: Spring, Stream type rearing</t>
  </si>
  <si>
    <t>--</t>
  </si>
  <si>
    <t>Clackamas</t>
  </si>
  <si>
    <t>Return Year</t>
  </si>
  <si>
    <t>Marine Survival</t>
  </si>
  <si>
    <t>Wild Adult Count</t>
  </si>
  <si>
    <t>Nat. Origin Spawners</t>
  </si>
  <si>
    <t>95% Confidence Interval</t>
  </si>
  <si>
    <t>Abundance Goal</t>
  </si>
  <si>
    <t>Average Abundance</t>
  </si>
  <si>
    <t>Data from ODFW's Recovery Tracker Database</t>
  </si>
  <si>
    <t>geomean</t>
  </si>
  <si>
    <t>1. Lower Cowlitz River Spring Chinook: Total Natural Spawners</t>
  </si>
  <si>
    <t>2. Lower Cowlitz River Spring Chinook: Hatchery-Origin Spawners</t>
  </si>
  <si>
    <t>3. Lower Cowlitz River Spring Chinook: Natural-Origin Spawners</t>
  </si>
  <si>
    <t>4. Upper Cowlitz and Cispus Rivers Spring Chinook: Hatchery-Origin Escapement</t>
  </si>
  <si>
    <t>5. Upper Cowlitz and Cispus Rivers Spring Chinook: Natural-Origin Escapement</t>
  </si>
  <si>
    <t>Cowlitz Spring Chinook</t>
  </si>
  <si>
    <t>Table from Washington Lower Columbia Recovery Plan</t>
  </si>
  <si>
    <t>Data from WDFW SCoRE database</t>
  </si>
  <si>
    <t>1. Total Natural Spawners</t>
  </si>
  <si>
    <t>Kalama Spring Chinook</t>
  </si>
  <si>
    <t>2010*</t>
  </si>
  <si>
    <t>* actual count was 0 but used 1 to calculate geomean</t>
  </si>
  <si>
    <t>North Fork Lewis Spring Chinook</t>
  </si>
  <si>
    <t>*</t>
  </si>
  <si>
    <t>Yearling</t>
  </si>
  <si>
    <t>Releases</t>
  </si>
  <si>
    <t>average</t>
  </si>
  <si>
    <t>Net Pens</t>
  </si>
  <si>
    <t>Sub-Yearling</t>
  </si>
  <si>
    <t>Yearling Releases</t>
  </si>
  <si>
    <t>future</t>
  </si>
  <si>
    <t>Grand</t>
  </si>
  <si>
    <t>Gobar Pond</t>
  </si>
  <si>
    <t>Yearlings</t>
  </si>
  <si>
    <t>Sub-Yearlings</t>
  </si>
  <si>
    <t>Select Area</t>
  </si>
  <si>
    <t>year</t>
  </si>
  <si>
    <t>Adult Returns</t>
  </si>
  <si>
    <t>C,K,L,S</t>
  </si>
  <si>
    <t>Commercial Kept Catch</t>
  </si>
  <si>
    <t>Comm</t>
  </si>
  <si>
    <t>Sport</t>
  </si>
  <si>
    <t>Kept Catch</t>
  </si>
  <si>
    <t>Harvest Rate</t>
  </si>
  <si>
    <t>Sport Kept Catch</t>
  </si>
  <si>
    <t>Natural Impact Rate</t>
  </si>
  <si>
    <t>Natural</t>
  </si>
  <si>
    <t>Harvest *</t>
  </si>
  <si>
    <r>
      <t xml:space="preserve">Calculations for impact rate of </t>
    </r>
    <r>
      <rPr>
        <b/>
        <sz val="11"/>
        <color theme="1"/>
        <rFont val="Calibri"/>
        <family val="2"/>
        <scheme val="minor"/>
      </rPr>
      <t>natural</t>
    </r>
    <r>
      <rPr>
        <sz val="11"/>
        <color theme="1"/>
        <rFont val="Calibri"/>
        <family val="2"/>
        <scheme val="minor"/>
      </rPr>
      <t xml:space="preserve"> spring Chinook in Columbia River Fisheries</t>
    </r>
  </si>
  <si>
    <r>
      <t xml:space="preserve">Calculations for kept catch and harvest rate of </t>
    </r>
    <r>
      <rPr>
        <b/>
        <sz val="11"/>
        <color theme="1"/>
        <rFont val="Calibri"/>
        <family val="2"/>
        <scheme val="minor"/>
      </rPr>
      <t>hatchery</t>
    </r>
    <r>
      <rPr>
        <sz val="11"/>
        <color theme="1"/>
        <rFont val="Calibri"/>
        <family val="2"/>
        <scheme val="minor"/>
      </rPr>
      <t xml:space="preserve"> spring Chinook in Columbia River Fisheries</t>
    </r>
  </si>
  <si>
    <t>Average</t>
  </si>
  <si>
    <t>* Columbia River sport and commercial fisheries are mark selective</t>
  </si>
  <si>
    <t>Total return in C,K,L,S plus Select Area</t>
  </si>
  <si>
    <t>Total return in C,K,L,S only</t>
  </si>
  <si>
    <t>Proportion</t>
  </si>
  <si>
    <t>Ocean Exploitation Rates:</t>
  </si>
  <si>
    <t>Alaska =</t>
  </si>
  <si>
    <t>Canada=</t>
  </si>
  <si>
    <t>OR/WA=</t>
  </si>
  <si>
    <t>Total=</t>
  </si>
  <si>
    <t>Data from  PSC Technical Report Volume 2</t>
  </si>
  <si>
    <t>Ocean Abundance</t>
  </si>
  <si>
    <t>Columbia River Return</t>
  </si>
  <si>
    <t>Ocean Harvest</t>
  </si>
  <si>
    <t>Low goal</t>
  </si>
  <si>
    <t>Med goal</t>
  </si>
  <si>
    <t>High goal</t>
  </si>
  <si>
    <t>Recent</t>
  </si>
  <si>
    <t>Anticipated</t>
  </si>
  <si>
    <t>Subyearling</t>
  </si>
  <si>
    <t>Limits</t>
  </si>
  <si>
    <t>Potential</t>
  </si>
  <si>
    <t>10-40%</t>
  </si>
  <si>
    <t>20-50%</t>
  </si>
  <si>
    <t>Stock</t>
  </si>
  <si>
    <t>Record type</t>
  </si>
  <si>
    <t>Subject</t>
  </si>
  <si>
    <t>Variable</t>
  </si>
  <si>
    <t>Value</t>
  </si>
  <si>
    <t>Metric</t>
  </si>
  <si>
    <t>Units</t>
  </si>
  <si>
    <t>Method</t>
  </si>
  <si>
    <t>Years</t>
  </si>
  <si>
    <t>Quantitative Goal Rules</t>
  </si>
  <si>
    <t>Reference</t>
  </si>
  <si>
    <t>Reference Link</t>
  </si>
  <si>
    <t>Notes</t>
  </si>
  <si>
    <t>natural origin spawners adults</t>
  </si>
  <si>
    <t>dam count</t>
  </si>
  <si>
    <t>2007-2016</t>
  </si>
  <si>
    <t>no rules apply</t>
  </si>
  <si>
    <t>WDFW Salmon Conservation Reporting Engine (SCoRE) database</t>
  </si>
  <si>
    <t>https://fortress.wa.gov/dfw/score/score</t>
  </si>
  <si>
    <t>Includes Cispus River.  Unexpanded count of natural origin fish captured at the Cowlitz Barrier Dam and trucked upstream for release into the Upper Cowlitz and Cispus basins.</t>
  </si>
  <si>
    <t>not applicable</t>
  </si>
  <si>
    <t>Lower Columbia Conservation and Sustainable Fisheries Plan - Chapter 7 - Tilton Spring Chinook</t>
  </si>
  <si>
    <t>Annual escpapement is zero because all natural origin fish returning to the Cowlitz Barrier Dam are transported upstream for release into the Upper Cowltiz and Cispus basins.</t>
  </si>
  <si>
    <t>https://www.lcfrb.gen.wa.us/hatcheryharvest</t>
  </si>
  <si>
    <t>professional judgement and knowledge of Recovery Plan Project Team in consultation with LCFRB</t>
  </si>
  <si>
    <t>2010 Washington Recovery Plan - Volume 1 - Chapter 6 - Table 6-1</t>
  </si>
  <si>
    <t>https://www.lcfrb.gen.wa.us/librarysalmonrecovery</t>
  </si>
  <si>
    <t>Spawning surveys not conducted for spring chinook in Toutle River so no current abundance estimates are available, used baseline estimate from Recovery Plan as current estimate</t>
  </si>
  <si>
    <t>2008-2014</t>
  </si>
  <si>
    <t>Hatchery Escapement Returned to Stream</t>
  </si>
  <si>
    <t>spawning surveys expanded peak live plus dead spawner counts, hatchery returns</t>
  </si>
  <si>
    <t>https://wdfw.wa.gov/search.php?q=hatchery+escapement+reportsw&amp;x=0&amp;y=0  https://fortress.wa.gov/dfw/score/score</t>
  </si>
  <si>
    <t>WDFW Hatchery Escapement Reports and Salmon Conservation Reporting Engine (SCoRE) database</t>
  </si>
  <si>
    <t>Includes: 1) natural origin fish that returned to Kalama Falls Hatchery and were subsequently released back into the stream and 2) surveys conducted between river miles 5.2-10.6</t>
  </si>
  <si>
    <t>Includes: 1) natural origin fish that returned to Merwin Dam or Lewis River Hatchery and were subsequently released back into the stream and 2) surveys conducted between river miles 15.7-19.2</t>
  </si>
  <si>
    <t>spawning ground surveys (GRTS methodology) with AUC estimates</t>
  </si>
  <si>
    <t>2008-2017</t>
  </si>
  <si>
    <t>ODFW Recovery Tracker Database</t>
  </si>
  <si>
    <t>http://www.odfwrecoverytracker.org</t>
  </si>
  <si>
    <t>habitat based analysis (EDT)</t>
  </si>
  <si>
    <t>Table from Lower Columbia Recovery Plan</t>
  </si>
  <si>
    <t>Information from NPCC Natural-Origin Salmon and Steelhead Objectives - Subbasin</t>
  </si>
  <si>
    <t>https://app.nwcouncil.org/ext/maps/AFObjPrograms/</t>
  </si>
  <si>
    <t>Population Viability Analysis (PVA) using a Stochastic Stock Recruitment Model (Popcycle)</t>
  </si>
  <si>
    <t>1 - delisting abundance goal (desired status)</t>
  </si>
  <si>
    <t>set goal equal to baseline abundance estimate from Recovery Plan</t>
  </si>
  <si>
    <t>1 - delisting abundance goal (desired status) - maintain current abundance</t>
  </si>
  <si>
    <t>Stabilizing population - recovery scenario requires population maintain current status - goal set to maintain baseline abundance estimate - no current abundance estimates available at time of completion of Recovery Plan - estimates of recent abundance are not available  - used baseline abundance estimate as low goal.</t>
  </si>
  <si>
    <t>Table from Oregon Lower Columbia Recovery Plan</t>
  </si>
  <si>
    <t>habitat based analysis (HPVA)</t>
  </si>
  <si>
    <t>Oregon Recovery Plan - Chapter 6 - Table 6-3</t>
  </si>
  <si>
    <t>https://www.dfw.state.or.us/fish/crp/conservation_recovery_plans.asp</t>
  </si>
  <si>
    <t>Conservation Assessment Tool for Anadromous Salmonids (CATAS) population viability model</t>
  </si>
  <si>
    <t>Oregon Recovery Plan - Chapter 6 - Table 6-36</t>
  </si>
  <si>
    <t>midpoint between low and high goals</t>
  </si>
  <si>
    <t>2 - mid-way between low- and high-range goals</t>
  </si>
  <si>
    <t>CBP Recommendations Report</t>
  </si>
  <si>
    <t>https://www.westcoast.fisheries.noaa.gov/columbia_river/index.html</t>
  </si>
  <si>
    <t>set equal low and high goals</t>
  </si>
  <si>
    <t>Modeled estimate for high goal is same as estimate for low goal; therefore, mid-point between low and high goals is same as those goals</t>
  </si>
  <si>
    <t>EDT - based on PFC+ potential</t>
  </si>
  <si>
    <t>3 - habitat model inferences with feasible habitat restoration</t>
  </si>
  <si>
    <t>https://www.nwcouncil.org/sites/default/files/TechFoundationVolumeII.pdf</t>
  </si>
  <si>
    <t>1 - broad sense goal identified in existing plan</t>
  </si>
  <si>
    <t>Oregon Recovery Plan - Chapter 10  - Table 10.1</t>
  </si>
  <si>
    <t>set goal equal to historic abundance</t>
  </si>
  <si>
    <t>2 - equal to empirical estimates of historical abundance</t>
  </si>
  <si>
    <t>estimates of abundance at high viability levels (igh-range goals) not presented in either the Washington or White Salmon portions of the Lower Columbia Recovery Plan so used historic abundance</t>
  </si>
  <si>
    <t>Mayfield Dam count, includes fish destinedf for both Upper Cowlitz and Cispus</t>
  </si>
  <si>
    <t>2004 Washington Recovery Plan - Volume II - Chapter 9 - Table 9-2</t>
  </si>
  <si>
    <t>2004 Washington Recovery Plan - Volume II - Chapter 9 - Table 9-1</t>
  </si>
  <si>
    <t>2004 Washington Recovery Plan - Volume II - Chapter 9 - Table 9-3</t>
  </si>
  <si>
    <t>2004 Washington Recovery Plan - Volume II - Chapter 7 - Table 7-1</t>
  </si>
  <si>
    <t>2004 Washington Recovery Plan - Volume II - Chapter 10 - Table 10-1</t>
  </si>
  <si>
    <t>2004 Washington Recovery Plan - Volume II - Chapter 12 - Table 12-1</t>
  </si>
  <si>
    <t>Escapement</t>
  </si>
  <si>
    <t>Harvest (Total)</t>
  </si>
  <si>
    <t>Avg (v ocn)</t>
  </si>
  <si>
    <t>Avg (v CR)</t>
  </si>
  <si>
    <t>Data from WDFW Hatchery Escapement Annual Reports</t>
  </si>
  <si>
    <t>J</t>
  </si>
  <si>
    <t>Kalama Popuation</t>
  </si>
  <si>
    <t>Upper Cowlitz and Cispus Population</t>
  </si>
  <si>
    <t>North Fork Lewis Population</t>
  </si>
  <si>
    <t>Information for updated Chapter 7 from Lower Columbia Conservation and Sustainable Fisheries Plan</t>
  </si>
  <si>
    <t>Phos Lower Cowlitz</t>
  </si>
  <si>
    <t>Lower Cowlitz Natural Origin Spawners</t>
  </si>
  <si>
    <t>Source --&gt;</t>
  </si>
  <si>
    <t>Oregon Spawning Ground Escapements</t>
  </si>
  <si>
    <t>US v Oregon BiOp</t>
  </si>
  <si>
    <t>% Nat</t>
  </si>
  <si>
    <t>Proportion Hatchery</t>
  </si>
  <si>
    <t>Little White Salmon River</t>
  </si>
  <si>
    <t>Wind River</t>
  </si>
  <si>
    <t>Natural Spawn</t>
  </si>
  <si>
    <t>avg</t>
  </si>
  <si>
    <t>Hatchery Returns</t>
  </si>
  <si>
    <t>% Hat</t>
  </si>
  <si>
    <t>Data from spreadsheet provided by Cindy LeFleur with WDFW</t>
  </si>
  <si>
    <t>NS &amp; H Totals</t>
  </si>
  <si>
    <t>Cowlitz River Mouth Return</t>
  </si>
  <si>
    <t>Tributary Sport Catch</t>
  </si>
  <si>
    <t>Kalama River Mouth Return</t>
  </si>
  <si>
    <t>Lewis River Mouth Return</t>
  </si>
  <si>
    <t>2007-2009  Natural and Hatchery River Mouth Return calculated based on averages from 2010-2018</t>
  </si>
  <si>
    <t>2007-2018 Hatchery Total River Mouth Return calculated as sum of Natural and Hatchery River Mouth Returns</t>
  </si>
  <si>
    <t>SAFE</t>
  </si>
  <si>
    <t xml:space="preserve">Harvest </t>
  </si>
  <si>
    <t>Rate</t>
  </si>
  <si>
    <t>Harvest Rates</t>
  </si>
  <si>
    <t>C,K,L,S Return</t>
  </si>
  <si>
    <t>Harvest</t>
  </si>
  <si>
    <t>2007-2012  Hatchery Harvest Rates based on averages from 2013-2017</t>
  </si>
  <si>
    <t>Hatchery Harvest Rates</t>
  </si>
  <si>
    <t>Natural Harvest Rates</t>
  </si>
  <si>
    <t>2007-2017 Natural Harvest Rates calculated as 10% of Hatchery Harvest Rates</t>
  </si>
  <si>
    <t>Hatchery Harvest</t>
  </si>
  <si>
    <t>Natural Harvest</t>
  </si>
  <si>
    <t>Columbia River Mouth Run Size</t>
  </si>
  <si>
    <t>Est</t>
  </si>
  <si>
    <t># of</t>
  </si>
  <si>
    <t>CWT</t>
  </si>
  <si>
    <t>Ages</t>
  </si>
  <si>
    <t xml:space="preserve"> </t>
  </si>
  <si>
    <t>AABM Fishery</t>
  </si>
  <si>
    <t>ISBM Fishery</t>
  </si>
  <si>
    <t>Terminal Fishery</t>
  </si>
  <si>
    <t>SEAK</t>
  </si>
  <si>
    <t>N</t>
  </si>
  <si>
    <t>NBC</t>
  </si>
  <si>
    <t>WCVI</t>
  </si>
  <si>
    <t>NBC &amp; CBC</t>
  </si>
  <si>
    <t>S Falcon</t>
  </si>
  <si>
    <t>Puget Sd</t>
  </si>
  <si>
    <t>Canada</t>
  </si>
  <si>
    <t>Southern US</t>
  </si>
  <si>
    <t>Stray</t>
  </si>
  <si>
    <t>79–84</t>
  </si>
  <si>
    <t>3,4,5,6</t>
  </si>
  <si>
    <t>NA</t>
  </si>
  <si>
    <t>Alaska</t>
  </si>
  <si>
    <t>US</t>
  </si>
  <si>
    <t>Catch</t>
  </si>
  <si>
    <t>Southern BC</t>
  </si>
  <si>
    <t>N Falcon</t>
  </si>
  <si>
    <t>WAC</t>
  </si>
  <si>
    <t>Esc</t>
  </si>
  <si>
    <t>2006-2015 avg</t>
  </si>
  <si>
    <t>Data from PSC database</t>
  </si>
  <si>
    <t>Ak</t>
  </si>
  <si>
    <t>Can</t>
  </si>
  <si>
    <t>Tot</t>
  </si>
  <si>
    <t>Col R.</t>
  </si>
  <si>
    <t>AK</t>
  </si>
  <si>
    <t>avg (2008-2015)</t>
  </si>
  <si>
    <t>Table from Joint Staff Report</t>
  </si>
  <si>
    <t>Commercial</t>
  </si>
  <si>
    <t>SAFE Stock</t>
  </si>
  <si>
    <t>Comm + Sport</t>
  </si>
  <si>
    <t>Columbia</t>
  </si>
  <si>
    <t>River Run</t>
  </si>
  <si>
    <t>Col Sport</t>
  </si>
  <si>
    <t>Col Commercial</t>
  </si>
  <si>
    <t>Ocean (AK)</t>
  </si>
  <si>
    <t>Ocean (Can)</t>
  </si>
  <si>
    <t>Ocean (WA/OR)</t>
  </si>
  <si>
    <t>Data from Joint Staff Report for 2017 (harvest estimates) and spreadsheet provided by Cindy LeFleur with WDFW (harvest rate estimates)</t>
  </si>
  <si>
    <t>Data from spreadsheet provided by Cindy LeFleur with WDFW (harvest rate estimates)</t>
  </si>
  <si>
    <t>Run Size</t>
  </si>
  <si>
    <t>Harvest  Rate</t>
  </si>
  <si>
    <t>River Mouth</t>
  </si>
  <si>
    <t>Drano Lake Sport</t>
  </si>
  <si>
    <t>Drano Lake Tribal</t>
  </si>
  <si>
    <t>Spawn</t>
  </si>
  <si>
    <t>L. White</t>
  </si>
  <si>
    <t>% of Bonn Dam</t>
  </si>
  <si>
    <t>Bonneville Dam Counts</t>
  </si>
  <si>
    <t>Bonn Pool Losses</t>
  </si>
  <si>
    <t>Wind River Run Reconstruction</t>
  </si>
  <si>
    <t>Wind River Sport</t>
  </si>
  <si>
    <t>Wind River Tribal</t>
  </si>
  <si>
    <t>Little White Salmon River Run Reconstruction</t>
  </si>
  <si>
    <t>Select Area Harvest and Harvest Rate Calculations</t>
  </si>
  <si>
    <t>Bonneville Dam Run Reconstruction (Wind and Little White Stocks)</t>
  </si>
  <si>
    <t>Bonn  Tribs</t>
  </si>
  <si>
    <t>Treaty</t>
  </si>
  <si>
    <t>Number</t>
  </si>
  <si>
    <t>Sport Harvest</t>
  </si>
  <si>
    <t>Treaty Harvest</t>
  </si>
  <si>
    <t>Nuimber</t>
  </si>
  <si>
    <t>Tributary Totals</t>
  </si>
  <si>
    <t>SPRING CHINOOK</t>
  </si>
  <si>
    <t>SALMON R TRAP (WELCHES)</t>
  </si>
  <si>
    <t>BULL RUN TRAP</t>
  </si>
  <si>
    <t>SANDY</t>
  </si>
  <si>
    <t>ZIGZAG TRAP</t>
  </si>
  <si>
    <t>N Fork Klaskanine River</t>
  </si>
  <si>
    <t>KLASKANINE</t>
  </si>
  <si>
    <t>S Fork Klaskanine River</t>
  </si>
  <si>
    <t>CLATSOP CTY</t>
  </si>
  <si>
    <t>Jacks</t>
  </si>
  <si>
    <t>Females</t>
  </si>
  <si>
    <t>Males</t>
  </si>
  <si>
    <t>Watershed</t>
  </si>
  <si>
    <t>Facility</t>
  </si>
  <si>
    <t>Brood Year</t>
  </si>
  <si>
    <t>Adults</t>
  </si>
  <si>
    <t>Release</t>
  </si>
  <si>
    <t>Adult</t>
  </si>
  <si>
    <t>Yearly</t>
  </si>
  <si>
    <t>Oregon hatchery return data from spreadsheet provided by Guy Chilton with ODFW</t>
  </si>
  <si>
    <t>Natrual spawn data from ODFW Recovery Tracker database and hatchery return data from spreadsheet provided by Guy Chilton with ODFW</t>
  </si>
  <si>
    <t>Assumed all returns were hatchery orign</t>
  </si>
  <si>
    <t>Trib Sport</t>
  </si>
  <si>
    <t>Trib</t>
  </si>
  <si>
    <t>2015 used ratio of proportion hatchery and wild times total to calculate hatchery and wild River Mouth Return</t>
  </si>
  <si>
    <t>2007-2013  Natural and Hatchery River Mouth Return calculated based on averages from 2014-2018</t>
  </si>
  <si>
    <t>Nat HR</t>
  </si>
  <si>
    <t>blue shaded cells are user inputs (should link to values identified elsewhere in workbook)</t>
  </si>
  <si>
    <t>No. of spawners</t>
  </si>
  <si>
    <t>Natl loss rate convertion to escape</t>
  </si>
  <si>
    <t>Freshwater fishery harvest</t>
  </si>
  <si>
    <t>Freshwater fishery impact rate (v Col R)</t>
  </si>
  <si>
    <t>Columia River run</t>
  </si>
  <si>
    <t>Ocean fishery impact rate (v ocn)</t>
  </si>
  <si>
    <t>Ocean harvest</t>
  </si>
  <si>
    <t>Ocean abundance</t>
  </si>
  <si>
    <t>Total harvest</t>
  </si>
  <si>
    <t>Total explitation rate (v ocn)</t>
  </si>
  <si>
    <t>target exploitation rate (v ocn)</t>
  </si>
  <si>
    <t>target freshwater exploitation rate (v col R)</t>
  </si>
  <si>
    <t>Current (inputs)</t>
  </si>
  <si>
    <t>Current (derived)</t>
  </si>
  <si>
    <t>Medium goal</t>
  </si>
  <si>
    <t>Hatchery releases</t>
  </si>
  <si>
    <t>SAR (to Col R)</t>
  </si>
  <si>
    <t>No. escaping</t>
  </si>
  <si>
    <t>C,K,L,S Escapement</t>
  </si>
  <si>
    <t>Harvest (Col basin)</t>
  </si>
  <si>
    <t>Recent avg.</t>
  </si>
  <si>
    <t>(2008-2017)</t>
  </si>
  <si>
    <t>million</t>
  </si>
  <si>
    <t>For plot</t>
  </si>
  <si>
    <r>
      <rPr>
        <sz val="11"/>
        <color theme="1"/>
        <rFont val="Calibri"/>
        <family val="2"/>
      </rPr>
      <t>≤</t>
    </r>
    <r>
      <rPr>
        <sz val="9.9"/>
        <color theme="1"/>
        <rFont val="Calibri"/>
        <family val="2"/>
      </rPr>
      <t xml:space="preserve"> 70%</t>
    </r>
  </si>
  <si>
    <t>Subtotal</t>
  </si>
  <si>
    <t>Below  BON Dam</t>
  </si>
  <si>
    <t>Abv BON Dam</t>
  </si>
  <si>
    <t>changed target ER to match table in goal summary</t>
  </si>
  <si>
    <t>note hatchery numbers at goals reflect reductions in hatchery programs relative to previous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</si>
</sst>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0.0%"/>
    <numFmt numFmtId="165" formatCode="0.0"/>
    <numFmt numFmtId="166" formatCode="_(* #,##0_);_(* \(#,##0\);_(* &quot;-&quot;??_);_(@_)"/>
    <numFmt numFmtId="167" formatCode="0.0000"/>
    <numFmt numFmtId="168" formatCode="0.000_);\(0.000\)"/>
    <numFmt numFmtId="169" formatCode="0.000"/>
    <numFmt numFmtId="170" formatCode="0.00_);\(0.00\)"/>
    <numFmt numFmtId="171" formatCode="#,##0.0"/>
  </numFmts>
  <fonts count="51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5"/>
      <color indexed="8"/>
      <name val="Arial"/>
      <family val="1"/>
      <charset val="204"/>
    </font>
    <font>
      <sz val="8"/>
      <color indexed="8"/>
      <name val="Arial"/>
      <family val="1"/>
      <charset val="204"/>
    </font>
    <font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sz val="10"/>
      <color theme="1"/>
      <name val="Calibri"/>
      <family val="2"/>
      <scheme val="minor"/>
    </font>
    <font>
      <vertAlign val="superscript"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Arial"/>
      <family val="2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i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Times New Roman"/>
      <family val="2"/>
    </font>
    <font>
      <i/>
      <sz val="6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i/>
      <sz val="9"/>
      <color indexed="8"/>
      <name val="Times New Roman"/>
      <family val="2"/>
    </font>
    <font>
      <b/>
      <sz val="8.25"/>
      <color rgb="FF000000"/>
      <name val="Verdana"/>
      <family val="2"/>
    </font>
    <font>
      <sz val="8.25"/>
      <color rgb="FF000000"/>
      <name val="Verdana"/>
      <family val="2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9"/>
      <color rgb="FF000000"/>
      <name val="Verdana"/>
      <family val="2"/>
    </font>
    <font>
      <b/>
      <i/>
      <sz val="1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9.9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EC195"/>
        <bgColor indexed="64"/>
      </patternFill>
    </fill>
    <fill>
      <patternFill patternType="solid">
        <fgColor rgb="FFE2E4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8D9D38"/>
        <bgColor indexed="64"/>
      </patternFill>
    </fill>
    <fill>
      <patternFill patternType="solid">
        <fgColor rgb="FFD4DEA2"/>
        <bgColor indexed="64"/>
      </patternFill>
    </fill>
    <fill>
      <patternFill patternType="solid">
        <fgColor rgb="FFE7EDCB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46" fillId="0" borderId="0"/>
  </cellStyleXfs>
  <cellXfs count="431">
    <xf numFmtId="0" fontId="0" fillId="0" borderId="0" xfId="0"/>
    <xf numFmtId="0" fontId="0" fillId="2" borderId="0" xfId="0" applyFill="1"/>
    <xf numFmtId="3" fontId="4" fillId="2" borderId="0" xfId="0" applyNumberFormat="1" applyFont="1" applyFill="1" applyAlignment="1">
      <alignment horizontal="center"/>
    </xf>
    <xf numFmtId="0" fontId="4" fillId="4" borderId="1" xfId="0" applyFont="1" applyFill="1" applyBorder="1" applyAlignment="1">
      <alignment horizontal="centerContinuous"/>
    </xf>
    <xf numFmtId="0" fontId="4" fillId="3" borderId="8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5" borderId="6" xfId="0" applyFont="1" applyFill="1" applyBorder="1"/>
    <xf numFmtId="0" fontId="4" fillId="5" borderId="7" xfId="0" applyFont="1" applyFill="1" applyBorder="1" applyAlignment="1">
      <alignment horizontal="center"/>
    </xf>
    <xf numFmtId="0" fontId="4" fillId="5" borderId="8" xfId="0" applyFont="1" applyFill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164" fontId="0" fillId="0" borderId="0" xfId="1" applyNumberFormat="1" applyFont="1" applyAlignment="1">
      <alignment horizontal="center"/>
    </xf>
    <xf numFmtId="0" fontId="0" fillId="0" borderId="0" xfId="0" quotePrefix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0" borderId="4" xfId="0" applyNumberFormat="1" applyBorder="1"/>
    <xf numFmtId="3" fontId="0" fillId="0" borderId="0" xfId="0" applyNumberFormat="1"/>
    <xf numFmtId="3" fontId="0" fillId="0" borderId="5" xfId="0" applyNumberFormat="1" applyBorder="1"/>
    <xf numFmtId="0" fontId="0" fillId="0" borderId="4" xfId="0" applyBorder="1"/>
    <xf numFmtId="164" fontId="0" fillId="0" borderId="0" xfId="0" applyNumberFormat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6" xfId="0" applyNumberFormat="1" applyBorder="1"/>
    <xf numFmtId="3" fontId="0" fillId="0" borderId="7" xfId="0" applyNumberFormat="1" applyBorder="1"/>
    <xf numFmtId="3" fontId="0" fillId="0" borderId="8" xfId="0" applyNumberFormat="1" applyBorder="1"/>
    <xf numFmtId="0" fontId="9" fillId="5" borderId="1" xfId="0" applyFont="1" applyFill="1" applyBorder="1"/>
    <xf numFmtId="164" fontId="9" fillId="5" borderId="2" xfId="0" applyNumberFormat="1" applyFont="1" applyFill="1" applyBorder="1" applyAlignment="1">
      <alignment horizontal="center"/>
    </xf>
    <xf numFmtId="3" fontId="4" fillId="5" borderId="2" xfId="0" applyNumberFormat="1" applyFont="1" applyFill="1" applyBorder="1" applyAlignment="1">
      <alignment horizontal="center"/>
    </xf>
    <xf numFmtId="0" fontId="0" fillId="0" borderId="10" xfId="0" applyBorder="1"/>
    <xf numFmtId="0" fontId="0" fillId="0" borderId="7" xfId="0" applyBorder="1"/>
    <xf numFmtId="0" fontId="4" fillId="0" borderId="9" xfId="0" quotePrefix="1" applyFont="1" applyBorder="1" applyAlignment="1">
      <alignment horizontal="left"/>
    </xf>
    <xf numFmtId="0" fontId="0" fillId="0" borderId="6" xfId="0" applyBorder="1"/>
    <xf numFmtId="0" fontId="4" fillId="6" borderId="1" xfId="0" applyFont="1" applyFill="1" applyBorder="1"/>
    <xf numFmtId="0" fontId="0" fillId="6" borderId="3" xfId="0" applyFill="1" applyBorder="1"/>
    <xf numFmtId="0" fontId="6" fillId="7" borderId="10" xfId="0" applyFont="1" applyFill="1" applyBorder="1" applyAlignment="1">
      <alignment horizontal="centerContinuous"/>
    </xf>
    <xf numFmtId="0" fontId="4" fillId="7" borderId="10" xfId="0" applyFont="1" applyFill="1" applyBorder="1" applyAlignment="1">
      <alignment horizontal="centerContinuous"/>
    </xf>
    <xf numFmtId="0" fontId="4" fillId="0" borderId="4" xfId="0" applyFont="1" applyBorder="1"/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3" fontId="3" fillId="0" borderId="0" xfId="0" applyNumberFormat="1" applyFont="1"/>
    <xf numFmtId="9" fontId="0" fillId="0" borderId="7" xfId="1" applyFont="1" applyBorder="1" applyAlignment="1">
      <alignment horizontal="center"/>
    </xf>
    <xf numFmtId="9" fontId="0" fillId="0" borderId="8" xfId="1" applyFont="1" applyBorder="1" applyAlignment="1">
      <alignment horizontal="center"/>
    </xf>
    <xf numFmtId="0" fontId="5" fillId="0" borderId="0" xfId="0" applyFont="1"/>
    <xf numFmtId="0" fontId="0" fillId="0" borderId="0" xfId="0" applyAlignment="1">
      <alignment horizontal="center"/>
    </xf>
    <xf numFmtId="0" fontId="14" fillId="0" borderId="0" xfId="0" applyFont="1" applyAlignment="1">
      <alignment vertical="top" wrapText="1"/>
    </xf>
    <xf numFmtId="0" fontId="15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14" fillId="0" borderId="15" xfId="0" applyFont="1" applyBorder="1" applyAlignment="1">
      <alignment horizontal="left" vertical="top" wrapText="1"/>
    </xf>
    <xf numFmtId="0" fontId="16" fillId="0" borderId="16" xfId="0" applyFont="1" applyBorder="1" applyAlignment="1">
      <alignment horizontal="left" vertical="top" wrapText="1" indent="1"/>
    </xf>
    <xf numFmtId="0" fontId="16" fillId="0" borderId="16" xfId="0" applyFont="1" applyBorder="1" applyAlignment="1">
      <alignment horizontal="left" vertical="top" wrapText="1" indent="2"/>
    </xf>
    <xf numFmtId="0" fontId="16" fillId="0" borderId="16" xfId="0" applyFont="1" applyBorder="1" applyAlignment="1">
      <alignment horizontal="center" vertical="top" wrapText="1"/>
    </xf>
    <xf numFmtId="0" fontId="16" fillId="0" borderId="0" xfId="0" applyFont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2"/>
    </xf>
    <xf numFmtId="0" fontId="16" fillId="0" borderId="0" xfId="0" applyFont="1" applyAlignment="1">
      <alignment horizontal="center" vertical="top" wrapText="1"/>
    </xf>
    <xf numFmtId="0" fontId="14" fillId="0" borderId="0" xfId="0" applyFont="1" applyAlignment="1">
      <alignment horizontal="left" vertical="top" wrapText="1"/>
    </xf>
    <xf numFmtId="0" fontId="16" fillId="0" borderId="15" xfId="0" applyFont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2"/>
    </xf>
    <xf numFmtId="0" fontId="16" fillId="0" borderId="15" xfId="0" applyFont="1" applyBorder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0" fontId="15" fillId="0" borderId="15" xfId="0" applyFont="1" applyBorder="1" applyAlignment="1">
      <alignment horizontal="center" vertical="top" wrapText="1"/>
    </xf>
    <xf numFmtId="0" fontId="14" fillId="0" borderId="15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left" vertical="top" wrapText="1" indent="1"/>
    </xf>
    <xf numFmtId="3" fontId="16" fillId="0" borderId="16" xfId="0" applyNumberFormat="1" applyFont="1" applyBorder="1" applyAlignment="1">
      <alignment horizontal="left" vertical="top" wrapText="1" indent="2"/>
    </xf>
    <xf numFmtId="1" fontId="16" fillId="0" borderId="16" xfId="0" applyNumberFormat="1" applyFont="1" applyBorder="1" applyAlignment="1">
      <alignment horizontal="left" vertical="top" wrapText="1" indent="2"/>
    </xf>
    <xf numFmtId="3" fontId="16" fillId="0" borderId="16" xfId="0" applyNumberFormat="1" applyFont="1" applyBorder="1" applyAlignment="1">
      <alignment horizontal="center" vertical="top" wrapText="1"/>
    </xf>
    <xf numFmtId="0" fontId="18" fillId="0" borderId="0" xfId="0" applyFont="1" applyAlignment="1">
      <alignment horizontal="left" vertical="top" wrapText="1" indent="1"/>
    </xf>
    <xf numFmtId="3" fontId="16" fillId="0" borderId="0" xfId="0" applyNumberFormat="1" applyFont="1" applyAlignment="1">
      <alignment horizontal="left" vertical="top" wrapText="1" indent="2"/>
    </xf>
    <xf numFmtId="1" fontId="16" fillId="0" borderId="0" xfId="0" applyNumberFormat="1" applyFont="1" applyAlignment="1">
      <alignment horizontal="left" vertical="top" wrapText="1" indent="2"/>
    </xf>
    <xf numFmtId="3" fontId="16" fillId="0" borderId="0" xfId="0" applyNumberFormat="1" applyFont="1" applyAlignment="1">
      <alignment horizontal="center" vertical="top" wrapText="1"/>
    </xf>
    <xf numFmtId="1" fontId="16" fillId="0" borderId="0" xfId="0" applyNumberFormat="1" applyFont="1" applyAlignment="1">
      <alignment horizontal="center" vertical="top" wrapText="1"/>
    </xf>
    <xf numFmtId="0" fontId="18" fillId="0" borderId="15" xfId="0" applyFont="1" applyBorder="1" applyAlignment="1">
      <alignment horizontal="left" vertical="top" wrapText="1" indent="1"/>
    </xf>
    <xf numFmtId="3" fontId="16" fillId="0" borderId="15" xfId="0" applyNumberFormat="1" applyFont="1" applyBorder="1" applyAlignment="1">
      <alignment horizontal="left" vertical="top" wrapText="1" indent="2"/>
    </xf>
    <xf numFmtId="1" fontId="16" fillId="0" borderId="15" xfId="0" applyNumberFormat="1" applyFont="1" applyBorder="1" applyAlignment="1">
      <alignment horizontal="left" vertical="top" wrapText="1" indent="2"/>
    </xf>
    <xf numFmtId="3" fontId="16" fillId="0" borderId="15" xfId="0" applyNumberFormat="1" applyFont="1" applyBorder="1" applyAlignment="1">
      <alignment horizontal="center" vertical="top" wrapText="1"/>
    </xf>
    <xf numFmtId="0" fontId="1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0" fillId="0" borderId="9" xfId="0" applyBorder="1"/>
    <xf numFmtId="0" fontId="19" fillId="0" borderId="0" xfId="0" applyFont="1"/>
    <xf numFmtId="0" fontId="21" fillId="8" borderId="0" xfId="0" applyFont="1" applyFill="1"/>
    <xf numFmtId="0" fontId="21" fillId="0" borderId="0" xfId="0" applyFont="1"/>
    <xf numFmtId="0" fontId="3" fillId="8" borderId="0" xfId="0" applyFont="1" applyFill="1"/>
    <xf numFmtId="0" fontId="7" fillId="8" borderId="0" xfId="0" applyFont="1" applyFill="1"/>
    <xf numFmtId="0" fontId="4" fillId="0" borderId="0" xfId="0" applyFont="1"/>
    <xf numFmtId="0" fontId="11" fillId="8" borderId="0" xfId="0" applyFont="1" applyFill="1"/>
    <xf numFmtId="0" fontId="7" fillId="0" borderId="0" xfId="0" applyFont="1"/>
    <xf numFmtId="0" fontId="7" fillId="0" borderId="0" xfId="0" applyFont="1" applyAlignment="1">
      <alignment wrapText="1"/>
    </xf>
    <xf numFmtId="0" fontId="7" fillId="8" borderId="0" xfId="0" applyFont="1" applyFill="1" applyAlignment="1">
      <alignment wrapText="1"/>
    </xf>
    <xf numFmtId="0" fontId="7" fillId="0" borderId="0" xfId="0" applyFont="1" applyAlignment="1">
      <alignment horizontal="center" wrapText="1"/>
    </xf>
    <xf numFmtId="0" fontId="25" fillId="8" borderId="0" xfId="0" applyFont="1" applyFill="1" applyAlignment="1">
      <alignment horizontal="center" wrapText="1"/>
    </xf>
    <xf numFmtId="0" fontId="21" fillId="0" borderId="17" xfId="0" applyFont="1" applyBorder="1"/>
    <xf numFmtId="0" fontId="21" fillId="0" borderId="0" xfId="0" applyFont="1" applyAlignment="1">
      <alignment wrapText="1"/>
    </xf>
    <xf numFmtId="0" fontId="26" fillId="0" borderId="0" xfId="0" applyFont="1" applyAlignment="1">
      <alignment wrapText="1"/>
    </xf>
    <xf numFmtId="3" fontId="21" fillId="0" borderId="0" xfId="0" applyNumberFormat="1" applyFont="1" applyAlignment="1">
      <alignment wrapText="1"/>
    </xf>
    <xf numFmtId="0" fontId="26" fillId="0" borderId="10" xfId="0" applyFont="1" applyBorder="1" applyAlignment="1">
      <alignment wrapText="1"/>
    </xf>
    <xf numFmtId="3" fontId="26" fillId="0" borderId="10" xfId="0" applyNumberFormat="1" applyFont="1" applyBorder="1" applyAlignment="1">
      <alignment wrapText="1"/>
    </xf>
    <xf numFmtId="3" fontId="26" fillId="0" borderId="0" xfId="0" applyNumberFormat="1" applyFont="1" applyAlignment="1">
      <alignment wrapText="1"/>
    </xf>
    <xf numFmtId="3" fontId="27" fillId="0" borderId="0" xfId="0" applyNumberFormat="1" applyFont="1" applyAlignment="1">
      <alignment wrapText="1"/>
    </xf>
    <xf numFmtId="0" fontId="21" fillId="8" borderId="0" xfId="0" applyFont="1" applyFill="1" applyAlignment="1">
      <alignment wrapText="1"/>
    </xf>
    <xf numFmtId="3" fontId="21" fillId="8" borderId="0" xfId="0" applyNumberFormat="1" applyFont="1" applyFill="1" applyAlignment="1">
      <alignment wrapText="1"/>
    </xf>
    <xf numFmtId="3" fontId="26" fillId="8" borderId="0" xfId="0" applyNumberFormat="1" applyFont="1" applyFill="1" applyAlignment="1">
      <alignment wrapText="1"/>
    </xf>
    <xf numFmtId="0" fontId="21" fillId="0" borderId="17" xfId="0" applyFont="1" applyBorder="1" applyAlignment="1">
      <alignment wrapText="1"/>
    </xf>
    <xf numFmtId="0" fontId="26" fillId="8" borderId="0" xfId="0" applyFont="1" applyFill="1" applyAlignment="1">
      <alignment wrapText="1"/>
    </xf>
    <xf numFmtId="0" fontId="27" fillId="0" borderId="0" xfId="0" applyFont="1" applyAlignment="1">
      <alignment wrapText="1"/>
    </xf>
    <xf numFmtId="0" fontId="21" fillId="0" borderId="0" xfId="0" quotePrefix="1" applyFont="1" applyAlignment="1">
      <alignment wrapText="1"/>
    </xf>
    <xf numFmtId="0" fontId="28" fillId="0" borderId="0" xfId="0" applyFont="1" applyAlignment="1">
      <alignment wrapText="1"/>
    </xf>
    <xf numFmtId="3" fontId="28" fillId="0" borderId="0" xfId="0" applyNumberFormat="1" applyFont="1" applyAlignment="1">
      <alignment wrapText="1"/>
    </xf>
    <xf numFmtId="0" fontId="21" fillId="0" borderId="7" xfId="0" applyFont="1" applyBorder="1" applyAlignment="1">
      <alignment wrapText="1"/>
    </xf>
    <xf numFmtId="3" fontId="21" fillId="0" borderId="7" xfId="0" applyNumberFormat="1" applyFont="1" applyBorder="1" applyAlignment="1">
      <alignment wrapText="1"/>
    </xf>
    <xf numFmtId="0" fontId="26" fillId="0" borderId="7" xfId="0" applyFont="1" applyBorder="1" applyAlignment="1">
      <alignment wrapText="1"/>
    </xf>
    <xf numFmtId="3" fontId="26" fillId="0" borderId="7" xfId="0" applyNumberFormat="1" applyFont="1" applyBorder="1" applyAlignment="1">
      <alignment wrapText="1"/>
    </xf>
    <xf numFmtId="0" fontId="28" fillId="0" borderId="7" xfId="0" applyFont="1" applyBorder="1" applyAlignment="1">
      <alignment wrapText="1"/>
    </xf>
    <xf numFmtId="0" fontId="29" fillId="0" borderId="0" xfId="0" applyFont="1" applyAlignment="1">
      <alignment wrapText="1"/>
    </xf>
    <xf numFmtId="0" fontId="21" fillId="0" borderId="18" xfId="0" applyFont="1" applyBorder="1" applyAlignment="1">
      <alignment wrapText="1"/>
    </xf>
    <xf numFmtId="3" fontId="3" fillId="8" borderId="0" xfId="0" applyNumberFormat="1" applyFont="1" applyFill="1"/>
    <xf numFmtId="0" fontId="21" fillId="0" borderId="7" xfId="0" applyFont="1" applyBorder="1"/>
    <xf numFmtId="3" fontId="27" fillId="8" borderId="7" xfId="0" applyNumberFormat="1" applyFont="1" applyFill="1" applyBorder="1" applyAlignment="1">
      <alignment wrapText="1"/>
    </xf>
    <xf numFmtId="3" fontId="27" fillId="8" borderId="0" xfId="0" applyNumberFormat="1" applyFont="1" applyFill="1" applyAlignment="1">
      <alignment wrapText="1"/>
    </xf>
    <xf numFmtId="0" fontId="27" fillId="8" borderId="0" xfId="0" applyFont="1" applyFill="1" applyAlignment="1">
      <alignment wrapText="1"/>
    </xf>
    <xf numFmtId="3" fontId="0" fillId="8" borderId="0" xfId="0" applyNumberFormat="1" applyFill="1"/>
    <xf numFmtId="1" fontId="0" fillId="0" borderId="0" xfId="0" applyNumberFormat="1"/>
    <xf numFmtId="3" fontId="30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0" fillId="2" borderId="0" xfId="0" quotePrefix="1" applyFill="1" applyAlignment="1">
      <alignment horizontal="center"/>
    </xf>
    <xf numFmtId="0" fontId="33" fillId="0" borderId="19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left" vertical="top" wrapText="1" indent="1"/>
    </xf>
    <xf numFmtId="0" fontId="35" fillId="0" borderId="21" xfId="0" applyFont="1" applyBorder="1" applyAlignment="1">
      <alignment horizontal="left" vertical="top" wrapText="1" indent="1"/>
    </xf>
    <xf numFmtId="0" fontId="35" fillId="0" borderId="21" xfId="0" applyFont="1" applyBorder="1" applyAlignment="1">
      <alignment horizontal="center" vertical="top" wrapText="1"/>
    </xf>
    <xf numFmtId="0" fontId="33" fillId="0" borderId="22" xfId="0" applyFont="1" applyBorder="1" applyAlignment="1">
      <alignment horizontal="left" vertical="center" wrapText="1" indent="2"/>
    </xf>
    <xf numFmtId="0" fontId="36" fillId="0" borderId="23" xfId="0" applyFont="1" applyBorder="1" applyAlignment="1">
      <alignment horizontal="center" vertical="top" wrapText="1"/>
    </xf>
    <xf numFmtId="0" fontId="14" fillId="0" borderId="24" xfId="0" applyFont="1" applyBorder="1" applyAlignment="1">
      <alignment horizontal="left" vertical="top" wrapText="1"/>
    </xf>
    <xf numFmtId="3" fontId="31" fillId="0" borderId="16" xfId="0" applyNumberFormat="1" applyFont="1" applyBorder="1" applyAlignment="1">
      <alignment horizontal="right" vertical="top" wrapText="1" indent="1"/>
    </xf>
    <xf numFmtId="3" fontId="31" fillId="0" borderId="16" xfId="0" applyNumberFormat="1" applyFont="1" applyBorder="1" applyAlignment="1">
      <alignment horizontal="center" vertical="top" wrapText="1"/>
    </xf>
    <xf numFmtId="3" fontId="31" fillId="0" borderId="25" xfId="0" applyNumberFormat="1" applyFont="1" applyBorder="1" applyAlignment="1">
      <alignment horizontal="right" vertical="top" wrapText="1" indent="1"/>
    </xf>
    <xf numFmtId="0" fontId="36" fillId="0" borderId="26" xfId="0" applyFont="1" applyBorder="1" applyAlignment="1">
      <alignment horizontal="center" vertical="top" wrapText="1"/>
    </xf>
    <xf numFmtId="0" fontId="14" fillId="0" borderId="17" xfId="0" applyFont="1" applyBorder="1" applyAlignment="1">
      <alignment horizontal="left" vertical="top" wrapText="1"/>
    </xf>
    <xf numFmtId="3" fontId="31" fillId="0" borderId="0" xfId="0" applyNumberFormat="1" applyFont="1" applyAlignment="1">
      <alignment horizontal="right" vertical="top" wrapText="1" indent="1"/>
    </xf>
    <xf numFmtId="3" fontId="31" fillId="0" borderId="0" xfId="0" applyNumberFormat="1" applyFont="1" applyAlignment="1">
      <alignment horizontal="center" vertical="top" wrapText="1"/>
    </xf>
    <xf numFmtId="3" fontId="31" fillId="0" borderId="27" xfId="0" applyNumberFormat="1" applyFont="1" applyBorder="1" applyAlignment="1">
      <alignment horizontal="right" vertical="top" wrapText="1" indent="1"/>
    </xf>
    <xf numFmtId="1" fontId="32" fillId="0" borderId="26" xfId="0" applyNumberFormat="1" applyFont="1" applyBorder="1" applyAlignment="1">
      <alignment horizontal="center" vertical="top" wrapText="1"/>
    </xf>
    <xf numFmtId="1" fontId="32" fillId="0" borderId="17" xfId="0" applyNumberFormat="1" applyFont="1" applyBorder="1" applyAlignment="1">
      <alignment horizontal="right" vertical="top" wrapText="1" indent="1"/>
    </xf>
    <xf numFmtId="1" fontId="32" fillId="0" borderId="0" xfId="0" applyNumberFormat="1" applyFont="1" applyAlignment="1">
      <alignment horizontal="right" vertical="top" wrapText="1" indent="1"/>
    </xf>
    <xf numFmtId="3" fontId="32" fillId="0" borderId="17" xfId="0" applyNumberFormat="1" applyFont="1" applyBorder="1" applyAlignment="1">
      <alignment horizontal="right" vertical="top" wrapText="1" indent="1"/>
    </xf>
    <xf numFmtId="3" fontId="3" fillId="0" borderId="7" xfId="0" applyNumberFormat="1" applyFont="1" applyBorder="1" applyAlignment="1">
      <alignment horizontal="right"/>
    </xf>
    <xf numFmtId="3" fontId="0" fillId="2" borderId="0" xfId="0" applyNumberFormat="1" applyFill="1"/>
    <xf numFmtId="0" fontId="3" fillId="2" borderId="0" xfId="0" applyFont="1" applyFill="1" applyAlignment="1">
      <alignment horizontal="center"/>
    </xf>
    <xf numFmtId="0" fontId="0" fillId="0" borderId="0" xfId="0" applyAlignment="1">
      <alignment wrapText="1"/>
    </xf>
    <xf numFmtId="0" fontId="0" fillId="9" borderId="0" xfId="0" applyFill="1"/>
    <xf numFmtId="0" fontId="37" fillId="10" borderId="28" xfId="0" applyFont="1" applyFill="1" applyBorder="1" applyAlignment="1">
      <alignment horizontal="left" vertical="top" wrapText="1" indent="1"/>
    </xf>
    <xf numFmtId="0" fontId="38" fillId="11" borderId="29" xfId="0" applyFont="1" applyFill="1" applyBorder="1" applyAlignment="1">
      <alignment horizontal="center" vertical="center" wrapText="1"/>
    </xf>
    <xf numFmtId="0" fontId="38" fillId="9" borderId="29" xfId="0" applyFont="1" applyFill="1" applyBorder="1" applyAlignment="1">
      <alignment horizontal="center" vertical="center" wrapText="1"/>
    </xf>
    <xf numFmtId="3" fontId="38" fillId="11" borderId="29" xfId="0" applyNumberFormat="1" applyFont="1" applyFill="1" applyBorder="1" applyAlignment="1">
      <alignment horizontal="center" vertical="center" wrapText="1"/>
    </xf>
    <xf numFmtId="3" fontId="38" fillId="9" borderId="29" xfId="0" applyNumberFormat="1" applyFont="1" applyFill="1" applyBorder="1" applyAlignment="1">
      <alignment horizontal="center" vertical="center" wrapText="1"/>
    </xf>
    <xf numFmtId="0" fontId="37" fillId="10" borderId="30" xfId="0" applyFont="1" applyFill="1" applyBorder="1" applyAlignment="1">
      <alignment horizontal="left" vertical="top" wrapText="1" indent="1"/>
    </xf>
    <xf numFmtId="0" fontId="38" fillId="11" borderId="31" xfId="0" applyFont="1" applyFill="1" applyBorder="1" applyAlignment="1">
      <alignment horizontal="left" vertical="center" wrapText="1" indent="1"/>
    </xf>
    <xf numFmtId="0" fontId="38" fillId="9" borderId="31" xfId="0" applyFont="1" applyFill="1" applyBorder="1" applyAlignment="1">
      <alignment horizontal="left" vertical="center" wrapText="1" indent="1"/>
    </xf>
    <xf numFmtId="0" fontId="38" fillId="11" borderId="30" xfId="0" applyFont="1" applyFill="1" applyBorder="1" applyAlignment="1">
      <alignment horizontal="left" vertical="center" wrapText="1" indent="1"/>
    </xf>
    <xf numFmtId="0" fontId="38" fillId="11" borderId="28" xfId="0" applyFont="1" applyFill="1" applyBorder="1" applyAlignment="1">
      <alignment horizontal="center" vertical="center" wrapText="1"/>
    </xf>
    <xf numFmtId="3" fontId="38" fillId="11" borderId="28" xfId="0" applyNumberFormat="1" applyFont="1" applyFill="1" applyBorder="1" applyAlignment="1">
      <alignment horizontal="center" vertical="center" wrapText="1"/>
    </xf>
    <xf numFmtId="0" fontId="38" fillId="9" borderId="30" xfId="0" applyFont="1" applyFill="1" applyBorder="1" applyAlignment="1">
      <alignment horizontal="left" vertical="center" wrapText="1" indent="1"/>
    </xf>
    <xf numFmtId="0" fontId="4" fillId="9" borderId="32" xfId="0" applyFont="1" applyFill="1" applyBorder="1"/>
    <xf numFmtId="0" fontId="38" fillId="9" borderId="28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8" fillId="0" borderId="7" xfId="0" applyNumberFormat="1" applyFont="1" applyBorder="1" applyAlignment="1">
      <alignment horizontal="right"/>
    </xf>
    <xf numFmtId="3" fontId="8" fillId="0" borderId="10" xfId="0" applyNumberFormat="1" applyFont="1" applyBorder="1" applyAlignment="1">
      <alignment horizontal="right"/>
    </xf>
    <xf numFmtId="3" fontId="0" fillId="0" borderId="10" xfId="0" applyNumberFormat="1" applyBorder="1" applyAlignment="1">
      <alignment horizontal="right"/>
    </xf>
    <xf numFmtId="3" fontId="3" fillId="0" borderId="10" xfId="0" applyNumberFormat="1" applyFont="1" applyBorder="1" applyAlignment="1">
      <alignment horizontal="right"/>
    </xf>
    <xf numFmtId="3" fontId="8" fillId="0" borderId="11" xfId="0" applyNumberFormat="1" applyFont="1" applyBorder="1" applyAlignment="1">
      <alignment horizontal="right"/>
    </xf>
    <xf numFmtId="3" fontId="8" fillId="0" borderId="5" xfId="0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3" fontId="8" fillId="0" borderId="4" xfId="0" applyNumberFormat="1" applyFont="1" applyBorder="1" applyAlignment="1">
      <alignment horizontal="center"/>
    </xf>
    <xf numFmtId="3" fontId="8" fillId="0" borderId="6" xfId="0" applyNumberFormat="1" applyFont="1" applyBorder="1" applyAlignment="1">
      <alignment horizontal="center"/>
    </xf>
    <xf numFmtId="3" fontId="8" fillId="0" borderId="9" xfId="0" applyNumberFormat="1" applyFont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0" fontId="13" fillId="2" borderId="0" xfId="0" applyFont="1" applyFill="1"/>
    <xf numFmtId="0" fontId="4" fillId="4" borderId="2" xfId="0" applyFont="1" applyFill="1" applyBorder="1" applyAlignment="1">
      <alignment horizontal="centerContinuous"/>
    </xf>
    <xf numFmtId="164" fontId="9" fillId="5" borderId="3" xfId="0" applyNumberFormat="1" applyFont="1" applyFill="1" applyBorder="1" applyAlignment="1">
      <alignment horizontal="center"/>
    </xf>
    <xf numFmtId="0" fontId="6" fillId="5" borderId="9" xfId="0" applyFont="1" applyFill="1" applyBorder="1" applyAlignment="1">
      <alignment horizontal="centerContinuous"/>
    </xf>
    <xf numFmtId="0" fontId="6" fillId="5" borderId="10" xfId="0" applyFont="1" applyFill="1" applyBorder="1" applyAlignment="1">
      <alignment horizontal="centerContinuous"/>
    </xf>
    <xf numFmtId="0" fontId="4" fillId="5" borderId="11" xfId="0" applyFont="1" applyFill="1" applyBorder="1" applyAlignment="1">
      <alignment horizontal="centerContinuous"/>
    </xf>
    <xf numFmtId="0" fontId="6" fillId="5" borderId="11" xfId="0" applyFont="1" applyFill="1" applyBorder="1" applyAlignment="1">
      <alignment horizontal="centerContinuous"/>
    </xf>
    <xf numFmtId="0" fontId="5" fillId="2" borderId="0" xfId="0" applyFont="1" applyFill="1"/>
    <xf numFmtId="0" fontId="40" fillId="2" borderId="0" xfId="0" applyFont="1" applyFill="1"/>
    <xf numFmtId="0" fontId="4" fillId="12" borderId="0" xfId="0" applyFont="1" applyFill="1"/>
    <xf numFmtId="0" fontId="4" fillId="12" borderId="0" xfId="0" applyFont="1" applyFill="1" applyAlignment="1">
      <alignment horizontal="center"/>
    </xf>
    <xf numFmtId="0" fontId="4" fillId="12" borderId="0" xfId="0" applyFont="1" applyFill="1" applyAlignment="1">
      <alignment wrapText="1"/>
    </xf>
    <xf numFmtId="0" fontId="43" fillId="0" borderId="0" xfId="2"/>
    <xf numFmtId="0" fontId="44" fillId="0" borderId="0" xfId="0" applyFont="1"/>
    <xf numFmtId="0" fontId="43" fillId="0" borderId="0" xfId="2" applyAlignment="1">
      <alignment vertical="center"/>
    </xf>
    <xf numFmtId="0" fontId="43" fillId="0" borderId="0" xfId="2" applyAlignment="1">
      <alignment vertical="center" wrapText="1"/>
    </xf>
    <xf numFmtId="3" fontId="8" fillId="0" borderId="8" xfId="0" applyNumberFormat="1" applyFont="1" applyBorder="1" applyAlignment="1">
      <alignment horizontal="right"/>
    </xf>
    <xf numFmtId="0" fontId="0" fillId="5" borderId="2" xfId="0" applyFill="1" applyBorder="1" applyAlignment="1">
      <alignment horizontal="center"/>
    </xf>
    <xf numFmtId="0" fontId="4" fillId="5" borderId="3" xfId="0" applyFont="1" applyFill="1" applyBorder="1"/>
    <xf numFmtId="166" fontId="0" fillId="0" borderId="0" xfId="3" applyNumberFormat="1" applyFont="1"/>
    <xf numFmtId="0" fontId="0" fillId="0" borderId="7" xfId="0" applyBorder="1" applyAlignment="1">
      <alignment horizontal="center"/>
    </xf>
    <xf numFmtId="0" fontId="37" fillId="10" borderId="33" xfId="0" applyFont="1" applyFill="1" applyBorder="1" applyAlignment="1">
      <alignment horizontal="left" vertical="top" wrapText="1" indent="1"/>
    </xf>
    <xf numFmtId="0" fontId="1" fillId="0" borderId="7" xfId="0" applyFont="1" applyBorder="1" applyAlignment="1">
      <alignment horizontal="left" wrapText="1"/>
    </xf>
    <xf numFmtId="0" fontId="0" fillId="0" borderId="2" xfId="0" applyBorder="1" applyAlignment="1">
      <alignment horizontal="right"/>
    </xf>
    <xf numFmtId="4" fontId="0" fillId="0" borderId="0" xfId="0" applyNumberFormat="1"/>
    <xf numFmtId="167" fontId="0" fillId="0" borderId="0" xfId="0" applyNumberFormat="1"/>
    <xf numFmtId="0" fontId="0" fillId="14" borderId="34" xfId="0" applyFill="1" applyBorder="1"/>
    <xf numFmtId="0" fontId="0" fillId="15" borderId="34" xfId="0" applyFill="1" applyBorder="1"/>
    <xf numFmtId="0" fontId="0" fillId="16" borderId="34" xfId="0" applyFill="1" applyBorder="1"/>
    <xf numFmtId="0" fontId="4" fillId="0" borderId="0" xfId="0" applyFont="1" applyAlignment="1">
      <alignment horizontal="right"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" xfId="0" applyBorder="1" applyAlignment="1">
      <alignment horizontal="right" wrapText="1"/>
    </xf>
    <xf numFmtId="0" fontId="0" fillId="0" borderId="2" xfId="0" applyBorder="1" applyAlignment="1">
      <alignment horizontal="right" wrapText="1"/>
    </xf>
    <xf numFmtId="0" fontId="0" fillId="0" borderId="3" xfId="0" applyBorder="1" applyAlignment="1">
      <alignment horizontal="right" wrapText="1"/>
    </xf>
    <xf numFmtId="0" fontId="0" fillId="0" borderId="34" xfId="0" applyBorder="1" applyAlignment="1">
      <alignment horizontal="right" wrapText="1"/>
    </xf>
    <xf numFmtId="0" fontId="0" fillId="0" borderId="6" xfId="0" applyBorder="1" applyAlignment="1">
      <alignment horizontal="right" wrapText="1"/>
    </xf>
    <xf numFmtId="0" fontId="0" fillId="0" borderId="8" xfId="0" applyBorder="1" applyAlignment="1">
      <alignment horizontal="right" wrapText="1"/>
    </xf>
    <xf numFmtId="0" fontId="0" fillId="0" borderId="11" xfId="0" applyBorder="1"/>
    <xf numFmtId="0" fontId="0" fillId="0" borderId="5" xfId="0" applyBorder="1"/>
    <xf numFmtId="0" fontId="0" fillId="0" borderId="8" xfId="0" applyBorder="1"/>
    <xf numFmtId="165" fontId="0" fillId="0" borderId="1" xfId="0" applyNumberFormat="1" applyBorder="1"/>
    <xf numFmtId="166" fontId="0" fillId="0" borderId="0" xfId="0" applyNumberFormat="1"/>
    <xf numFmtId="165" fontId="4" fillId="0" borderId="0" xfId="0" applyNumberFormat="1" applyFont="1"/>
    <xf numFmtId="166" fontId="4" fillId="0" borderId="0" xfId="0" applyNumberFormat="1" applyFont="1"/>
    <xf numFmtId="0" fontId="0" fillId="2" borderId="12" xfId="0" applyFill="1" applyBorder="1"/>
    <xf numFmtId="0" fontId="0" fillId="0" borderId="9" xfId="0" quotePrefix="1" applyBorder="1" applyAlignment="1">
      <alignment horizontal="center"/>
    </xf>
    <xf numFmtId="164" fontId="8" fillId="0" borderId="10" xfId="1" applyNumberFormat="1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3" fontId="8" fillId="0" borderId="10" xfId="0" applyNumberFormat="1" applyFont="1" applyBorder="1" applyAlignment="1">
      <alignment horizontal="center"/>
    </xf>
    <xf numFmtId="0" fontId="0" fillId="2" borderId="14" xfId="0" applyFill="1" applyBorder="1"/>
    <xf numFmtId="164" fontId="8" fillId="0" borderId="0" xfId="0" applyNumberFormat="1" applyFont="1" applyAlignment="1">
      <alignment horizontal="center"/>
    </xf>
    <xf numFmtId="0" fontId="3" fillId="0" borderId="5" xfId="0" applyFont="1" applyBorder="1" applyAlignment="1">
      <alignment horizontal="center"/>
    </xf>
    <xf numFmtId="3" fontId="8" fillId="0" borderId="0" xfId="0" applyNumberFormat="1" applyFont="1" applyAlignment="1">
      <alignment horizontal="center"/>
    </xf>
    <xf numFmtId="164" fontId="45" fillId="5" borderId="2" xfId="1" applyNumberFormat="1" applyFont="1" applyFill="1" applyBorder="1" applyAlignment="1">
      <alignment horizontal="center"/>
    </xf>
    <xf numFmtId="3" fontId="4" fillId="5" borderId="3" xfId="0" applyNumberFormat="1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168" fontId="0" fillId="0" borderId="0" xfId="0" applyNumberFormat="1"/>
    <xf numFmtId="37" fontId="0" fillId="0" borderId="0" xfId="3" applyNumberFormat="1" applyFont="1"/>
    <xf numFmtId="37" fontId="0" fillId="0" borderId="0" xfId="0" applyNumberFormat="1"/>
    <xf numFmtId="169" fontId="0" fillId="0" borderId="0" xfId="0" applyNumberFormat="1"/>
    <xf numFmtId="170" fontId="0" fillId="0" borderId="0" xfId="3" applyNumberFormat="1" applyFont="1"/>
    <xf numFmtId="170" fontId="0" fillId="0" borderId="0" xfId="0" applyNumberFormat="1"/>
    <xf numFmtId="0" fontId="8" fillId="2" borderId="12" xfId="0" applyFont="1" applyFill="1" applyBorder="1"/>
    <xf numFmtId="0" fontId="8" fillId="2" borderId="13" xfId="0" applyFont="1" applyFill="1" applyBorder="1"/>
    <xf numFmtId="0" fontId="8" fillId="2" borderId="14" xfId="0" applyFont="1" applyFill="1" applyBorder="1"/>
    <xf numFmtId="164" fontId="8" fillId="0" borderId="7" xfId="0" quotePrefix="1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3" fontId="8" fillId="0" borderId="7" xfId="0" applyNumberFormat="1" applyFont="1" applyBorder="1" applyAlignment="1">
      <alignment horizontal="center"/>
    </xf>
    <xf numFmtId="164" fontId="9" fillId="5" borderId="2" xfId="1" applyNumberFormat="1" applyFont="1" applyFill="1" applyBorder="1" applyAlignment="1">
      <alignment horizontal="center"/>
    </xf>
    <xf numFmtId="3" fontId="4" fillId="5" borderId="1" xfId="0" applyNumberFormat="1" applyFont="1" applyFill="1" applyBorder="1" applyAlignment="1">
      <alignment horizontal="center"/>
    </xf>
    <xf numFmtId="164" fontId="8" fillId="0" borderId="10" xfId="0" quotePrefix="1" applyNumberFormat="1" applyFont="1" applyBorder="1" applyAlignment="1">
      <alignment horizontal="center"/>
    </xf>
    <xf numFmtId="2" fontId="4" fillId="0" borderId="0" xfId="0" applyNumberFormat="1" applyFont="1"/>
    <xf numFmtId="3" fontId="4" fillId="0" borderId="0" xfId="0" applyNumberFormat="1" applyFont="1"/>
    <xf numFmtId="3" fontId="4" fillId="0" borderId="7" xfId="0" applyNumberFormat="1" applyFont="1" applyBorder="1" applyAlignment="1">
      <alignment horizontal="right"/>
    </xf>
    <xf numFmtId="3" fontId="4" fillId="0" borderId="0" xfId="0" applyNumberFormat="1" applyFont="1" applyAlignment="1">
      <alignment horizontal="right"/>
    </xf>
    <xf numFmtId="0" fontId="30" fillId="0" borderId="0" xfId="0" applyFont="1"/>
    <xf numFmtId="0" fontId="0" fillId="2" borderId="13" xfId="0" applyFill="1" applyBorder="1"/>
    <xf numFmtId="164" fontId="0" fillId="0" borderId="4" xfId="0" applyNumberFormat="1" applyBorder="1" applyAlignment="1">
      <alignment horizontal="center"/>
    </xf>
    <xf numFmtId="0" fontId="0" fillId="0" borderId="10" xfId="0" quotePrefix="1" applyBorder="1" applyAlignment="1">
      <alignment horizontal="center"/>
    </xf>
    <xf numFmtId="164" fontId="4" fillId="0" borderId="0" xfId="0" applyNumberFormat="1" applyFont="1"/>
    <xf numFmtId="164" fontId="4" fillId="5" borderId="2" xfId="0" applyNumberFormat="1" applyFont="1" applyFill="1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164" fontId="4" fillId="5" borderId="1" xfId="0" applyNumberFormat="1" applyFont="1" applyFill="1" applyBorder="1" applyAlignment="1">
      <alignment horizontal="center"/>
    </xf>
    <xf numFmtId="3" fontId="0" fillId="13" borderId="0" xfId="0" applyNumberFormat="1" applyFill="1" applyAlignment="1">
      <alignment horizontal="center"/>
    </xf>
    <xf numFmtId="9" fontId="0" fillId="0" borderId="0" xfId="1" applyFont="1"/>
    <xf numFmtId="9" fontId="0" fillId="0" borderId="0" xfId="0" applyNumberFormat="1"/>
    <xf numFmtId="0" fontId="0" fillId="0" borderId="0" xfId="0" applyAlignment="1">
      <alignment horizontal="center" vertical="center" textRotation="90" wrapText="1"/>
    </xf>
    <xf numFmtId="3" fontId="0" fillId="13" borderId="0" xfId="0" applyNumberFormat="1" applyFill="1"/>
    <xf numFmtId="169" fontId="0" fillId="0" borderId="0" xfId="0" applyNumberFormat="1" applyAlignment="1">
      <alignment horizontal="center"/>
    </xf>
    <xf numFmtId="169" fontId="0" fillId="13" borderId="0" xfId="1" applyNumberFormat="1" applyFont="1" applyFill="1" applyAlignment="1">
      <alignment horizontal="center"/>
    </xf>
    <xf numFmtId="0" fontId="0" fillId="13" borderId="0" xfId="0" applyFill="1"/>
    <xf numFmtId="169" fontId="0" fillId="0" borderId="0" xfId="1" applyNumberFormat="1" applyFont="1" applyAlignment="1">
      <alignment horizontal="center"/>
    </xf>
    <xf numFmtId="0" fontId="0" fillId="13" borderId="0" xfId="0" applyFill="1" applyAlignment="1">
      <alignment horizontal="center"/>
    </xf>
    <xf numFmtId="169" fontId="0" fillId="13" borderId="0" xfId="0" applyNumberFormat="1" applyFill="1" applyAlignment="1">
      <alignment horizontal="center"/>
    </xf>
    <xf numFmtId="0" fontId="0" fillId="0" borderId="0" xfId="0" applyAlignment="1">
      <alignment horizontal="center" vertical="center" textRotation="90"/>
    </xf>
    <xf numFmtId="169" fontId="0" fillId="13" borderId="0" xfId="0" applyNumberFormat="1" applyFill="1"/>
    <xf numFmtId="0" fontId="0" fillId="7" borderId="0" xfId="0" applyFill="1"/>
    <xf numFmtId="169" fontId="0" fillId="0" borderId="0" xfId="0" applyNumberFormat="1" applyAlignment="1">
      <alignment horizontal="right"/>
    </xf>
    <xf numFmtId="9" fontId="0" fillId="0" borderId="7" xfId="0" applyNumberFormat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9" fontId="0" fillId="0" borderId="8" xfId="0" applyNumberFormat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4" fillId="5" borderId="3" xfId="0" quotePrefix="1" applyNumberFormat="1" applyFont="1" applyFill="1" applyBorder="1" applyAlignment="1">
      <alignment horizontal="center"/>
    </xf>
    <xf numFmtId="0" fontId="11" fillId="0" borderId="0" xfId="0" applyFont="1"/>
    <xf numFmtId="0" fontId="3" fillId="13" borderId="0" xfId="0" applyFont="1" applyFill="1" applyAlignment="1">
      <alignment horizontal="center"/>
    </xf>
    <xf numFmtId="0" fontId="8" fillId="0" borderId="12" xfId="0" applyFont="1" applyBorder="1"/>
    <xf numFmtId="0" fontId="8" fillId="0" borderId="13" xfId="0" applyFont="1" applyBorder="1"/>
    <xf numFmtId="0" fontId="0" fillId="0" borderId="13" xfId="0" applyBorder="1"/>
    <xf numFmtId="3" fontId="0" fillId="0" borderId="0" xfId="0" quotePrefix="1" applyNumberFormat="1" applyAlignment="1">
      <alignment horizontal="center"/>
    </xf>
    <xf numFmtId="164" fontId="0" fillId="0" borderId="10" xfId="1" applyNumberFormat="1" applyFont="1" applyBorder="1" applyAlignment="1">
      <alignment horizontal="center"/>
    </xf>
    <xf numFmtId="0" fontId="13" fillId="17" borderId="0" xfId="0" applyFont="1" applyFill="1"/>
    <xf numFmtId="0" fontId="4" fillId="18" borderId="1" xfId="0" applyFont="1" applyFill="1" applyBorder="1"/>
    <xf numFmtId="0" fontId="0" fillId="18" borderId="3" xfId="0" applyFill="1" applyBorder="1"/>
    <xf numFmtId="0" fontId="6" fillId="19" borderId="9" xfId="0" applyFont="1" applyFill="1" applyBorder="1" applyAlignment="1">
      <alignment horizontal="centerContinuous"/>
    </xf>
    <xf numFmtId="0" fontId="0" fillId="19" borderId="11" xfId="0" applyFill="1" applyBorder="1" applyAlignment="1">
      <alignment horizontal="centerContinuous"/>
    </xf>
    <xf numFmtId="0" fontId="4" fillId="19" borderId="10" xfId="0" applyFont="1" applyFill="1" applyBorder="1" applyAlignment="1">
      <alignment horizontal="centerContinuous"/>
    </xf>
    <xf numFmtId="0" fontId="4" fillId="19" borderId="11" xfId="0" applyFont="1" applyFill="1" applyBorder="1" applyAlignment="1">
      <alignment horizontal="centerContinuous"/>
    </xf>
    <xf numFmtId="0" fontId="4" fillId="19" borderId="6" xfId="0" applyFont="1" applyFill="1" applyBorder="1" applyAlignment="1">
      <alignment horizontal="center" vertical="center"/>
    </xf>
    <xf numFmtId="0" fontId="4" fillId="19" borderId="8" xfId="0" applyFont="1" applyFill="1" applyBorder="1" applyAlignment="1">
      <alignment horizontal="center" vertical="center"/>
    </xf>
    <xf numFmtId="0" fontId="4" fillId="19" borderId="7" xfId="0" applyFont="1" applyFill="1" applyBorder="1" applyAlignment="1">
      <alignment horizontal="center" vertical="center"/>
    </xf>
    <xf numFmtId="0" fontId="4" fillId="19" borderId="1" xfId="0" applyFont="1" applyFill="1" applyBorder="1" applyAlignment="1">
      <alignment horizontal="center" vertical="center"/>
    </xf>
    <xf numFmtId="0" fontId="4" fillId="19" borderId="3" xfId="0" applyFont="1" applyFill="1" applyBorder="1" applyAlignment="1">
      <alignment horizontal="center" vertical="center"/>
    </xf>
    <xf numFmtId="0" fontId="4" fillId="19" borderId="1" xfId="0" applyFont="1" applyFill="1" applyBorder="1" applyAlignment="1">
      <alignment horizontal="centerContinuous"/>
    </xf>
    <xf numFmtId="0" fontId="0" fillId="19" borderId="3" xfId="0" applyFill="1" applyBorder="1" applyAlignment="1">
      <alignment horizontal="centerContinuous"/>
    </xf>
    <xf numFmtId="3" fontId="4" fillId="19" borderId="1" xfId="0" applyNumberFormat="1" applyFont="1" applyFill="1" applyBorder="1" applyAlignment="1">
      <alignment horizontal="center"/>
    </xf>
    <xf numFmtId="3" fontId="4" fillId="19" borderId="2" xfId="0" applyNumberFormat="1" applyFont="1" applyFill="1" applyBorder="1" applyAlignment="1">
      <alignment horizontal="center"/>
    </xf>
    <xf numFmtId="3" fontId="4" fillId="19" borderId="1" xfId="0" applyNumberFormat="1" applyFont="1" applyFill="1" applyBorder="1" applyAlignment="1">
      <alignment horizontal="right"/>
    </xf>
    <xf numFmtId="3" fontId="4" fillId="19" borderId="2" xfId="0" applyNumberFormat="1" applyFont="1" applyFill="1" applyBorder="1" applyAlignment="1">
      <alignment horizontal="right"/>
    </xf>
    <xf numFmtId="3" fontId="4" fillId="19" borderId="3" xfId="0" applyNumberFormat="1" applyFont="1" applyFill="1" applyBorder="1" applyAlignment="1">
      <alignment horizontal="right"/>
    </xf>
    <xf numFmtId="0" fontId="4" fillId="8" borderId="1" xfId="0" applyFont="1" applyFill="1" applyBorder="1" applyAlignment="1">
      <alignment horizontal="left" vertical="center"/>
    </xf>
    <xf numFmtId="0" fontId="0" fillId="8" borderId="3" xfId="0" applyFill="1" applyBorder="1" applyAlignment="1">
      <alignment horizontal="center" vertical="center"/>
    </xf>
    <xf numFmtId="3" fontId="4" fillId="3" borderId="10" xfId="0" applyNumberFormat="1" applyFont="1" applyFill="1" applyBorder="1" applyAlignment="1">
      <alignment horizontal="center"/>
    </xf>
    <xf numFmtId="0" fontId="4" fillId="3" borderId="2" xfId="0" quotePrefix="1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3" fontId="4" fillId="3" borderId="7" xfId="0" applyNumberFormat="1" applyFont="1" applyFill="1" applyBorder="1" applyAlignment="1">
      <alignment horizont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1" fontId="32" fillId="0" borderId="0" xfId="0" applyNumberFormat="1" applyFont="1" applyAlignment="1">
      <alignment horizontal="center" vertical="top" wrapText="1"/>
    </xf>
    <xf numFmtId="3" fontId="32" fillId="0" borderId="0" xfId="0" applyNumberFormat="1" applyFont="1" applyAlignment="1">
      <alignment horizontal="right" vertical="top" wrapText="1" indent="1"/>
    </xf>
    <xf numFmtId="3" fontId="32" fillId="0" borderId="0" xfId="0" applyNumberFormat="1" applyFont="1" applyAlignment="1">
      <alignment horizontal="center" vertical="top" wrapText="1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 textRotation="90" wrapText="1"/>
    </xf>
    <xf numFmtId="0" fontId="13" fillId="2" borderId="1" xfId="0" applyFont="1" applyFill="1" applyBorder="1" applyAlignment="1">
      <alignment horizontal="center"/>
    </xf>
    <xf numFmtId="164" fontId="13" fillId="2" borderId="3" xfId="0" applyNumberFormat="1" applyFont="1" applyFill="1" applyBorder="1" applyAlignment="1">
      <alignment horizontal="center"/>
    </xf>
    <xf numFmtId="0" fontId="48" fillId="2" borderId="0" xfId="0" applyFont="1" applyFill="1"/>
    <xf numFmtId="171" fontId="13" fillId="2" borderId="2" xfId="0" applyNumberFormat="1" applyFont="1" applyFill="1" applyBorder="1" applyAlignment="1">
      <alignment horizontal="center"/>
    </xf>
    <xf numFmtId="0" fontId="13" fillId="0" borderId="3" xfId="0" applyFont="1" applyBorder="1" applyAlignment="1">
      <alignment horizontal="left"/>
    </xf>
    <xf numFmtId="0" fontId="0" fillId="2" borderId="3" xfId="0" applyFill="1" applyBorder="1"/>
    <xf numFmtId="3" fontId="0" fillId="2" borderId="0" xfId="0" applyNumberFormat="1" applyFill="1" applyAlignment="1">
      <alignment horizontal="center"/>
    </xf>
    <xf numFmtId="0" fontId="4" fillId="7" borderId="0" xfId="0" applyFont="1" applyFill="1" applyBorder="1"/>
    <xf numFmtId="0" fontId="4" fillId="7" borderId="0" xfId="0" applyFont="1" applyFill="1" applyBorder="1" applyAlignment="1">
      <alignment horizontal="center"/>
    </xf>
    <xf numFmtId="0" fontId="0" fillId="0" borderId="0" xfId="0" applyBorder="1"/>
    <xf numFmtId="0" fontId="3" fillId="0" borderId="0" xfId="0" applyFont="1" applyBorder="1" applyAlignment="1">
      <alignment horizontal="center"/>
    </xf>
    <xf numFmtId="3" fontId="8" fillId="0" borderId="0" xfId="0" applyNumberFormat="1" applyFon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3" fillId="0" borderId="0" xfId="0" applyNumberFormat="1" applyFont="1" applyBorder="1" applyAlignment="1">
      <alignment horizontal="right"/>
    </xf>
    <xf numFmtId="0" fontId="4" fillId="7" borderId="4" xfId="0" applyFont="1" applyFill="1" applyBorder="1"/>
    <xf numFmtId="0" fontId="4" fillId="7" borderId="9" xfId="0" applyFont="1" applyFill="1" applyBorder="1"/>
    <xf numFmtId="0" fontId="4" fillId="7" borderId="10" xfId="0" applyFont="1" applyFill="1" applyBorder="1"/>
    <xf numFmtId="3" fontId="4" fillId="7" borderId="10" xfId="0" applyNumberFormat="1" applyFont="1" applyFill="1" applyBorder="1"/>
    <xf numFmtId="3" fontId="39" fillId="7" borderId="10" xfId="0" applyNumberFormat="1" applyFont="1" applyFill="1" applyBorder="1" applyAlignment="1">
      <alignment horizontal="right"/>
    </xf>
    <xf numFmtId="3" fontId="4" fillId="7" borderId="10" xfId="0" applyNumberFormat="1" applyFont="1" applyFill="1" applyBorder="1" applyAlignment="1">
      <alignment horizontal="right"/>
    </xf>
    <xf numFmtId="3" fontId="39" fillId="7" borderId="11" xfId="0" applyNumberFormat="1" applyFont="1" applyFill="1" applyBorder="1" applyAlignment="1">
      <alignment horizontal="right"/>
    </xf>
    <xf numFmtId="3" fontId="0" fillId="0" borderId="0" xfId="0" applyNumberFormat="1" applyBorder="1"/>
    <xf numFmtId="3" fontId="4" fillId="7" borderId="0" xfId="0" applyNumberFormat="1" applyFont="1" applyFill="1" applyBorder="1"/>
    <xf numFmtId="3" fontId="39" fillId="7" borderId="0" xfId="0" applyNumberFormat="1" applyFont="1" applyFill="1" applyBorder="1" applyAlignment="1">
      <alignment horizontal="right"/>
    </xf>
    <xf numFmtId="3" fontId="4" fillId="7" borderId="0" xfId="0" applyNumberFormat="1" applyFont="1" applyFill="1" applyBorder="1" applyAlignment="1">
      <alignment horizontal="right"/>
    </xf>
    <xf numFmtId="3" fontId="39" fillId="7" borderId="5" xfId="0" applyNumberFormat="1" applyFont="1" applyFill="1" applyBorder="1" applyAlignment="1">
      <alignment horizontal="right"/>
    </xf>
    <xf numFmtId="0" fontId="4" fillId="20" borderId="1" xfId="0" applyFont="1" applyFill="1" applyBorder="1"/>
    <xf numFmtId="0" fontId="4" fillId="20" borderId="2" xfId="0" applyFont="1" applyFill="1" applyBorder="1"/>
    <xf numFmtId="3" fontId="4" fillId="20" borderId="2" xfId="0" applyNumberFormat="1" applyFont="1" applyFill="1" applyBorder="1"/>
    <xf numFmtId="0" fontId="4" fillId="7" borderId="11" xfId="0" applyFont="1" applyFill="1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3" fontId="4" fillId="20" borderId="3" xfId="0" applyNumberFormat="1" applyFont="1" applyFill="1" applyBorder="1"/>
    <xf numFmtId="164" fontId="0" fillId="0" borderId="11" xfId="0" quotePrefix="1" applyNumberFormat="1" applyBorder="1" applyAlignment="1">
      <alignment horizontal="center" vertical="center"/>
    </xf>
    <xf numFmtId="164" fontId="0" fillId="0" borderId="5" xfId="0" quotePrefix="1" applyNumberFormat="1" applyBorder="1" applyAlignment="1">
      <alignment horizontal="center" vertical="center"/>
    </xf>
    <xf numFmtId="164" fontId="0" fillId="0" borderId="8" xfId="0" quotePrefix="1" applyNumberForma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textRotation="90" wrapText="1"/>
    </xf>
    <xf numFmtId="0" fontId="4" fillId="0" borderId="13" xfId="0" applyFont="1" applyBorder="1" applyAlignment="1">
      <alignment horizontal="center" vertical="center" textRotation="90" wrapText="1"/>
    </xf>
    <xf numFmtId="0" fontId="4" fillId="0" borderId="14" xfId="0" applyFont="1" applyBorder="1" applyAlignment="1">
      <alignment horizontal="center" vertical="center" textRotation="90" wrapText="1"/>
    </xf>
    <xf numFmtId="3" fontId="8" fillId="0" borderId="11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/>
    </xf>
    <xf numFmtId="3" fontId="0" fillId="0" borderId="11" xfId="0" quotePrefix="1" applyNumberFormat="1" applyBorder="1" applyAlignment="1">
      <alignment horizontal="center" vertical="center"/>
    </xf>
    <xf numFmtId="0" fontId="0" fillId="0" borderId="5" xfId="0" quotePrefix="1" applyBorder="1" applyAlignment="1">
      <alignment horizontal="center" vertical="center"/>
    </xf>
    <xf numFmtId="3" fontId="0" fillId="0" borderId="5" xfId="0" quotePrefix="1" applyNumberFormat="1" applyBorder="1" applyAlignment="1">
      <alignment horizontal="center" vertical="center"/>
    </xf>
    <xf numFmtId="0" fontId="0" fillId="0" borderId="8" xfId="0" quotePrefix="1" applyBorder="1" applyAlignment="1">
      <alignment horizontal="center" vertical="center"/>
    </xf>
    <xf numFmtId="0" fontId="4" fillId="0" borderId="12" xfId="0" applyFont="1" applyBorder="1" applyAlignment="1">
      <alignment horizontal="center" vertical="center" textRotation="90"/>
    </xf>
    <xf numFmtId="0" fontId="4" fillId="0" borderId="13" xfId="0" applyFont="1" applyBorder="1" applyAlignment="1">
      <alignment horizontal="center" vertical="center" textRotation="90"/>
    </xf>
    <xf numFmtId="0" fontId="4" fillId="0" borderId="14" xfId="0" applyFont="1" applyBorder="1" applyAlignment="1">
      <alignment horizontal="center" vertical="center" textRotation="90"/>
    </xf>
    <xf numFmtId="164" fontId="0" fillId="0" borderId="10" xfId="0" quotePrefix="1" applyNumberFormat="1" applyBorder="1" applyAlignment="1">
      <alignment horizontal="center" vertical="center"/>
    </xf>
    <xf numFmtId="164" fontId="0" fillId="0" borderId="0" xfId="0" quotePrefix="1" applyNumberFormat="1" applyAlignment="1">
      <alignment horizontal="center" vertical="center"/>
    </xf>
    <xf numFmtId="164" fontId="0" fillId="0" borderId="7" xfId="0" quotePrefix="1" applyNumberFormat="1" applyBorder="1" applyAlignment="1">
      <alignment horizontal="center" vertical="center"/>
    </xf>
    <xf numFmtId="0" fontId="49" fillId="0" borderId="10" xfId="0" quotePrefix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9" xfId="0" applyFont="1" applyBorder="1" applyAlignment="1">
      <alignment horizontal="center" vertical="center" textRotation="90"/>
    </xf>
    <xf numFmtId="0" fontId="4" fillId="0" borderId="4" xfId="0" applyFont="1" applyBorder="1" applyAlignment="1">
      <alignment horizontal="center" vertical="center" textRotation="90"/>
    </xf>
    <xf numFmtId="0" fontId="4" fillId="0" borderId="6" xfId="0" applyFont="1" applyBorder="1" applyAlignment="1">
      <alignment horizontal="center" vertical="center" textRotation="90"/>
    </xf>
    <xf numFmtId="0" fontId="4" fillId="0" borderId="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3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3" fontId="8" fillId="0" borderId="9" xfId="0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vertical="center" textRotation="90" wrapText="1"/>
    </xf>
    <xf numFmtId="0" fontId="4" fillId="0" borderId="13" xfId="0" applyFont="1" applyBorder="1" applyAlignment="1">
      <alignment vertical="center" textRotation="90" wrapText="1"/>
    </xf>
    <xf numFmtId="0" fontId="4" fillId="0" borderId="14" xfId="0" applyFont="1" applyBorder="1" applyAlignment="1">
      <alignment vertical="center" textRotation="90" wrapText="1"/>
    </xf>
    <xf numFmtId="0" fontId="14" fillId="0" borderId="15" xfId="0" applyFont="1" applyBorder="1" applyAlignment="1">
      <alignment horizontal="center" vertical="top"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horizontal="center"/>
    </xf>
    <xf numFmtId="165" fontId="0" fillId="14" borderId="1" xfId="0" applyNumberFormat="1" applyFill="1" applyBorder="1" applyAlignment="1">
      <alignment horizontal="center"/>
    </xf>
    <xf numFmtId="0" fontId="0" fillId="14" borderId="2" xfId="0" applyFill="1" applyBorder="1" applyAlignment="1">
      <alignment horizontal="center"/>
    </xf>
    <xf numFmtId="0" fontId="0" fillId="14" borderId="3" xfId="0" applyFill="1" applyBorder="1" applyAlignment="1">
      <alignment horizontal="center"/>
    </xf>
    <xf numFmtId="165" fontId="0" fillId="15" borderId="1" xfId="0" applyNumberFormat="1" applyFill="1" applyBorder="1" applyAlignment="1">
      <alignment horizontal="center"/>
    </xf>
    <xf numFmtId="0" fontId="0" fillId="15" borderId="2" xfId="0" applyFill="1" applyBorder="1" applyAlignment="1">
      <alignment horizontal="center"/>
    </xf>
    <xf numFmtId="0" fontId="0" fillId="15" borderId="3" xfId="0" applyFill="1" applyBorder="1" applyAlignment="1">
      <alignment horizontal="center"/>
    </xf>
    <xf numFmtId="165" fontId="0" fillId="16" borderId="1" xfId="0" applyNumberFormat="1" applyFill="1" applyBorder="1" applyAlignment="1">
      <alignment horizontal="center"/>
    </xf>
    <xf numFmtId="165" fontId="0" fillId="16" borderId="2" xfId="0" applyNumberFormat="1" applyFill="1" applyBorder="1" applyAlignment="1">
      <alignment horizontal="center"/>
    </xf>
    <xf numFmtId="165" fontId="0" fillId="16" borderId="3" xfId="0" applyNumberForma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2" fillId="0" borderId="0" xfId="0" applyFont="1" applyAlignment="1">
      <alignment wrapText="1"/>
    </xf>
    <xf numFmtId="0" fontId="22" fillId="8" borderId="0" xfId="0" applyFont="1" applyFill="1" applyAlignment="1">
      <alignment wrapText="1"/>
    </xf>
    <xf numFmtId="0" fontId="7" fillId="8" borderId="0" xfId="0" applyFont="1" applyFill="1" applyAlignment="1">
      <alignment wrapText="1"/>
    </xf>
    <xf numFmtId="0" fontId="7" fillId="0" borderId="0" xfId="0" applyFont="1" applyAlignment="1">
      <alignment wrapText="1"/>
    </xf>
    <xf numFmtId="0" fontId="24" fillId="8" borderId="0" xfId="0" applyFont="1" applyFill="1" applyAlignment="1">
      <alignment wrapText="1"/>
    </xf>
    <xf numFmtId="0" fontId="30" fillId="21" borderId="0" xfId="0" applyFont="1" applyFill="1" applyAlignment="1">
      <alignment horizontal="right" vertical="center"/>
    </xf>
    <xf numFmtId="3" fontId="0" fillId="21" borderId="0" xfId="0" applyNumberFormat="1" applyFill="1"/>
    <xf numFmtId="0" fontId="0" fillId="0" borderId="0" xfId="0" applyFill="1"/>
    <xf numFmtId="0" fontId="30" fillId="0" borderId="0" xfId="0" applyFont="1" applyFill="1" applyAlignment="1">
      <alignment vertical="center" textRotation="90" wrapText="1"/>
    </xf>
    <xf numFmtId="0" fontId="30" fillId="0" borderId="0" xfId="0" applyFont="1" applyFill="1" applyAlignment="1">
      <alignment horizontal="right" vertical="center"/>
    </xf>
    <xf numFmtId="3" fontId="30" fillId="0" borderId="0" xfId="0" applyNumberFormat="1" applyFont="1" applyFill="1" applyAlignment="1">
      <alignment horizontal="righ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vertical="center"/>
    </xf>
    <xf numFmtId="1" fontId="0" fillId="0" borderId="0" xfId="0" applyNumberFormat="1" applyFill="1"/>
    <xf numFmtId="0" fontId="0" fillId="21" borderId="0" xfId="0" applyFill="1"/>
    <xf numFmtId="0" fontId="30" fillId="21" borderId="0" xfId="0" applyFont="1" applyFill="1" applyAlignment="1">
      <alignment vertical="center" textRotation="90" wrapText="1"/>
    </xf>
    <xf numFmtId="0" fontId="30" fillId="21" borderId="0" xfId="0" applyFont="1" applyFill="1" applyAlignment="1">
      <alignment horizontal="center" vertical="center"/>
    </xf>
    <xf numFmtId="1" fontId="0" fillId="21" borderId="0" xfId="0" applyNumberFormat="1" applyFill="1"/>
  </cellXfs>
  <cellStyles count="5">
    <cellStyle name="Comma" xfId="3" builtinId="3"/>
    <cellStyle name="Hyperlink" xfId="2" builtinId="8"/>
    <cellStyle name="Normal" xfId="0" builtinId="0"/>
    <cellStyle name="Normal 11 2 3" xfId="4" xr:uid="{DF21F067-63EE-4A52-9080-B35A9635FF16}"/>
    <cellStyle name="Percent" xfId="1" builtinId="5"/>
  </cellStyles>
  <dxfs count="0"/>
  <tableStyles count="0" defaultTableStyle="TableStyleMedium2" defaultPivotStyle="PivotStyleLight16"/>
  <colors>
    <mruColors>
      <color rgb="FFCAD68E"/>
      <color rgb="FFBACA6C"/>
      <color rgb="FFADC050"/>
      <color rgb="FF8D9D38"/>
      <color rgb="FFD4DEA2"/>
      <color rgb="FFE7EDCB"/>
      <color rgb="FF68742A"/>
      <color rgb="FF578780"/>
      <color rgb="FF86B0AA"/>
      <color rgb="FFCFD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2313339639263"/>
          <c:y val="3.3333894006959609E-2"/>
          <c:w val="0.87754263079981465"/>
          <c:h val="0.85768652232253384"/>
        </c:manualLayout>
      </c:layout>
      <c:barChart>
        <c:barDir val="col"/>
        <c:grouping val="stacked"/>
        <c:varyColors val="0"/>
        <c:ser>
          <c:idx val="0"/>
          <c:order val="0"/>
          <c:tx>
            <c:v>Adults</c:v>
          </c:tx>
          <c:spPr>
            <a:solidFill>
              <a:srgbClr val="68742A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Run!$A$4:$A$32</c:f>
              <c:numCache>
                <c:formatCode>0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Run!$K$4:$K$32</c:f>
              <c:numCache>
                <c:formatCode>#,##0</c:formatCode>
                <c:ptCount val="29"/>
                <c:pt idx="0">
                  <c:v>22368</c:v>
                </c:pt>
                <c:pt idx="1">
                  <c:v>23544</c:v>
                </c:pt>
                <c:pt idx="2">
                  <c:v>27359</c:v>
                </c:pt>
                <c:pt idx="3">
                  <c:v>26896</c:v>
                </c:pt>
                <c:pt idx="4">
                  <c:v>10980</c:v>
                </c:pt>
                <c:pt idx="5">
                  <c:v>9054</c:v>
                </c:pt>
                <c:pt idx="6">
                  <c:v>7945</c:v>
                </c:pt>
                <c:pt idx="7">
                  <c:v>8988</c:v>
                </c:pt>
                <c:pt idx="8">
                  <c:v>6650</c:v>
                </c:pt>
                <c:pt idx="9">
                  <c:v>8384</c:v>
                </c:pt>
                <c:pt idx="10">
                  <c:v>9773</c:v>
                </c:pt>
                <c:pt idx="11">
                  <c:v>12511</c:v>
                </c:pt>
                <c:pt idx="12">
                  <c:v>17483</c:v>
                </c:pt>
                <c:pt idx="13">
                  <c:v>31165</c:v>
                </c:pt>
                <c:pt idx="14">
                  <c:v>40952</c:v>
                </c:pt>
                <c:pt idx="15">
                  <c:v>23926</c:v>
                </c:pt>
                <c:pt idx="16">
                  <c:v>24104</c:v>
                </c:pt>
                <c:pt idx="17">
                  <c:v>20992.15053763441</c:v>
                </c:pt>
                <c:pt idx="18">
                  <c:v>11899.272727272728</c:v>
                </c:pt>
                <c:pt idx="19">
                  <c:v>9975.2765957446809</c:v>
                </c:pt>
                <c:pt idx="20">
                  <c:v>18521.82608695652</c:v>
                </c:pt>
                <c:pt idx="21">
                  <c:v>11256.848484848486</c:v>
                </c:pt>
                <c:pt idx="22">
                  <c:v>19227.351984210523</c:v>
                </c:pt>
                <c:pt idx="23">
                  <c:v>13711.395604395604</c:v>
                </c:pt>
                <c:pt idx="24">
                  <c:v>13063.770114942528</c:v>
                </c:pt>
                <c:pt idx="25">
                  <c:v>34074.043478260872</c:v>
                </c:pt>
                <c:pt idx="26">
                  <c:v>33365.684210526313</c:v>
                </c:pt>
                <c:pt idx="27">
                  <c:v>27603.164835164833</c:v>
                </c:pt>
                <c:pt idx="28">
                  <c:v>9419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4-414D-9338-B5501F74D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6857600"/>
        <c:axId val="86859136"/>
      </c:barChart>
      <c:catAx>
        <c:axId val="868576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59136"/>
        <c:crosses val="autoZero"/>
        <c:auto val="1"/>
        <c:lblAlgn val="ctr"/>
        <c:lblOffset val="100"/>
        <c:tickLblSkip val="2"/>
        <c:tickMarkSkip val="5"/>
        <c:noMultiLvlLbl val="0"/>
      </c:catAx>
      <c:valAx>
        <c:axId val="86859136"/>
        <c:scaling>
          <c:orientation val="minMax"/>
          <c:max val="4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Columbia River Mouth Return</a:t>
                </a:r>
              </a:p>
            </c:rich>
          </c:tx>
          <c:layout>
            <c:manualLayout>
              <c:xMode val="edge"/>
              <c:yMode val="edge"/>
              <c:x val="5.1411601482171171E-3"/>
              <c:y val="8.75674885339623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57600"/>
        <c:crosses val="autoZero"/>
        <c:crossBetween val="between"/>
        <c:majorUnit val="10000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</a:rPr>
              <a:t>Natural</a:t>
            </a:r>
          </a:p>
          <a:p>
            <a:pPr>
              <a:defRPr b="1">
                <a:solidFill>
                  <a:schemeClr val="tx1"/>
                </a:solidFill>
              </a:defRPr>
            </a:pPr>
            <a:r>
              <a:rPr lang="en-US" b="1">
                <a:solidFill>
                  <a:schemeClr val="tx1"/>
                </a:solidFill>
              </a:rPr>
              <a:t>Production</a:t>
            </a:r>
          </a:p>
        </c:rich>
      </c:tx>
      <c:layout>
        <c:manualLayout>
          <c:xMode val="edge"/>
          <c:yMode val="edge"/>
          <c:x val="0.60757560353978957"/>
          <c:y val="0.1075334229718238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740577781035219"/>
          <c:y val="1.4936583511270854E-2"/>
          <c:w val="0.64814534604681728"/>
          <c:h val="0.8526036347882213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8D9D38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Summary!$C$20:$C$24</c:f>
              <c:strCache>
                <c:ptCount val="5"/>
                <c:pt idx="0">
                  <c:v>Current</c:v>
                </c:pt>
                <c:pt idx="1">
                  <c:v>Low goal</c:v>
                </c:pt>
                <c:pt idx="2">
                  <c:v>Med goal</c:v>
                </c:pt>
                <c:pt idx="3">
                  <c:v>High goal</c:v>
                </c:pt>
                <c:pt idx="4">
                  <c:v>Historical</c:v>
                </c:pt>
              </c:strCache>
            </c:strRef>
          </c:cat>
          <c:val>
            <c:numRef>
              <c:f>Summary!$D$20:$D$24</c:f>
              <c:numCache>
                <c:formatCode>#,##0</c:formatCode>
                <c:ptCount val="5"/>
                <c:pt idx="0">
                  <c:v>2240</c:v>
                </c:pt>
                <c:pt idx="1">
                  <c:v>9800</c:v>
                </c:pt>
                <c:pt idx="2">
                  <c:v>21550</c:v>
                </c:pt>
                <c:pt idx="3">
                  <c:v>33300</c:v>
                </c:pt>
                <c:pt idx="4">
                  <c:v>101700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2-49B4-B859-F89A9EA591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0"/>
        <c:axId val="91376256"/>
        <c:axId val="91391488"/>
      </c:barChart>
      <c:catAx>
        <c:axId val="913762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391488"/>
        <c:crosses val="autoZero"/>
        <c:auto val="1"/>
        <c:lblAlgn val="ctr"/>
        <c:lblOffset val="100"/>
        <c:noMultiLvlLbl val="0"/>
      </c:catAx>
      <c:valAx>
        <c:axId val="9139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376256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b="1" u="none"/>
              <a:t>Current Hatchery Production (smolts)</a:t>
            </a:r>
          </a:p>
        </c:rich>
      </c:tx>
      <c:layout>
        <c:manualLayout>
          <c:xMode val="edge"/>
          <c:yMode val="edge"/>
          <c:x val="2.0695934660565879E-2"/>
          <c:y val="2.73394300418608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6006009937973579"/>
          <c:y val="0.11972756999859104"/>
          <c:w val="0.54224329410407779"/>
          <c:h val="0.79887434203246765"/>
        </c:manualLayout>
      </c:layout>
      <c:pieChart>
        <c:varyColors val="1"/>
        <c:ser>
          <c:idx val="0"/>
          <c:order val="0"/>
          <c:spPr>
            <a:ln w="3175"/>
          </c:spPr>
          <c:dPt>
            <c:idx val="0"/>
            <c:bubble3D val="0"/>
            <c:spPr>
              <a:solidFill>
                <a:schemeClr val="accent6">
                  <a:shade val="45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29-4F0D-995C-B44F4558C9E1}"/>
              </c:ext>
            </c:extLst>
          </c:dPt>
          <c:dPt>
            <c:idx val="1"/>
            <c:bubble3D val="0"/>
            <c:spPr>
              <a:solidFill>
                <a:schemeClr val="accent6">
                  <a:shade val="61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029-4F0D-995C-B44F4558C9E1}"/>
              </c:ext>
            </c:extLst>
          </c:dPt>
          <c:dPt>
            <c:idx val="2"/>
            <c:bubble3D val="0"/>
            <c:spPr>
              <a:solidFill>
                <a:schemeClr val="accent6">
                  <a:shade val="76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29-4F0D-995C-B44F4558C9E1}"/>
              </c:ext>
            </c:extLst>
          </c:dPt>
          <c:dPt>
            <c:idx val="3"/>
            <c:bubble3D val="0"/>
            <c:spPr>
              <a:solidFill>
                <a:schemeClr val="accent6">
                  <a:shade val="92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F029-4F0D-995C-B44F4558C9E1}"/>
              </c:ext>
            </c:extLst>
          </c:dPt>
          <c:dPt>
            <c:idx val="4"/>
            <c:bubble3D val="0"/>
            <c:spPr>
              <a:solidFill>
                <a:schemeClr val="accent6">
                  <a:tint val="93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29-4F0D-995C-B44F4558C9E1}"/>
              </c:ext>
            </c:extLst>
          </c:dPt>
          <c:dPt>
            <c:idx val="5"/>
            <c:bubble3D val="0"/>
            <c:spPr>
              <a:solidFill>
                <a:schemeClr val="accent6">
                  <a:tint val="77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029-4F0D-995C-B44F4558C9E1}"/>
              </c:ext>
            </c:extLst>
          </c:dPt>
          <c:dPt>
            <c:idx val="6"/>
            <c:bubble3D val="0"/>
            <c:spPr>
              <a:solidFill>
                <a:schemeClr val="accent6">
                  <a:tint val="62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9CF-454D-8DFB-ABC63ACDF79C}"/>
              </c:ext>
            </c:extLst>
          </c:dPt>
          <c:dPt>
            <c:idx val="7"/>
            <c:bubble3D val="0"/>
            <c:spPr>
              <a:solidFill>
                <a:schemeClr val="accent6">
                  <a:tint val="46000"/>
                </a:schemeClr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9CF-454D-8DFB-ABC63ACDF79C}"/>
              </c:ext>
            </c:extLst>
          </c:dPt>
          <c:dLbls>
            <c:dLbl>
              <c:idx val="0"/>
              <c:layout>
                <c:manualLayout>
                  <c:x val="5.8159238434675733E-3"/>
                  <c:y val="1.323425613677358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29198234594085787"/>
                      <c:h val="0.347156346930448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F029-4F0D-995C-B44F4558C9E1}"/>
                </c:ext>
              </c:extLst>
            </c:dLbl>
            <c:dLbl>
              <c:idx val="1"/>
              <c:layout>
                <c:manualLayout>
                  <c:x val="-6.3181431688030726E-2"/>
                  <c:y val="8.5656254297758971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81550173394272"/>
                      <c:h val="0.1443342323818876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F029-4F0D-995C-B44F4558C9E1}"/>
                </c:ext>
              </c:extLst>
            </c:dLbl>
            <c:dLbl>
              <c:idx val="2"/>
              <c:layout>
                <c:manualLayout>
                  <c:x val="-1.5569080780668597E-2"/>
                  <c:y val="2.5742510675491209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584714434672267"/>
                      <c:h val="0.10447177203492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029-4F0D-995C-B44F4558C9E1}"/>
                </c:ext>
              </c:extLst>
            </c:dLbl>
            <c:dLbl>
              <c:idx val="3"/>
              <c:layout>
                <c:manualLayout>
                  <c:x val="-1.1007784323701768E-2"/>
                  <c:y val="3.1109523663389822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9561907519013"/>
                      <c:h val="0.1524674393255885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F029-4F0D-995C-B44F4558C9E1}"/>
                </c:ext>
              </c:extLst>
            </c:dLbl>
            <c:dLbl>
              <c:idx val="4"/>
              <c:layout>
                <c:manualLayout>
                  <c:x val="-3.3635498457610063E-3"/>
                  <c:y val="5.0066547778577115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254092598868535"/>
                      <c:h val="0.134831425554574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029-4F0D-995C-B44F4558C9E1}"/>
                </c:ext>
              </c:extLst>
            </c:dLbl>
            <c:dLbl>
              <c:idx val="5"/>
              <c:layout>
                <c:manualLayout>
                  <c:x val="-1.3320069097682486E-2"/>
                  <c:y val="0.13704608561533665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56111443848605"/>
                      <c:h val="0.2273569904719038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029-4F0D-995C-B44F4558C9E1}"/>
                </c:ext>
              </c:extLst>
            </c:dLbl>
            <c:dLbl>
              <c:idx val="6"/>
              <c:layout>
                <c:manualLayout>
                  <c:x val="-1.5192319320149692E-2"/>
                  <c:y val="7.956839931703320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555011420883143"/>
                      <c:h val="0.169435795671287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9CF-454D-8DFB-ABC63ACDF79C}"/>
                </c:ext>
              </c:extLst>
            </c:dLbl>
            <c:dLbl>
              <c:idx val="7"/>
              <c:layout>
                <c:manualLayout>
                  <c:x val="1.3645899987776546E-3"/>
                  <c:y val="-1.148405229603397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CF-454D-8DFB-ABC63ACDF79C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Summary!$K$53:$K$60</c:f>
              <c:strCache>
                <c:ptCount val="8"/>
                <c:pt idx="0">
                  <c:v>Terminal fishery areas</c:v>
                </c:pt>
                <c:pt idx="1">
                  <c:v>Cowlitz River </c:v>
                </c:pt>
                <c:pt idx="2">
                  <c:v>Kalama River</c:v>
                </c:pt>
                <c:pt idx="3">
                  <c:v>Lewis River</c:v>
                </c:pt>
                <c:pt idx="4">
                  <c:v>Sandy River</c:v>
                </c:pt>
                <c:pt idx="5">
                  <c:v>Little White Salmon River</c:v>
                </c:pt>
                <c:pt idx="6">
                  <c:v>Wind River</c:v>
                </c:pt>
                <c:pt idx="7">
                  <c:v>Hood River</c:v>
                </c:pt>
              </c:strCache>
            </c:strRef>
          </c:cat>
          <c:val>
            <c:numRef>
              <c:f>Summary!$L$53:$L$60</c:f>
              <c:numCache>
                <c:formatCode>#,##0</c:formatCode>
                <c:ptCount val="8"/>
                <c:pt idx="0">
                  <c:v>1750000</c:v>
                </c:pt>
                <c:pt idx="1">
                  <c:v>1000000</c:v>
                </c:pt>
                <c:pt idx="2">
                  <c:v>500000</c:v>
                </c:pt>
                <c:pt idx="3">
                  <c:v>340000</c:v>
                </c:pt>
                <c:pt idx="4">
                  <c:v>130000</c:v>
                </c:pt>
                <c:pt idx="5">
                  <c:v>1000000</c:v>
                </c:pt>
                <c:pt idx="6">
                  <c:v>1170000</c:v>
                </c:pt>
                <c:pt idx="7">
                  <c:v>150000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9-4F0D-995C-B44F4558C9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09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Harvest Distribution (Wild/Natural</a:t>
            </a:r>
            <a:r>
              <a:rPr lang="en-US" sz="1200" b="1" baseline="0">
                <a:solidFill>
                  <a:schemeClr val="tx1"/>
                </a:solidFill>
              </a:rPr>
              <a:t> Exploitation Rate)</a:t>
            </a:r>
            <a:endParaRPr lang="en-US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2732975836802"/>
          <c:y val="0.15994152215577154"/>
          <c:w val="0.58019170790749708"/>
          <c:h val="0.7467205070773778"/>
        </c:manualLayout>
      </c:layout>
      <c:pieChart>
        <c:varyColors val="1"/>
        <c:ser>
          <c:idx val="0"/>
          <c:order val="0"/>
          <c:spPr>
            <a:ln w="3175"/>
          </c:spPr>
          <c:dPt>
            <c:idx val="0"/>
            <c:bubble3D val="0"/>
            <c:spPr>
              <a:solidFill>
                <a:srgbClr val="68742A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2A7-4D45-9FEC-D55D50F95D7B}"/>
              </c:ext>
            </c:extLst>
          </c:dPt>
          <c:dPt>
            <c:idx val="1"/>
            <c:bubble3D val="0"/>
            <c:spPr>
              <a:solidFill>
                <a:srgbClr val="8D9D38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2A7-4D45-9FEC-D55D50F95D7B}"/>
              </c:ext>
            </c:extLst>
          </c:dPt>
          <c:dPt>
            <c:idx val="2"/>
            <c:bubble3D val="0"/>
            <c:spPr>
              <a:solidFill>
                <a:srgbClr val="ADC050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7-4D45-9FEC-D55D50F95D7B}"/>
              </c:ext>
            </c:extLst>
          </c:dPt>
          <c:dPt>
            <c:idx val="3"/>
            <c:bubble3D val="0"/>
            <c:spPr>
              <a:solidFill>
                <a:srgbClr val="CAD68E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2A7-4D45-9FEC-D55D50F95D7B}"/>
              </c:ext>
            </c:extLst>
          </c:dPt>
          <c:dPt>
            <c:idx val="4"/>
            <c:bubble3D val="0"/>
            <c:spPr>
              <a:solidFill>
                <a:srgbClr val="D4DEA2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2A7-4D45-9FEC-D55D50F95D7B}"/>
              </c:ext>
            </c:extLst>
          </c:dPt>
          <c:dPt>
            <c:idx val="5"/>
            <c:bubble3D val="0"/>
            <c:spPr>
              <a:solidFill>
                <a:srgbClr val="E7EDCB"/>
              </a:solidFill>
              <a:ln w="317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7-4D45-9FEC-D55D50F95D7B}"/>
              </c:ext>
            </c:extLst>
          </c:dPt>
          <c:dLbls>
            <c:dLbl>
              <c:idx val="0"/>
              <c:layout>
                <c:manualLayout>
                  <c:x val="-4.9231533714665994E-2"/>
                  <c:y val="9.09430078105853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A7-4D45-9FEC-D55D50F95D7B}"/>
                </c:ext>
              </c:extLst>
            </c:dLbl>
            <c:dLbl>
              <c:idx val="1"/>
              <c:layout>
                <c:manualLayout>
                  <c:x val="4.2639207213360217E-2"/>
                  <c:y val="3.97330734610205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A7-4D45-9FEC-D55D50F95D7B}"/>
                </c:ext>
              </c:extLst>
            </c:dLbl>
            <c:dLbl>
              <c:idx val="2"/>
              <c:layout>
                <c:manualLayout>
                  <c:x val="2.6851991707875549E-2"/>
                  <c:y val="-2.40363629024585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A7-4D45-9FEC-D55D50F95D7B}"/>
                </c:ext>
              </c:extLst>
            </c:dLbl>
            <c:dLbl>
              <c:idx val="3"/>
              <c:layout>
                <c:manualLayout>
                  <c:x val="-6.255212677231026E-3"/>
                  <c:y val="-2.73569428867162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605504587155965"/>
                      <c:h val="6.041742951299890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2A7-4D45-9FEC-D55D50F95D7B}"/>
                </c:ext>
              </c:extLst>
            </c:dLbl>
            <c:dLbl>
              <c:idx val="4"/>
              <c:layout>
                <c:manualLayout>
                  <c:x val="-2.5159855435084894E-2"/>
                  <c:y val="2.95868087891428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24381428968585"/>
                      <c:h val="0.1309044306114976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82A7-4D45-9FEC-D55D50F95D7B}"/>
                </c:ext>
              </c:extLst>
            </c:dLbl>
            <c:dLbl>
              <c:idx val="5"/>
              <c:layout>
                <c:manualLayout>
                  <c:x val="-0.11307213579119958"/>
                  <c:y val="-6.9311809293702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A7-4D45-9FEC-D55D50F95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Summary!$T$31:$T$36</c:f>
              <c:strCache>
                <c:ptCount val="6"/>
                <c:pt idx="0">
                  <c:v>Ocean (AK)</c:v>
                </c:pt>
                <c:pt idx="1">
                  <c:v>Ocean (Can)</c:v>
                </c:pt>
                <c:pt idx="2">
                  <c:v>Ocean (WA/OR)</c:v>
                </c:pt>
                <c:pt idx="3">
                  <c:v>Col sport</c:v>
                </c:pt>
                <c:pt idx="4">
                  <c:v>Col commercial</c:v>
                </c:pt>
                <c:pt idx="5">
                  <c:v>Trib Sport</c:v>
                </c:pt>
              </c:strCache>
            </c:strRef>
          </c:cat>
          <c:val>
            <c:numRef>
              <c:f>Summary!$U$31:$U$36</c:f>
              <c:numCache>
                <c:formatCode>0.0%</c:formatCode>
                <c:ptCount val="6"/>
                <c:pt idx="0">
                  <c:v>4.1000000000000002E-2</c:v>
                </c:pt>
                <c:pt idx="1">
                  <c:v>2.5000000000000001E-2</c:v>
                </c:pt>
                <c:pt idx="2">
                  <c:v>2.1999999999999999E-2</c:v>
                </c:pt>
                <c:pt idx="3">
                  <c:v>2E-3</c:v>
                </c:pt>
                <c:pt idx="4">
                  <c:v>1E-3</c:v>
                </c:pt>
                <c:pt idx="5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7-4D45-9FEC-D55D50F95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88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emf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26" Type="http://schemas.openxmlformats.org/officeDocument/2006/relationships/image" Target="../media/image38.png"/><Relationship Id="rId3" Type="http://schemas.openxmlformats.org/officeDocument/2006/relationships/image" Target="../media/image15.png"/><Relationship Id="rId21" Type="http://schemas.openxmlformats.org/officeDocument/2006/relationships/image" Target="../media/image33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5" Type="http://schemas.openxmlformats.org/officeDocument/2006/relationships/image" Target="../media/image37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20" Type="http://schemas.openxmlformats.org/officeDocument/2006/relationships/image" Target="../media/image32.png"/><Relationship Id="rId29" Type="http://schemas.openxmlformats.org/officeDocument/2006/relationships/image" Target="../media/image41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24" Type="http://schemas.openxmlformats.org/officeDocument/2006/relationships/image" Target="../media/image36.png"/><Relationship Id="rId32" Type="http://schemas.openxmlformats.org/officeDocument/2006/relationships/image" Target="../media/image44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23" Type="http://schemas.openxmlformats.org/officeDocument/2006/relationships/image" Target="../media/image35.png"/><Relationship Id="rId28" Type="http://schemas.openxmlformats.org/officeDocument/2006/relationships/image" Target="../media/image40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31" Type="http://schemas.openxmlformats.org/officeDocument/2006/relationships/image" Target="../media/image43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Relationship Id="rId22" Type="http://schemas.openxmlformats.org/officeDocument/2006/relationships/image" Target="../media/image34.png"/><Relationship Id="rId27" Type="http://schemas.openxmlformats.org/officeDocument/2006/relationships/image" Target="../media/image39.png"/><Relationship Id="rId30" Type="http://schemas.openxmlformats.org/officeDocument/2006/relationships/image" Target="../media/image4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image" Target="../media/image46.png"/><Relationship Id="rId7" Type="http://schemas.openxmlformats.org/officeDocument/2006/relationships/image" Target="../media/image50.png"/><Relationship Id="rId2" Type="http://schemas.openxmlformats.org/officeDocument/2006/relationships/image" Target="../media/image13.png"/><Relationship Id="rId1" Type="http://schemas.openxmlformats.org/officeDocument/2006/relationships/image" Target="../media/image45.png"/><Relationship Id="rId6" Type="http://schemas.openxmlformats.org/officeDocument/2006/relationships/image" Target="../media/image49.png"/><Relationship Id="rId5" Type="http://schemas.openxmlformats.org/officeDocument/2006/relationships/image" Target="../media/image48.png"/><Relationship Id="rId10" Type="http://schemas.openxmlformats.org/officeDocument/2006/relationships/image" Target="../media/image53.png"/><Relationship Id="rId4" Type="http://schemas.openxmlformats.org/officeDocument/2006/relationships/image" Target="../media/image47.png"/><Relationship Id="rId9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2" Type="http://schemas.openxmlformats.org/officeDocument/2006/relationships/image" Target="../media/image55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5" Type="http://schemas.openxmlformats.org/officeDocument/2006/relationships/image" Target="../media/image58.png"/><Relationship Id="rId4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16512</xdr:colOff>
      <xdr:row>1</xdr:row>
      <xdr:rowOff>43814</xdr:rowOff>
    </xdr:from>
    <xdr:to>
      <xdr:col>7</xdr:col>
      <xdr:colOff>0</xdr:colOff>
      <xdr:row>16</xdr:row>
      <xdr:rowOff>19262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6512" y="276647"/>
          <a:ext cx="3613571" cy="26741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spcAft>
              <a:spcPts val="100"/>
            </a:spcAft>
            <a:buFont typeface="Arial" panose="020B0604020202020204" pitchFamily="34" charset="0"/>
            <a:buChar char="•"/>
          </a:pPr>
          <a:r>
            <a:rPr lang="en-US" sz="16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Return to mid to upper reaches of Cascade tributaries in the lower Columbia and Columbia River gorge.</a:t>
          </a:r>
        </a:p>
        <a:p>
          <a:pPr marL="171450" indent="-171450">
            <a:spcAft>
              <a:spcPts val="100"/>
            </a:spcAft>
            <a:buFont typeface="Arial" panose="020B0604020202020204" pitchFamily="34" charset="0"/>
            <a:buChar char="•"/>
          </a:pPr>
          <a:r>
            <a:rPr lang="en-US" sz="16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Significant historical production areas in the upper Cowlitz and Lewis rivers were blocked but are currently the focus of reintroduction efforts.</a:t>
          </a:r>
        </a:p>
        <a:p>
          <a:pPr marL="171450" indent="-171450">
            <a:spcAft>
              <a:spcPts val="100"/>
            </a:spcAft>
            <a:buFont typeface="Arial" panose="020B0604020202020204" pitchFamily="34" charset="0"/>
            <a:buChar char="•"/>
          </a:pPr>
          <a:r>
            <a:rPr lang="en-US" sz="16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Hatchery programs are currently operated in many areas to mitigate for lost production.</a:t>
          </a:r>
        </a:p>
      </xdr:txBody>
    </xdr:sp>
    <xdr:clientData/>
  </xdr:twoCellAnchor>
  <xdr:twoCellAnchor>
    <xdr:from>
      <xdr:col>0</xdr:col>
      <xdr:colOff>59689</xdr:colOff>
      <xdr:row>28</xdr:row>
      <xdr:rowOff>130811</xdr:rowOff>
    </xdr:from>
    <xdr:to>
      <xdr:col>16</xdr:col>
      <xdr:colOff>59689</xdr:colOff>
      <xdr:row>46</xdr:row>
      <xdr:rowOff>52916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52917</xdr:colOff>
      <xdr:row>1</xdr:row>
      <xdr:rowOff>117474</xdr:rowOff>
    </xdr:from>
    <xdr:to>
      <xdr:col>16</xdr:col>
      <xdr:colOff>20525</xdr:colOff>
      <xdr:row>28</xdr:row>
      <xdr:rowOff>56703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0" y="350307"/>
          <a:ext cx="5269858" cy="4808409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57150</xdr:colOff>
      <xdr:row>15</xdr:row>
      <xdr:rowOff>137583</xdr:rowOff>
    </xdr:from>
    <xdr:to>
      <xdr:col>6</xdr:col>
      <xdr:colOff>477520</xdr:colOff>
      <xdr:row>28</xdr:row>
      <xdr:rowOff>74084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D42CF9-B413-4FB6-8332-C84E2978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180659</xdr:colOff>
      <xdr:row>46</xdr:row>
      <xdr:rowOff>87894</xdr:rowOff>
    </xdr:from>
    <xdr:to>
      <xdr:col>16</xdr:col>
      <xdr:colOff>68794</xdr:colOff>
      <xdr:row>65</xdr:row>
      <xdr:rowOff>156263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B66A1A-0382-4C19-A5DA-9E86496BB7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5132</xdr:colOff>
      <xdr:row>46</xdr:row>
      <xdr:rowOff>156104</xdr:rowOff>
    </xdr:from>
    <xdr:to>
      <xdr:col>8</xdr:col>
      <xdr:colOff>315436</xdr:colOff>
      <xdr:row>65</xdr:row>
      <xdr:rowOff>149331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F7EBE2B-84B8-49DC-A015-3E5D3A7FAB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0</xdr:colOff>
      <xdr:row>4</xdr:row>
      <xdr:rowOff>0</xdr:rowOff>
    </xdr:from>
    <xdr:to>
      <xdr:col>54</xdr:col>
      <xdr:colOff>65829</xdr:colOff>
      <xdr:row>35</xdr:row>
      <xdr:rowOff>170514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09425" y="771525"/>
          <a:ext cx="6771429" cy="7495239"/>
        </a:xfrm>
        <a:prstGeom prst="rect">
          <a:avLst/>
        </a:prstGeom>
      </xdr:spPr>
    </xdr:pic>
    <xdr:clientData/>
  </xdr:twoCellAnchor>
  <xdr:twoCellAnchor editAs="oneCell">
    <xdr:from>
      <xdr:col>67</xdr:col>
      <xdr:colOff>0</xdr:colOff>
      <xdr:row>3</xdr:row>
      <xdr:rowOff>0</xdr:rowOff>
    </xdr:from>
    <xdr:to>
      <xdr:col>79</xdr:col>
      <xdr:colOff>180038</xdr:colOff>
      <xdr:row>21</xdr:row>
      <xdr:rowOff>47069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EC1E51-88A3-4294-820F-6C3D65D4A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11575" y="552450"/>
          <a:ext cx="7495238" cy="4447619"/>
        </a:xfrm>
        <a:prstGeom prst="rect">
          <a:avLst/>
        </a:prstGeom>
      </xdr:spPr>
    </xdr:pic>
    <xdr:clientData/>
  </xdr:twoCellAnchor>
  <xdr:twoCellAnchor editAs="oneCell">
    <xdr:from>
      <xdr:col>80</xdr:col>
      <xdr:colOff>0</xdr:colOff>
      <xdr:row>3</xdr:row>
      <xdr:rowOff>0</xdr:rowOff>
    </xdr:from>
    <xdr:to>
      <xdr:col>95</xdr:col>
      <xdr:colOff>84571</xdr:colOff>
      <xdr:row>26</xdr:row>
      <xdr:rowOff>170754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ED3FC8E-0C99-416E-BE52-956CF3BC9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292375" y="571500"/>
          <a:ext cx="9228571" cy="5571429"/>
        </a:xfrm>
        <a:prstGeom prst="rect">
          <a:avLst/>
        </a:prstGeom>
      </xdr:spPr>
    </xdr:pic>
    <xdr:clientData/>
  </xdr:twoCellAnchor>
  <xdr:twoCellAnchor editAs="oneCell">
    <xdr:from>
      <xdr:col>80</xdr:col>
      <xdr:colOff>0</xdr:colOff>
      <xdr:row>29</xdr:row>
      <xdr:rowOff>0</xdr:rowOff>
    </xdr:from>
    <xdr:to>
      <xdr:col>94</xdr:col>
      <xdr:colOff>322743</xdr:colOff>
      <xdr:row>50</xdr:row>
      <xdr:rowOff>123267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A016D3-8F98-4EFE-B65D-0D56A603F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292375" y="6315075"/>
          <a:ext cx="8857143" cy="4466667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3</xdr:row>
      <xdr:rowOff>0</xdr:rowOff>
    </xdr:from>
    <xdr:to>
      <xdr:col>65</xdr:col>
      <xdr:colOff>332571</xdr:colOff>
      <xdr:row>23</xdr:row>
      <xdr:rowOff>94638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64C6254-0C54-4109-9136-9E312F9CD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367575" y="571500"/>
          <a:ext cx="6428571" cy="4895238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26</xdr:row>
      <xdr:rowOff>0</xdr:rowOff>
    </xdr:from>
    <xdr:to>
      <xdr:col>65</xdr:col>
      <xdr:colOff>284953</xdr:colOff>
      <xdr:row>53</xdr:row>
      <xdr:rowOff>142169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213D384-4D71-437B-BCAA-E9D62F3B4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367575" y="5743575"/>
          <a:ext cx="6380953" cy="5628569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55</xdr:row>
      <xdr:rowOff>0</xdr:rowOff>
    </xdr:from>
    <xdr:to>
      <xdr:col>65</xdr:col>
      <xdr:colOff>113524</xdr:colOff>
      <xdr:row>80</xdr:row>
      <xdr:rowOff>94643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101756F-A371-4234-8715-45DC86917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367575" y="11610975"/>
          <a:ext cx="6209524" cy="4857143"/>
        </a:xfrm>
        <a:prstGeom prst="rect">
          <a:avLst/>
        </a:prstGeom>
      </xdr:spPr>
    </xdr:pic>
    <xdr:clientData/>
  </xdr:twoCellAnchor>
  <xdr:twoCellAnchor editAs="oneCell">
    <xdr:from>
      <xdr:col>97</xdr:col>
      <xdr:colOff>38100</xdr:colOff>
      <xdr:row>6</xdr:row>
      <xdr:rowOff>171450</xdr:rowOff>
    </xdr:from>
    <xdr:to>
      <xdr:col>108</xdr:col>
      <xdr:colOff>18214</xdr:colOff>
      <xdr:row>13</xdr:row>
      <xdr:rowOff>142704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751C6A-1C75-4AF1-A5DD-5D526DBBE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618475" y="1724025"/>
          <a:ext cx="6685714" cy="1371429"/>
        </a:xfrm>
        <a:prstGeom prst="rect">
          <a:avLst/>
        </a:prstGeom>
      </xdr:spPr>
    </xdr:pic>
    <xdr:clientData/>
  </xdr:twoCellAnchor>
  <xdr:twoCellAnchor editAs="oneCell">
    <xdr:from>
      <xdr:col>96</xdr:col>
      <xdr:colOff>590550</xdr:colOff>
      <xdr:row>18</xdr:row>
      <xdr:rowOff>76200</xdr:rowOff>
    </xdr:from>
    <xdr:to>
      <xdr:col>107</xdr:col>
      <xdr:colOff>580188</xdr:colOff>
      <xdr:row>31</xdr:row>
      <xdr:rowOff>132995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D3E91B5-703A-45F3-B527-E57D13BFF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22050" y="4229100"/>
          <a:ext cx="6695238" cy="2838095"/>
        </a:xfrm>
        <a:prstGeom prst="rect">
          <a:avLst/>
        </a:prstGeom>
      </xdr:spPr>
    </xdr:pic>
    <xdr:clientData/>
  </xdr:twoCellAnchor>
  <xdr:twoCellAnchor editAs="oneCell">
    <xdr:from>
      <xdr:col>97</xdr:col>
      <xdr:colOff>0</xdr:colOff>
      <xdr:row>34</xdr:row>
      <xdr:rowOff>0</xdr:rowOff>
    </xdr:from>
    <xdr:to>
      <xdr:col>107</xdr:col>
      <xdr:colOff>589714</xdr:colOff>
      <xdr:row>39</xdr:row>
      <xdr:rowOff>37970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201B631-0B85-4053-8010-2BEB66C10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580375" y="7524750"/>
          <a:ext cx="6685714" cy="1038095"/>
        </a:xfrm>
        <a:prstGeom prst="rect">
          <a:avLst/>
        </a:prstGeom>
      </xdr:spPr>
    </xdr:pic>
    <xdr:clientData/>
  </xdr:twoCellAnchor>
  <xdr:twoCellAnchor editAs="oneCell">
    <xdr:from>
      <xdr:col>97</xdr:col>
      <xdr:colOff>0</xdr:colOff>
      <xdr:row>2</xdr:row>
      <xdr:rowOff>85725</xdr:rowOff>
    </xdr:from>
    <xdr:to>
      <xdr:col>106</xdr:col>
      <xdr:colOff>599314</xdr:colOff>
      <xdr:row>4</xdr:row>
      <xdr:rowOff>485676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3C3CE1A-F4F5-49EB-AF37-AAAB65553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580375" y="466725"/>
          <a:ext cx="6085714" cy="7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284953</xdr:colOff>
      <xdr:row>33</xdr:row>
      <xdr:rowOff>161167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380953" cy="60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10</xdr:col>
      <xdr:colOff>437410</xdr:colOff>
      <xdr:row>53</xdr:row>
      <xdr:rowOff>180524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667500"/>
          <a:ext cx="5923810" cy="3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8762</xdr:colOff>
      <xdr:row>72</xdr:row>
      <xdr:rowOff>28167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0477500"/>
          <a:ext cx="6104762" cy="3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11</xdr:col>
      <xdr:colOff>580191</xdr:colOff>
      <xdr:row>110</xdr:row>
      <xdr:rowOff>122929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3906500"/>
          <a:ext cx="6676191" cy="717142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23</xdr:col>
      <xdr:colOff>208731</xdr:colOff>
      <xdr:row>31</xdr:row>
      <xdr:rowOff>8834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24800" y="381000"/>
          <a:ext cx="6552381" cy="553333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32</xdr:row>
      <xdr:rowOff>0</xdr:rowOff>
    </xdr:from>
    <xdr:to>
      <xdr:col>23</xdr:col>
      <xdr:colOff>237303</xdr:colOff>
      <xdr:row>53</xdr:row>
      <xdr:rowOff>123310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0" y="6096000"/>
          <a:ext cx="6580953" cy="412381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55</xdr:row>
      <xdr:rowOff>0</xdr:rowOff>
    </xdr:from>
    <xdr:to>
      <xdr:col>22</xdr:col>
      <xdr:colOff>570712</xdr:colOff>
      <xdr:row>67</xdr:row>
      <xdr:rowOff>37810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00" y="10477500"/>
          <a:ext cx="6304762" cy="232381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69</xdr:row>
      <xdr:rowOff>0</xdr:rowOff>
    </xdr:from>
    <xdr:to>
      <xdr:col>23</xdr:col>
      <xdr:colOff>180160</xdr:colOff>
      <xdr:row>102</xdr:row>
      <xdr:rowOff>94453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0" y="13144500"/>
          <a:ext cx="6523810" cy="638095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104</xdr:row>
      <xdr:rowOff>0</xdr:rowOff>
    </xdr:from>
    <xdr:to>
      <xdr:col>22</xdr:col>
      <xdr:colOff>275474</xdr:colOff>
      <xdr:row>119</xdr:row>
      <xdr:rowOff>113929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24800" y="19812000"/>
          <a:ext cx="6009524" cy="2971429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0</xdr:rowOff>
    </xdr:from>
    <xdr:to>
      <xdr:col>35</xdr:col>
      <xdr:colOff>180174</xdr:colOff>
      <xdr:row>30</xdr:row>
      <xdr:rowOff>85048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487650" y="381000"/>
          <a:ext cx="6409524" cy="541904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35</xdr:col>
      <xdr:colOff>208746</xdr:colOff>
      <xdr:row>51</xdr:row>
      <xdr:rowOff>94786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487650" y="6096000"/>
          <a:ext cx="6438096" cy="3714286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53</xdr:row>
      <xdr:rowOff>0</xdr:rowOff>
    </xdr:from>
    <xdr:to>
      <xdr:col>35</xdr:col>
      <xdr:colOff>294460</xdr:colOff>
      <xdr:row>65</xdr:row>
      <xdr:rowOff>123524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87650" y="10096500"/>
          <a:ext cx="6523810" cy="2409524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67</xdr:row>
      <xdr:rowOff>0</xdr:rowOff>
    </xdr:from>
    <xdr:to>
      <xdr:col>35</xdr:col>
      <xdr:colOff>418270</xdr:colOff>
      <xdr:row>91</xdr:row>
      <xdr:rowOff>37524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487650" y="12763500"/>
          <a:ext cx="6647620" cy="4609524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</xdr:row>
      <xdr:rowOff>0</xdr:rowOff>
    </xdr:from>
    <xdr:to>
      <xdr:col>47</xdr:col>
      <xdr:colOff>103958</xdr:colOff>
      <xdr:row>29</xdr:row>
      <xdr:rowOff>142191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936200" y="190500"/>
          <a:ext cx="6542858" cy="5476191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31</xdr:row>
      <xdr:rowOff>0</xdr:rowOff>
    </xdr:from>
    <xdr:to>
      <xdr:col>46</xdr:col>
      <xdr:colOff>551653</xdr:colOff>
      <xdr:row>52</xdr:row>
      <xdr:rowOff>75691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936200" y="5905500"/>
          <a:ext cx="6380953" cy="4076191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54</xdr:row>
      <xdr:rowOff>0</xdr:rowOff>
    </xdr:from>
    <xdr:to>
      <xdr:col>47</xdr:col>
      <xdr:colOff>151577</xdr:colOff>
      <xdr:row>69</xdr:row>
      <xdr:rowOff>85357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936200" y="10287000"/>
          <a:ext cx="6590477" cy="2942857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71</xdr:row>
      <xdr:rowOff>0</xdr:rowOff>
    </xdr:from>
    <xdr:to>
      <xdr:col>47</xdr:col>
      <xdr:colOff>142053</xdr:colOff>
      <xdr:row>90</xdr:row>
      <xdr:rowOff>94786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936200" y="13525500"/>
          <a:ext cx="6580953" cy="3714286"/>
        </a:xfrm>
        <a:prstGeom prst="rect">
          <a:avLst/>
        </a:prstGeom>
      </xdr:spPr>
    </xdr:pic>
    <xdr:clientData/>
  </xdr:twoCellAnchor>
  <xdr:twoCellAnchor editAs="oneCell">
    <xdr:from>
      <xdr:col>36</xdr:col>
      <xdr:colOff>571500</xdr:colOff>
      <xdr:row>91</xdr:row>
      <xdr:rowOff>180975</xdr:rowOff>
    </xdr:from>
    <xdr:to>
      <xdr:col>46</xdr:col>
      <xdr:colOff>180219</xdr:colOff>
      <xdr:row>100</xdr:row>
      <xdr:rowOff>75999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898100" y="17516475"/>
          <a:ext cx="6047619" cy="1609524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1</xdr:row>
      <xdr:rowOff>0</xdr:rowOff>
    </xdr:from>
    <xdr:to>
      <xdr:col>59</xdr:col>
      <xdr:colOff>304000</xdr:colOff>
      <xdr:row>37</xdr:row>
      <xdr:rowOff>113429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594300" y="190500"/>
          <a:ext cx="6400000" cy="6971429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39</xdr:row>
      <xdr:rowOff>0</xdr:rowOff>
    </xdr:from>
    <xdr:to>
      <xdr:col>59</xdr:col>
      <xdr:colOff>246858</xdr:colOff>
      <xdr:row>48</xdr:row>
      <xdr:rowOff>47405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0594300" y="7429500"/>
          <a:ext cx="6342858" cy="1761905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50</xdr:row>
      <xdr:rowOff>0</xdr:rowOff>
    </xdr:from>
    <xdr:to>
      <xdr:col>58</xdr:col>
      <xdr:colOff>456458</xdr:colOff>
      <xdr:row>82</xdr:row>
      <xdr:rowOff>56381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0594300" y="9525000"/>
          <a:ext cx="5942858" cy="6152381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84</xdr:row>
      <xdr:rowOff>0</xdr:rowOff>
    </xdr:from>
    <xdr:to>
      <xdr:col>59</xdr:col>
      <xdr:colOff>46858</xdr:colOff>
      <xdr:row>101</xdr:row>
      <xdr:rowOff>151976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0594300" y="16002000"/>
          <a:ext cx="6142858" cy="3390476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103</xdr:row>
      <xdr:rowOff>0</xdr:rowOff>
    </xdr:from>
    <xdr:to>
      <xdr:col>58</xdr:col>
      <xdr:colOff>151696</xdr:colOff>
      <xdr:row>140</xdr:row>
      <xdr:rowOff>56262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0594300" y="19621500"/>
          <a:ext cx="5638096" cy="7104762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1</xdr:row>
      <xdr:rowOff>0</xdr:rowOff>
    </xdr:from>
    <xdr:to>
      <xdr:col>71</xdr:col>
      <xdr:colOff>323048</xdr:colOff>
      <xdr:row>30</xdr:row>
      <xdr:rowOff>170738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909500" y="190500"/>
          <a:ext cx="6419048" cy="5695238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32</xdr:row>
      <xdr:rowOff>0</xdr:rowOff>
    </xdr:from>
    <xdr:to>
      <xdr:col>71</xdr:col>
      <xdr:colOff>342096</xdr:colOff>
      <xdr:row>38</xdr:row>
      <xdr:rowOff>18905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7909500" y="6096000"/>
          <a:ext cx="6438096" cy="1161905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39</xdr:row>
      <xdr:rowOff>0</xdr:rowOff>
    </xdr:from>
    <xdr:to>
      <xdr:col>70</xdr:col>
      <xdr:colOff>265981</xdr:colOff>
      <xdr:row>49</xdr:row>
      <xdr:rowOff>47381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7909500" y="7429500"/>
          <a:ext cx="5752381" cy="1952381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50</xdr:row>
      <xdr:rowOff>0</xdr:rowOff>
    </xdr:from>
    <xdr:to>
      <xdr:col>70</xdr:col>
      <xdr:colOff>580267</xdr:colOff>
      <xdr:row>61</xdr:row>
      <xdr:rowOff>104500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7909500" y="9525000"/>
          <a:ext cx="6066667" cy="2200000"/>
        </a:xfrm>
        <a:prstGeom prst="rect">
          <a:avLst/>
        </a:prstGeom>
      </xdr:spPr>
    </xdr:pic>
    <xdr:clientData/>
  </xdr:twoCellAnchor>
  <xdr:twoCellAnchor editAs="oneCell">
    <xdr:from>
      <xdr:col>72</xdr:col>
      <xdr:colOff>571500</xdr:colOff>
      <xdr:row>17</xdr:row>
      <xdr:rowOff>38100</xdr:rowOff>
    </xdr:from>
    <xdr:to>
      <xdr:col>86</xdr:col>
      <xdr:colOff>379957</xdr:colOff>
      <xdr:row>40</xdr:row>
      <xdr:rowOff>18505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D7C32A-3DF2-403E-B352-666C53EF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5186600" y="3276600"/>
          <a:ext cx="8342857" cy="4361905"/>
        </a:xfrm>
        <a:prstGeom prst="rect">
          <a:avLst/>
        </a:prstGeom>
      </xdr:spPr>
    </xdr:pic>
    <xdr:clientData/>
  </xdr:twoCellAnchor>
  <xdr:twoCellAnchor editAs="oneCell">
    <xdr:from>
      <xdr:col>76</xdr:col>
      <xdr:colOff>476250</xdr:colOff>
      <xdr:row>2</xdr:row>
      <xdr:rowOff>57150</xdr:rowOff>
    </xdr:from>
    <xdr:to>
      <xdr:col>83</xdr:col>
      <xdr:colOff>332859</xdr:colOff>
      <xdr:row>15</xdr:row>
      <xdr:rowOff>28269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E7FA0F-403E-4053-A90A-59F8B2F8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7529750" y="438150"/>
          <a:ext cx="4123809" cy="2447619"/>
        </a:xfrm>
        <a:prstGeom prst="rect">
          <a:avLst/>
        </a:prstGeom>
      </xdr:spPr>
    </xdr:pic>
    <xdr:clientData/>
  </xdr:twoCellAnchor>
  <xdr:twoCellAnchor editAs="oneCell">
    <xdr:from>
      <xdr:col>88</xdr:col>
      <xdr:colOff>0</xdr:colOff>
      <xdr:row>2</xdr:row>
      <xdr:rowOff>0</xdr:rowOff>
    </xdr:from>
    <xdr:to>
      <xdr:col>94</xdr:col>
      <xdr:colOff>399543</xdr:colOff>
      <xdr:row>25</xdr:row>
      <xdr:rowOff>85167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9E624D2-35CA-4B42-9293-FFE67E8A4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4368700" y="381000"/>
          <a:ext cx="4057143" cy="4466667"/>
        </a:xfrm>
        <a:prstGeom prst="rect">
          <a:avLst/>
        </a:prstGeom>
      </xdr:spPr>
    </xdr:pic>
    <xdr:clientData/>
  </xdr:twoCellAnchor>
  <xdr:twoCellAnchor editAs="oneCell">
    <xdr:from>
      <xdr:col>88</xdr:col>
      <xdr:colOff>47625</xdr:colOff>
      <xdr:row>58</xdr:row>
      <xdr:rowOff>133350</xdr:rowOff>
    </xdr:from>
    <xdr:to>
      <xdr:col>98</xdr:col>
      <xdr:colOff>304800</xdr:colOff>
      <xdr:row>93</xdr:row>
      <xdr:rowOff>50714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2253113-FFF2-491F-8043-BAA93EA1A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4416325" y="11182350"/>
          <a:ext cx="6353175" cy="6584864"/>
        </a:xfrm>
        <a:prstGeom prst="rect">
          <a:avLst/>
        </a:prstGeom>
      </xdr:spPr>
    </xdr:pic>
    <xdr:clientData/>
  </xdr:twoCellAnchor>
  <xdr:twoCellAnchor editAs="oneCell">
    <xdr:from>
      <xdr:col>88</xdr:col>
      <xdr:colOff>66675</xdr:colOff>
      <xdr:row>26</xdr:row>
      <xdr:rowOff>104774</xdr:rowOff>
    </xdr:from>
    <xdr:to>
      <xdr:col>98</xdr:col>
      <xdr:colOff>428625</xdr:colOff>
      <xdr:row>56</xdr:row>
      <xdr:rowOff>151515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5C3285F-452E-47CF-81CD-BFBFA80B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4435375" y="5057774"/>
          <a:ext cx="6457950" cy="576174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34</xdr:row>
      <xdr:rowOff>171450</xdr:rowOff>
    </xdr:from>
    <xdr:to>
      <xdr:col>10</xdr:col>
      <xdr:colOff>485028</xdr:colOff>
      <xdr:row>65</xdr:row>
      <xdr:rowOff>113569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6648450"/>
          <a:ext cx="5980953" cy="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11</xdr:col>
      <xdr:colOff>284953</xdr:colOff>
      <xdr:row>33</xdr:row>
      <xdr:rowOff>161167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1000"/>
          <a:ext cx="6380953" cy="606666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82</xdr:row>
      <xdr:rowOff>19050</xdr:rowOff>
    </xdr:from>
    <xdr:to>
      <xdr:col>23</xdr:col>
      <xdr:colOff>523048</xdr:colOff>
      <xdr:row>120</xdr:row>
      <xdr:rowOff>8622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15640050"/>
          <a:ext cx="6619048" cy="722857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22</xdr:col>
      <xdr:colOff>304077</xdr:colOff>
      <xdr:row>41</xdr:row>
      <xdr:rowOff>122858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24800" y="190500"/>
          <a:ext cx="5790477" cy="774285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</xdr:row>
      <xdr:rowOff>0</xdr:rowOff>
    </xdr:from>
    <xdr:to>
      <xdr:col>23</xdr:col>
      <xdr:colOff>484953</xdr:colOff>
      <xdr:row>80</xdr:row>
      <xdr:rowOff>27691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24800" y="8191500"/>
          <a:ext cx="6580953" cy="70761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122</xdr:row>
      <xdr:rowOff>0</xdr:rowOff>
    </xdr:from>
    <xdr:to>
      <xdr:col>21</xdr:col>
      <xdr:colOff>208915</xdr:colOff>
      <xdr:row>157</xdr:row>
      <xdr:rowOff>180120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0" y="23241000"/>
          <a:ext cx="5085715" cy="684762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160</xdr:row>
      <xdr:rowOff>0</xdr:rowOff>
    </xdr:from>
    <xdr:to>
      <xdr:col>22</xdr:col>
      <xdr:colOff>227886</xdr:colOff>
      <xdr:row>190</xdr:row>
      <xdr:rowOff>104048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00" y="30480000"/>
          <a:ext cx="5714286" cy="581904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192</xdr:row>
      <xdr:rowOff>0</xdr:rowOff>
    </xdr:from>
    <xdr:to>
      <xdr:col>23</xdr:col>
      <xdr:colOff>380191</xdr:colOff>
      <xdr:row>226</xdr:row>
      <xdr:rowOff>56334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0" y="36576000"/>
          <a:ext cx="6476191" cy="653333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228</xdr:row>
      <xdr:rowOff>0</xdr:rowOff>
    </xdr:from>
    <xdr:to>
      <xdr:col>22</xdr:col>
      <xdr:colOff>599315</xdr:colOff>
      <xdr:row>259</xdr:row>
      <xdr:rowOff>8786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24800" y="43434000"/>
          <a:ext cx="6085715" cy="591428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261</xdr:row>
      <xdr:rowOff>0</xdr:rowOff>
    </xdr:from>
    <xdr:to>
      <xdr:col>22</xdr:col>
      <xdr:colOff>551696</xdr:colOff>
      <xdr:row>290</xdr:row>
      <xdr:rowOff>123119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24800" y="49720500"/>
          <a:ext cx="6038096" cy="5647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0</xdr:colOff>
      <xdr:row>19</xdr:row>
      <xdr:rowOff>0</xdr:rowOff>
    </xdr:from>
    <xdr:to>
      <xdr:col>50</xdr:col>
      <xdr:colOff>380302</xdr:colOff>
      <xdr:row>45</xdr:row>
      <xdr:rowOff>174619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59B451-59CE-45C2-ADCD-D46823F17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97825" y="4352925"/>
          <a:ext cx="5580952" cy="5123809"/>
        </a:xfrm>
        <a:prstGeom prst="rect">
          <a:avLst/>
        </a:prstGeom>
      </xdr:spPr>
    </xdr:pic>
    <xdr:clientData/>
  </xdr:twoCellAnchor>
  <xdr:oneCellAnchor>
    <xdr:from>
      <xdr:col>138</xdr:col>
      <xdr:colOff>85725</xdr:colOff>
      <xdr:row>2</xdr:row>
      <xdr:rowOff>85725</xdr:rowOff>
    </xdr:from>
    <xdr:ext cx="2657143" cy="438095"/>
    <xdr:pic>
      <xdr:nvPicPr>
        <xdr:cNvPr id="6" name="Picture 5">
          <a:extLst>
            <a:ext uri="{FF2B5EF4-FFF2-40B4-BE49-F238E27FC236}">
              <a16:creationId xmlns:a16="http://schemas.microsoft.com/office/drawing/2014/main" id="{20A8F12D-E857-47AA-ACCE-2D5052001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90275" y="485775"/>
          <a:ext cx="2657143" cy="438095"/>
        </a:xfrm>
        <a:prstGeom prst="rect">
          <a:avLst/>
        </a:prstGeom>
      </xdr:spPr>
    </xdr:pic>
    <xdr:clientData/>
  </xdr:oneCellAnchor>
  <xdr:oneCellAnchor>
    <xdr:from>
      <xdr:col>142</xdr:col>
      <xdr:colOff>514350</xdr:colOff>
      <xdr:row>2</xdr:row>
      <xdr:rowOff>85725</xdr:rowOff>
    </xdr:from>
    <xdr:ext cx="3457143" cy="438095"/>
    <xdr:pic>
      <xdr:nvPicPr>
        <xdr:cNvPr id="7" name="Picture 6">
          <a:extLst>
            <a:ext uri="{FF2B5EF4-FFF2-40B4-BE49-F238E27FC236}">
              <a16:creationId xmlns:a16="http://schemas.microsoft.com/office/drawing/2014/main" id="{3E9379F4-991A-49D9-A700-8C9C6B506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457300" y="485775"/>
          <a:ext cx="3457143" cy="438095"/>
        </a:xfrm>
        <a:prstGeom prst="rect">
          <a:avLst/>
        </a:prstGeom>
      </xdr:spPr>
    </xdr:pic>
    <xdr:clientData/>
  </xdr:oneCellAnchor>
  <xdr:oneCellAnchor>
    <xdr:from>
      <xdr:col>148</xdr:col>
      <xdr:colOff>581025</xdr:colOff>
      <xdr:row>2</xdr:row>
      <xdr:rowOff>95250</xdr:rowOff>
    </xdr:from>
    <xdr:ext cx="1409524" cy="219048"/>
    <xdr:pic>
      <xdr:nvPicPr>
        <xdr:cNvPr id="8" name="Picture 7">
          <a:extLst>
            <a:ext uri="{FF2B5EF4-FFF2-40B4-BE49-F238E27FC236}">
              <a16:creationId xmlns:a16="http://schemas.microsoft.com/office/drawing/2014/main" id="{8DB42024-FF15-46F8-BB4D-FE7C16F8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181575" y="495300"/>
          <a:ext cx="1409524" cy="219048"/>
        </a:xfrm>
        <a:prstGeom prst="rect">
          <a:avLst/>
        </a:prstGeom>
      </xdr:spPr>
    </xdr:pic>
    <xdr:clientData/>
  </xdr:oneCellAnchor>
  <xdr:twoCellAnchor editAs="oneCell">
    <xdr:from>
      <xdr:col>138</xdr:col>
      <xdr:colOff>228600</xdr:colOff>
      <xdr:row>2</xdr:row>
      <xdr:rowOff>666750</xdr:rowOff>
    </xdr:from>
    <xdr:to>
      <xdr:col>150</xdr:col>
      <xdr:colOff>326733</xdr:colOff>
      <xdr:row>2</xdr:row>
      <xdr:rowOff>822940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4C951C-564D-449A-ACD2-13D04F38C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733150" y="1066800"/>
          <a:ext cx="7419048" cy="161905"/>
        </a:xfrm>
        <a:prstGeom prst="rect">
          <a:avLst/>
        </a:prstGeom>
      </xdr:spPr>
    </xdr:pic>
    <xdr:clientData/>
  </xdr:twoCellAnchor>
  <xdr:twoCellAnchor editAs="oneCell">
    <xdr:from>
      <xdr:col>169</xdr:col>
      <xdr:colOff>104775</xdr:colOff>
      <xdr:row>3</xdr:row>
      <xdr:rowOff>76200</xdr:rowOff>
    </xdr:from>
    <xdr:to>
      <xdr:col>178</xdr:col>
      <xdr:colOff>514350</xdr:colOff>
      <xdr:row>33</xdr:row>
      <xdr:rowOff>164370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D2C9FAD-1B2E-4D9C-9983-A16AEAB1C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506925" y="1381125"/>
          <a:ext cx="5895975" cy="5806980"/>
        </a:xfrm>
        <a:prstGeom prst="rect">
          <a:avLst/>
        </a:prstGeom>
      </xdr:spPr>
    </xdr:pic>
    <xdr:clientData/>
  </xdr:twoCellAnchor>
  <xdr:twoCellAnchor editAs="oneCell">
    <xdr:from>
      <xdr:col>169</xdr:col>
      <xdr:colOff>190500</xdr:colOff>
      <xdr:row>34</xdr:row>
      <xdr:rowOff>104775</xdr:rowOff>
    </xdr:from>
    <xdr:to>
      <xdr:col>178</xdr:col>
      <xdr:colOff>438150</xdr:colOff>
      <xdr:row>65</xdr:row>
      <xdr:rowOff>91974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80F9F34-2BAB-4CD1-A61F-E5E136A18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592650" y="7334250"/>
          <a:ext cx="5734050" cy="5892699"/>
        </a:xfrm>
        <a:prstGeom prst="rect">
          <a:avLst/>
        </a:prstGeom>
      </xdr:spPr>
    </xdr:pic>
    <xdr:clientData/>
  </xdr:twoCellAnchor>
  <xdr:twoCellAnchor editAs="oneCell">
    <xdr:from>
      <xdr:col>169</xdr:col>
      <xdr:colOff>85726</xdr:colOff>
      <xdr:row>66</xdr:row>
      <xdr:rowOff>123825</xdr:rowOff>
    </xdr:from>
    <xdr:to>
      <xdr:col>178</xdr:col>
      <xdr:colOff>379604</xdr:colOff>
      <xdr:row>92</xdr:row>
      <xdr:rowOff>91440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8EF174C-81B2-4DB6-929D-7C92698B3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487876" y="13449300"/>
          <a:ext cx="5780278" cy="4914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lcfrb.gen.wa.us/librarysalmonrecovery" TargetMode="External"/><Relationship Id="rId13" Type="http://schemas.openxmlformats.org/officeDocument/2006/relationships/hyperlink" Target="https://www.lcfrb.gen.wa.us/librarysalmonrecovery" TargetMode="External"/><Relationship Id="rId18" Type="http://schemas.openxmlformats.org/officeDocument/2006/relationships/hyperlink" Target="https://www.lcfrb.gen.wa.us/librarysalmonrecovery" TargetMode="External"/><Relationship Id="rId26" Type="http://schemas.openxmlformats.org/officeDocument/2006/relationships/hyperlink" Target="https://www.dfw.state.or.us/fish/crp/conservation_recovery_plans.asp" TargetMode="External"/><Relationship Id="rId39" Type="http://schemas.openxmlformats.org/officeDocument/2006/relationships/hyperlink" Target="https://www.nwcouncil.org/sites/default/files/TechFoundationVolumeII.pdf" TargetMode="External"/><Relationship Id="rId3" Type="http://schemas.openxmlformats.org/officeDocument/2006/relationships/hyperlink" Target="https://www.lcfrb.gen.wa.us/librarysalmonrecovery" TargetMode="External"/><Relationship Id="rId21" Type="http://schemas.openxmlformats.org/officeDocument/2006/relationships/hyperlink" Target="https://www.lcfrb.gen.wa.us/librarysalmonrecovery" TargetMode="External"/><Relationship Id="rId34" Type="http://schemas.openxmlformats.org/officeDocument/2006/relationships/hyperlink" Target="https://www.westcoast.fisheries.noaa.gov/columbia_river/index.html" TargetMode="External"/><Relationship Id="rId42" Type="http://schemas.openxmlformats.org/officeDocument/2006/relationships/hyperlink" Target="https://www.dfw.state.or.us/fish/crp/conservation_recovery_plans.asp" TargetMode="External"/><Relationship Id="rId47" Type="http://schemas.openxmlformats.org/officeDocument/2006/relationships/comments" Target="../comments4.xml"/><Relationship Id="rId7" Type="http://schemas.openxmlformats.org/officeDocument/2006/relationships/hyperlink" Target="http://www.odfwrecoverytracker.org/" TargetMode="External"/><Relationship Id="rId12" Type="http://schemas.openxmlformats.org/officeDocument/2006/relationships/hyperlink" Target="https://www.lcfrb.gen.wa.us/librarysalmonrecovery" TargetMode="External"/><Relationship Id="rId17" Type="http://schemas.openxmlformats.org/officeDocument/2006/relationships/hyperlink" Target="https://www.lcfrb.gen.wa.us/librarysalmonrecovery" TargetMode="External"/><Relationship Id="rId25" Type="http://schemas.openxmlformats.org/officeDocument/2006/relationships/hyperlink" Target="https://www.dfw.state.or.us/fish/crp/conservation_recovery_plans.asp" TargetMode="External"/><Relationship Id="rId33" Type="http://schemas.openxmlformats.org/officeDocument/2006/relationships/hyperlink" Target="https://www.westcoast.fisheries.noaa.gov/columbia_river/index.html" TargetMode="External"/><Relationship Id="rId38" Type="http://schemas.openxmlformats.org/officeDocument/2006/relationships/hyperlink" Target="https://www.nwcouncil.org/sites/default/files/TechFoundationVolumeII.pdf" TargetMode="External"/><Relationship Id="rId46" Type="http://schemas.openxmlformats.org/officeDocument/2006/relationships/vmlDrawing" Target="../drawings/vmlDrawing4.vml"/><Relationship Id="rId2" Type="http://schemas.openxmlformats.org/officeDocument/2006/relationships/hyperlink" Target="https://fortress.wa.gov/dfw/score/score" TargetMode="External"/><Relationship Id="rId16" Type="http://schemas.openxmlformats.org/officeDocument/2006/relationships/hyperlink" Target="https://www.lcfrb.gen.wa.us/librarysalmonrecovery" TargetMode="External"/><Relationship Id="rId20" Type="http://schemas.openxmlformats.org/officeDocument/2006/relationships/hyperlink" Target="https://www.lcfrb.gen.wa.us/librarysalmonrecovery" TargetMode="External"/><Relationship Id="rId29" Type="http://schemas.openxmlformats.org/officeDocument/2006/relationships/hyperlink" Target="https://www.westcoast.fisheries.noaa.gov/columbia_river/index.html" TargetMode="External"/><Relationship Id="rId41" Type="http://schemas.openxmlformats.org/officeDocument/2006/relationships/hyperlink" Target="https://www.nwcouncil.org/sites/default/files/TechFoundationVolumeII.pdf" TargetMode="External"/><Relationship Id="rId1" Type="http://schemas.openxmlformats.org/officeDocument/2006/relationships/hyperlink" Target="https://fortress.wa.gov/dfw/score/score" TargetMode="External"/><Relationship Id="rId6" Type="http://schemas.openxmlformats.org/officeDocument/2006/relationships/hyperlink" Target="https://www.lcfrb.gen.wa.us/librarysalmonrecovery" TargetMode="External"/><Relationship Id="rId11" Type="http://schemas.openxmlformats.org/officeDocument/2006/relationships/hyperlink" Target="https://www.lcfrb.gen.wa.us/librarysalmonrecovery" TargetMode="External"/><Relationship Id="rId24" Type="http://schemas.openxmlformats.org/officeDocument/2006/relationships/hyperlink" Target="https://www.lcfrb.gen.wa.us/librarysalmonrecovery" TargetMode="External"/><Relationship Id="rId32" Type="http://schemas.openxmlformats.org/officeDocument/2006/relationships/hyperlink" Target="https://www.westcoast.fisheries.noaa.gov/columbia_river/index.html" TargetMode="External"/><Relationship Id="rId37" Type="http://schemas.openxmlformats.org/officeDocument/2006/relationships/hyperlink" Target="https://www.nwcouncil.org/sites/default/files/TechFoundationVolumeII.pdf" TargetMode="External"/><Relationship Id="rId40" Type="http://schemas.openxmlformats.org/officeDocument/2006/relationships/hyperlink" Target="https://www.nwcouncil.org/sites/default/files/TechFoundationVolumeII.pdf" TargetMode="External"/><Relationship Id="rId45" Type="http://schemas.openxmlformats.org/officeDocument/2006/relationships/printerSettings" Target="../printerSettings/printerSettings4.bin"/><Relationship Id="rId5" Type="http://schemas.openxmlformats.org/officeDocument/2006/relationships/hyperlink" Target="http://www.odfwrecoverytracker.org/" TargetMode="External"/><Relationship Id="rId15" Type="http://schemas.openxmlformats.org/officeDocument/2006/relationships/hyperlink" Target="https://app.nwcouncil.org/ext/maps/AFObjPrograms/" TargetMode="External"/><Relationship Id="rId23" Type="http://schemas.openxmlformats.org/officeDocument/2006/relationships/hyperlink" Target="https://www.dfw.state.or.us/fish/crp/conservation_recovery_plans.asp" TargetMode="External"/><Relationship Id="rId28" Type="http://schemas.openxmlformats.org/officeDocument/2006/relationships/hyperlink" Target="https://www.westcoast.fisheries.noaa.gov/columbia_river/index.html" TargetMode="External"/><Relationship Id="rId36" Type="http://schemas.openxmlformats.org/officeDocument/2006/relationships/hyperlink" Target="https://www.nwcouncil.org/sites/default/files/TechFoundationVolumeII.pdf" TargetMode="External"/><Relationship Id="rId10" Type="http://schemas.openxmlformats.org/officeDocument/2006/relationships/hyperlink" Target="https://www.lcfrb.gen.wa.us/librarysalmonrecovery" TargetMode="External"/><Relationship Id="rId19" Type="http://schemas.openxmlformats.org/officeDocument/2006/relationships/hyperlink" Target="https://www.lcfrb.gen.wa.us/librarysalmonrecovery" TargetMode="External"/><Relationship Id="rId31" Type="http://schemas.openxmlformats.org/officeDocument/2006/relationships/hyperlink" Target="https://www.westcoast.fisheries.noaa.gov/columbia_river/index.html" TargetMode="External"/><Relationship Id="rId44" Type="http://schemas.openxmlformats.org/officeDocument/2006/relationships/hyperlink" Target="https://www.dfw.state.or.us/fish/crp/conservation_recovery_plans.asp" TargetMode="External"/><Relationship Id="rId4" Type="http://schemas.openxmlformats.org/officeDocument/2006/relationships/hyperlink" Target="https://wdfw.wa.gov/search.php?q=hatchery+escapement+reportsw&amp;x=0&amp;y=0%20&amp;" TargetMode="External"/><Relationship Id="rId9" Type="http://schemas.openxmlformats.org/officeDocument/2006/relationships/hyperlink" Target="https://www.lcfrb.gen.wa.us/librarysalmonrecovery" TargetMode="External"/><Relationship Id="rId14" Type="http://schemas.openxmlformats.org/officeDocument/2006/relationships/hyperlink" Target="https://wdfw.wa.gov/search.php?q=hatchery+escapement+reportsw&amp;x=0&amp;y=0%20&amp;" TargetMode="External"/><Relationship Id="rId22" Type="http://schemas.openxmlformats.org/officeDocument/2006/relationships/hyperlink" Target="https://www.dfw.state.or.us/fish/crp/conservation_recovery_plans.asp" TargetMode="External"/><Relationship Id="rId27" Type="http://schemas.openxmlformats.org/officeDocument/2006/relationships/hyperlink" Target="https://www.westcoast.fisheries.noaa.gov/columbia_river/index.html" TargetMode="External"/><Relationship Id="rId30" Type="http://schemas.openxmlformats.org/officeDocument/2006/relationships/hyperlink" Target="https://www.westcoast.fisheries.noaa.gov/columbia_river/index.html" TargetMode="External"/><Relationship Id="rId35" Type="http://schemas.openxmlformats.org/officeDocument/2006/relationships/hyperlink" Target="https://www.westcoast.fisheries.noaa.gov/columbia_river/index.html" TargetMode="External"/><Relationship Id="rId43" Type="http://schemas.openxmlformats.org/officeDocument/2006/relationships/hyperlink" Target="https://www.westcoast.fisheries.noaa.gov/columbia_river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84"/>
  <sheetViews>
    <sheetView topLeftCell="F1" zoomScale="80" zoomScaleNormal="80" workbookViewId="0">
      <selection activeCell="AC27" sqref="AC27"/>
    </sheetView>
  </sheetViews>
  <sheetFormatPr defaultRowHeight="14.4" x14ac:dyDescent="0.3"/>
  <cols>
    <col min="1" max="1" width="1.109375" customWidth="1"/>
    <col min="2" max="12" width="8.6640625" customWidth="1"/>
    <col min="13" max="13" width="12.33203125" customWidth="1"/>
    <col min="14" max="14" width="4.44140625" customWidth="1"/>
    <col min="15" max="16" width="8.6640625" customWidth="1"/>
    <col min="17" max="17" width="1.109375" customWidth="1"/>
    <col min="18" max="18" width="4.5546875" style="1" customWidth="1"/>
    <col min="19" max="19" width="5.6640625" customWidth="1"/>
    <col min="20" max="20" width="22.88671875" customWidth="1"/>
    <col min="21" max="21" width="12.21875" customWidth="1"/>
    <col min="22" max="22" width="11.21875" customWidth="1"/>
    <col min="23" max="23" width="11.5546875" customWidth="1"/>
    <col min="24" max="24" width="11.33203125" customWidth="1"/>
    <col min="25" max="25" width="12.88671875" customWidth="1"/>
    <col min="26" max="26" width="10.77734375" customWidth="1"/>
    <col min="27" max="27" width="1.88671875" style="1" customWidth="1"/>
    <col min="28" max="28" width="10.88671875" customWidth="1"/>
  </cols>
  <sheetData>
    <row r="1" spans="1:32" s="43" customFormat="1" ht="18" x14ac:dyDescent="0.35">
      <c r="A1" s="296"/>
      <c r="B1" s="296" t="s">
        <v>45</v>
      </c>
      <c r="C1" s="296"/>
      <c r="D1" s="296"/>
      <c r="E1" s="296"/>
      <c r="F1" s="296"/>
      <c r="G1" s="296" t="s">
        <v>12</v>
      </c>
      <c r="H1" s="296"/>
      <c r="I1" s="296"/>
      <c r="J1" s="296"/>
      <c r="K1" s="296" t="s">
        <v>163</v>
      </c>
      <c r="L1" s="296"/>
      <c r="M1" s="296"/>
      <c r="N1" s="296"/>
      <c r="O1" s="296"/>
      <c r="P1" s="296"/>
      <c r="Q1" s="296"/>
      <c r="R1" s="181"/>
      <c r="AA1" s="188"/>
    </row>
    <row r="2" spans="1:32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S2" s="297" t="s">
        <v>17</v>
      </c>
      <c r="T2" s="298"/>
      <c r="U2" s="299" t="s">
        <v>18</v>
      </c>
      <c r="V2" s="300"/>
      <c r="W2" s="299" t="s">
        <v>19</v>
      </c>
      <c r="X2" s="301"/>
      <c r="Y2" s="302"/>
      <c r="Z2" s="1"/>
    </row>
    <row r="3" spans="1:32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06" t="s">
        <v>22</v>
      </c>
      <c r="T3" s="307" t="s">
        <v>23</v>
      </c>
      <c r="U3" s="303" t="s">
        <v>232</v>
      </c>
      <c r="V3" s="304" t="s">
        <v>24</v>
      </c>
      <c r="W3" s="303" t="s">
        <v>25</v>
      </c>
      <c r="X3" s="305" t="s">
        <v>26</v>
      </c>
      <c r="Y3" s="304" t="s">
        <v>27</v>
      </c>
      <c r="Z3" s="1"/>
    </row>
    <row r="4" spans="1:32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S4" s="381" t="s">
        <v>48</v>
      </c>
      <c r="T4" s="77" t="str">
        <f>Spawners!C7</f>
        <v>Upper Cowlitz (WA)</v>
      </c>
      <c r="U4" s="388">
        <f>ROUND(Spawners!DK16,-1)</f>
        <v>150</v>
      </c>
      <c r="V4" s="9">
        <f>Spawners!Q7</f>
        <v>22000</v>
      </c>
      <c r="W4" s="10">
        <f>Spawners!S7</f>
        <v>1800</v>
      </c>
      <c r="X4" s="11">
        <f t="shared" ref="X4:X8" si="0">W4+(Y4-W4)/2</f>
        <v>4100</v>
      </c>
      <c r="Y4" s="12">
        <f>ROUND(Spawners!X7,-2)</f>
        <v>6400</v>
      </c>
      <c r="Z4" s="1"/>
    </row>
    <row r="5" spans="1:32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S5" s="382"/>
      <c r="T5" s="20" t="str">
        <f>Spawners!C8</f>
        <v>Cispus (WA)</v>
      </c>
      <c r="U5" s="389"/>
      <c r="V5" s="16">
        <f>Spawners!Q8</f>
        <v>7800</v>
      </c>
      <c r="W5" s="17">
        <f>Spawners!S8</f>
        <v>1800</v>
      </c>
      <c r="X5" s="18">
        <f t="shared" si="0"/>
        <v>1800</v>
      </c>
      <c r="Y5" s="19">
        <f>ROUND(Spawners!X8,-2)</f>
        <v>1800</v>
      </c>
      <c r="Z5" s="1"/>
      <c r="AD5" s="18">
        <f>W5+W4</f>
        <v>3600</v>
      </c>
      <c r="AE5" s="18">
        <f t="shared" ref="AE5:AF5" si="1">X5+X4</f>
        <v>5900</v>
      </c>
      <c r="AF5" s="18">
        <f t="shared" si="1"/>
        <v>8200</v>
      </c>
    </row>
    <row r="6" spans="1:32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S6" s="382"/>
      <c r="T6" s="20" t="str">
        <f>Spawners!C9</f>
        <v>Tilton (WA)</v>
      </c>
      <c r="U6" s="176">
        <v>0</v>
      </c>
      <c r="V6" s="16">
        <f>Spawners!Q9</f>
        <v>5400</v>
      </c>
      <c r="W6" s="17">
        <f>Spawners!S9</f>
        <v>100</v>
      </c>
      <c r="X6" s="18">
        <f t="shared" si="0"/>
        <v>1650</v>
      </c>
      <c r="Y6" s="19">
        <f>ROUND(Spawners!X9,-2)</f>
        <v>3200</v>
      </c>
      <c r="Z6" s="1"/>
    </row>
    <row r="7" spans="1:32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S7" s="382"/>
      <c r="T7" s="20" t="str">
        <f>Spawners!C10</f>
        <v>Toutle (WA)</v>
      </c>
      <c r="U7" s="176">
        <v>100</v>
      </c>
      <c r="V7" s="16">
        <f>Spawners!Q10</f>
        <v>3100</v>
      </c>
      <c r="W7" s="17">
        <f>Spawners!S10</f>
        <v>1100</v>
      </c>
      <c r="X7" s="18">
        <f t="shared" si="0"/>
        <v>1900</v>
      </c>
      <c r="Y7" s="19">
        <f>ROUND(Spawners!X10,-2)</f>
        <v>2700</v>
      </c>
      <c r="Z7" s="1"/>
    </row>
    <row r="8" spans="1:32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S8" s="382"/>
      <c r="T8" s="20" t="str">
        <f>Spawners!C11</f>
        <v>Kalama (WA)</v>
      </c>
      <c r="U8" s="176">
        <f>ROUND(Spawners!DJ28,-1)</f>
        <v>160</v>
      </c>
      <c r="V8" s="16">
        <f>Spawners!Q11</f>
        <v>4900</v>
      </c>
      <c r="W8" s="17">
        <f>Spawners!S11</f>
        <v>300</v>
      </c>
      <c r="X8" s="18">
        <f t="shared" si="0"/>
        <v>550</v>
      </c>
      <c r="Y8" s="19">
        <f>ROUND(Spawners!X11,-2)</f>
        <v>800</v>
      </c>
      <c r="Z8" s="1"/>
    </row>
    <row r="9" spans="1:32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S9" s="382"/>
      <c r="T9" s="20" t="str">
        <f>Spawners!C12</f>
        <v>NF Lewis (WA)</v>
      </c>
      <c r="U9" s="176">
        <f>ROUND(Spawners!DJ44,-1)</f>
        <v>150</v>
      </c>
      <c r="V9" s="16">
        <f>Spawners!Q12</f>
        <v>15700</v>
      </c>
      <c r="W9" s="17">
        <f>Spawners!S12</f>
        <v>1500</v>
      </c>
      <c r="X9" s="18">
        <f>W9+(Y9-W9)/2</f>
        <v>2300</v>
      </c>
      <c r="Y9" s="19">
        <f>ROUND(Spawners!X12,-2)</f>
        <v>3100</v>
      </c>
      <c r="Z9" s="1"/>
    </row>
    <row r="10" spans="1:32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S10" s="383"/>
      <c r="T10" s="32" t="str">
        <f>Spawners!C13</f>
        <v>Sandy (OR)</v>
      </c>
      <c r="U10" s="177">
        <f>ROUND(Spawners!AN16,-1)</f>
        <v>1560</v>
      </c>
      <c r="V10" s="22">
        <f>ROUND(Spawners!Q13,-2)</f>
        <v>26900</v>
      </c>
      <c r="W10" s="23">
        <f>ROUND(Spawners!S13,-2)</f>
        <v>1200</v>
      </c>
      <c r="X10" s="24">
        <f t="shared" ref="X10:X12" si="2">W10+(Y10-W10)/2</f>
        <v>4550</v>
      </c>
      <c r="Y10" s="25">
        <f>ROUND(Spawners!Y13,-2)</f>
        <v>7900</v>
      </c>
      <c r="Z10" s="1"/>
    </row>
    <row r="11" spans="1:32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S11" s="384" t="s">
        <v>67</v>
      </c>
      <c r="T11" s="77" t="str">
        <f>Spawners!C14</f>
        <v>White Salmon (WA)</v>
      </c>
      <c r="U11" s="178">
        <f>ROUND(Spawners!R14,-1)</f>
        <v>50</v>
      </c>
      <c r="V11" s="9">
        <f>ROUND(Spawners!V14,-2)</f>
        <v>900</v>
      </c>
      <c r="W11" s="10">
        <f>Spawners!S14</f>
        <v>500</v>
      </c>
      <c r="X11" s="11">
        <f t="shared" si="2"/>
        <v>700</v>
      </c>
      <c r="Y11" s="12">
        <f>V11</f>
        <v>900</v>
      </c>
      <c r="Z11" s="1"/>
    </row>
    <row r="12" spans="1:32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S12" s="385"/>
      <c r="T12" s="32" t="str">
        <f>Spawners!C15</f>
        <v>Hood (OR)</v>
      </c>
      <c r="U12" s="177">
        <f>ROUND(Spawners!AE31,-1)</f>
        <v>70</v>
      </c>
      <c r="V12" s="22">
        <f>ROUND(Spawners!Q15,-2)</f>
        <v>15000</v>
      </c>
      <c r="W12" s="17">
        <f>ROUND(Spawners!S15,-2)</f>
        <v>1500</v>
      </c>
      <c r="X12" s="18">
        <f t="shared" si="2"/>
        <v>4000</v>
      </c>
      <c r="Y12" s="19">
        <f>ROUND(Spawners!Y15,-2)</f>
        <v>6500</v>
      </c>
      <c r="Z12" s="1"/>
    </row>
    <row r="13" spans="1:32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S13" s="308" t="s">
        <v>16</v>
      </c>
      <c r="T13" s="309"/>
      <c r="U13" s="310">
        <f>SUM(U4:U12)</f>
        <v>2240</v>
      </c>
      <c r="V13" s="311">
        <f>SUM(V4:V12)</f>
        <v>101700</v>
      </c>
      <c r="W13" s="312">
        <f t="shared" ref="W13:Y13" si="3">SUM(W4:W12)</f>
        <v>9800</v>
      </c>
      <c r="X13" s="313">
        <f t="shared" si="3"/>
        <v>21550</v>
      </c>
      <c r="Y13" s="314">
        <f t="shared" si="3"/>
        <v>33300</v>
      </c>
      <c r="Z13" s="1"/>
    </row>
    <row r="14" spans="1:32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S14" s="1"/>
      <c r="T14" s="1"/>
      <c r="U14" s="386"/>
      <c r="V14" s="387"/>
      <c r="W14" s="334"/>
      <c r="X14" s="145"/>
      <c r="Y14" s="145"/>
      <c r="Z14" s="145"/>
    </row>
    <row r="15" spans="1:32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S15" s="33" t="s">
        <v>38</v>
      </c>
      <c r="T15" s="34"/>
      <c r="U15" s="35" t="s">
        <v>39</v>
      </c>
      <c r="V15" s="36"/>
      <c r="W15" s="36"/>
      <c r="X15" s="179" t="s">
        <v>40</v>
      </c>
      <c r="Y15" s="357" t="s">
        <v>233</v>
      </c>
      <c r="Z15" s="1"/>
    </row>
    <row r="16" spans="1:32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S16" s="342" t="s">
        <v>41</v>
      </c>
      <c r="T16" s="335"/>
      <c r="U16" s="336" t="s">
        <v>42</v>
      </c>
      <c r="V16" s="336" t="s">
        <v>189</v>
      </c>
      <c r="W16" s="336" t="s">
        <v>234</v>
      </c>
      <c r="X16" s="336" t="s">
        <v>29</v>
      </c>
      <c r="Y16" s="358" t="s">
        <v>44</v>
      </c>
      <c r="Z16" s="1"/>
    </row>
    <row r="17" spans="1:29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S17" s="363" t="s">
        <v>484</v>
      </c>
      <c r="T17" s="77" t="s">
        <v>157</v>
      </c>
      <c r="U17" s="39"/>
      <c r="V17" s="167">
        <f>ROUND(1748085,-4)</f>
        <v>1750000</v>
      </c>
      <c r="W17" s="168"/>
      <c r="X17" s="169"/>
      <c r="Y17" s="170">
        <v>3450000</v>
      </c>
      <c r="Z17" s="1"/>
    </row>
    <row r="18" spans="1:29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S18" s="364"/>
      <c r="T18" s="20" t="s">
        <v>159</v>
      </c>
      <c r="U18" s="337"/>
      <c r="V18" s="339">
        <f>ROUND(Hatchery!Q134,-5)</f>
        <v>1000000</v>
      </c>
      <c r="W18" s="339">
        <f>ROUND(Hatchery!R134,-5)</f>
        <v>400000</v>
      </c>
      <c r="X18" s="339"/>
      <c r="Y18" s="171">
        <f>ROUND(Hatchery!S135,-5)</f>
        <v>1800000</v>
      </c>
      <c r="Z18" s="1"/>
    </row>
    <row r="19" spans="1:29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S19" s="364"/>
      <c r="T19" s="20" t="s">
        <v>158</v>
      </c>
      <c r="U19" s="337"/>
      <c r="V19" s="339">
        <v>500000</v>
      </c>
      <c r="W19" s="340"/>
      <c r="X19" s="341"/>
      <c r="Y19" s="171">
        <f>ROUND(Hatchery!AC106,-5)</f>
        <v>500000</v>
      </c>
      <c r="Z19" s="1"/>
    </row>
    <row r="20" spans="1:29" x14ac:dyDescent="0.3">
      <c r="A20" s="1"/>
      <c r="B20" s="1"/>
      <c r="C20" s="1" t="s">
        <v>43</v>
      </c>
      <c r="D20" s="145">
        <f>U13</f>
        <v>2240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S20" s="364"/>
      <c r="T20" s="20" t="s">
        <v>160</v>
      </c>
      <c r="U20" s="338"/>
      <c r="V20" s="339">
        <v>340000</v>
      </c>
      <c r="W20" s="340"/>
      <c r="X20" s="341"/>
      <c r="Y20" s="171">
        <v>340000</v>
      </c>
      <c r="Z20" s="1"/>
    </row>
    <row r="21" spans="1:29" x14ac:dyDescent="0.3">
      <c r="A21" s="1"/>
      <c r="B21" s="1"/>
      <c r="C21" s="1" t="s">
        <v>229</v>
      </c>
      <c r="D21" s="145">
        <f>W13</f>
        <v>9800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S21" s="365"/>
      <c r="T21" s="32" t="s">
        <v>161</v>
      </c>
      <c r="U21" s="24"/>
      <c r="V21" s="166">
        <v>130000</v>
      </c>
      <c r="W21" s="172"/>
      <c r="X21" s="144"/>
      <c r="Y21" s="197">
        <v>250000</v>
      </c>
      <c r="Z21" s="1"/>
      <c r="AB21" s="18"/>
    </row>
    <row r="22" spans="1:29" x14ac:dyDescent="0.3">
      <c r="A22" s="1"/>
      <c r="B22" s="1"/>
      <c r="C22" s="1" t="s">
        <v>230</v>
      </c>
      <c r="D22" s="145">
        <f>X13</f>
        <v>21550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S22" s="343" t="s">
        <v>483</v>
      </c>
      <c r="T22" s="344"/>
      <c r="U22" s="345"/>
      <c r="V22" s="346">
        <f>SUM(V17:V21)</f>
        <v>3720000</v>
      </c>
      <c r="W22" s="346">
        <f>SUM(W17:W21)</f>
        <v>400000</v>
      </c>
      <c r="X22" s="347"/>
      <c r="Y22" s="348">
        <f>SUM(Y17:Y21)</f>
        <v>6340000</v>
      </c>
      <c r="Z22" s="1"/>
    </row>
    <row r="23" spans="1:29" x14ac:dyDescent="0.3">
      <c r="A23" s="1"/>
      <c r="B23" s="1"/>
      <c r="C23" s="1" t="s">
        <v>231</v>
      </c>
      <c r="D23" s="145">
        <f>Y13</f>
        <v>33300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S23" s="390" t="s">
        <v>485</v>
      </c>
      <c r="T23" s="77" t="s">
        <v>331</v>
      </c>
      <c r="U23" s="11"/>
      <c r="V23" s="167">
        <v>1000000</v>
      </c>
      <c r="W23" s="168"/>
      <c r="X23" s="169"/>
      <c r="Y23" s="170">
        <v>1000000</v>
      </c>
      <c r="Z23" s="1"/>
    </row>
    <row r="24" spans="1:29" x14ac:dyDescent="0.3">
      <c r="A24" s="1"/>
      <c r="B24" s="1"/>
      <c r="C24" s="1" t="s">
        <v>24</v>
      </c>
      <c r="D24" s="145">
        <f>V13</f>
        <v>101700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S24" s="391"/>
      <c r="T24" s="20" t="s">
        <v>332</v>
      </c>
      <c r="U24" s="349"/>
      <c r="V24" s="339">
        <v>1170000</v>
      </c>
      <c r="W24" s="340"/>
      <c r="X24" s="341"/>
      <c r="Y24" s="171">
        <v>1170000</v>
      </c>
      <c r="Z24" s="1"/>
    </row>
    <row r="25" spans="1:29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S25" s="392"/>
      <c r="T25" s="32" t="s">
        <v>162</v>
      </c>
      <c r="U25" s="24"/>
      <c r="V25" s="166">
        <f>ROUND(150000,-4)</f>
        <v>150000</v>
      </c>
      <c r="W25" s="172"/>
      <c r="X25" s="144"/>
      <c r="Y25" s="197">
        <f>ROUND(250000,-4)</f>
        <v>250000</v>
      </c>
      <c r="Z25" s="1"/>
    </row>
    <row r="26" spans="1:29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S26" s="343" t="s">
        <v>483</v>
      </c>
      <c r="T26" s="335"/>
      <c r="U26" s="350"/>
      <c r="V26" s="351">
        <f>SUM(V23:V25)</f>
        <v>2320000</v>
      </c>
      <c r="W26" s="351">
        <f>SUM(W23:W25)</f>
        <v>0</v>
      </c>
      <c r="X26" s="352"/>
      <c r="Y26" s="353">
        <f>SUM(Y23:Y25)</f>
        <v>2420000</v>
      </c>
      <c r="Z26" s="1"/>
    </row>
    <row r="27" spans="1:29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S27" s="354" t="s">
        <v>13</v>
      </c>
      <c r="T27" s="355"/>
      <c r="U27" s="356"/>
      <c r="V27" s="356">
        <f>V26+V22</f>
        <v>6040000</v>
      </c>
      <c r="W27" s="356">
        <f>W26+W22</f>
        <v>400000</v>
      </c>
      <c r="X27" s="356"/>
      <c r="Y27" s="359">
        <f>Y26+Y22</f>
        <v>8760000</v>
      </c>
      <c r="Z27" s="146"/>
    </row>
    <row r="28" spans="1:29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S28" s="1"/>
      <c r="T28" s="1"/>
      <c r="U28" s="1"/>
      <c r="V28" s="1"/>
      <c r="W28" s="1"/>
      <c r="X28" s="1"/>
      <c r="Y28" s="1"/>
      <c r="Z28" s="1"/>
    </row>
    <row r="29" spans="1:29" ht="1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S29" s="3" t="s">
        <v>20</v>
      </c>
      <c r="T29" s="182"/>
      <c r="U29" s="184" t="s">
        <v>21</v>
      </c>
      <c r="V29" s="185"/>
      <c r="W29" s="185"/>
      <c r="X29" s="186"/>
      <c r="Y29" s="185" t="s">
        <v>212</v>
      </c>
      <c r="Z29" s="187"/>
    </row>
    <row r="30" spans="1:29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S30" s="6"/>
      <c r="T30" s="199" t="s">
        <v>28</v>
      </c>
      <c r="U30" s="7" t="s">
        <v>316</v>
      </c>
      <c r="V30" s="7" t="s">
        <v>317</v>
      </c>
      <c r="W30" s="7" t="s">
        <v>235</v>
      </c>
      <c r="X30" s="8" t="s">
        <v>236</v>
      </c>
      <c r="Y30" s="7" t="s">
        <v>232</v>
      </c>
      <c r="Z30" s="8" t="s">
        <v>236</v>
      </c>
    </row>
    <row r="31" spans="1:29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S31" s="372" t="s">
        <v>211</v>
      </c>
      <c r="T31" s="291" t="s">
        <v>402</v>
      </c>
      <c r="U31" s="263">
        <f>ROUND(Run!EH61/100,3)</f>
        <v>4.1000000000000002E-2</v>
      </c>
      <c r="V31" s="264" t="s">
        <v>164</v>
      </c>
      <c r="W31" s="375" t="str">
        <f>W37</f>
        <v>10-40%</v>
      </c>
      <c r="X31" s="360" t="str">
        <f>X37</f>
        <v>20-50%</v>
      </c>
      <c r="Y31" s="15">
        <f>Run!EX61</f>
        <v>108.99549642820135</v>
      </c>
      <c r="Z31" s="368">
        <f>ROUND(Conv!J9,-3)</f>
        <v>6000</v>
      </c>
    </row>
    <row r="32" spans="1:29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S32" s="373"/>
      <c r="T32" s="292" t="s">
        <v>403</v>
      </c>
      <c r="U32" s="263">
        <f>ROUND(Run!EI61/100,3)</f>
        <v>2.5000000000000001E-2</v>
      </c>
      <c r="V32" s="14" t="s">
        <v>164</v>
      </c>
      <c r="W32" s="376"/>
      <c r="X32" s="361"/>
      <c r="Y32" s="15">
        <f>Run!EY61</f>
        <v>60.484919101494555</v>
      </c>
      <c r="Z32" s="369"/>
      <c r="AC32" s="173">
        <f>SUM(U31:U33)</f>
        <v>8.7999999999999995E-2</v>
      </c>
    </row>
    <row r="33" spans="1:27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S33" s="373"/>
      <c r="T33" s="292" t="s">
        <v>404</v>
      </c>
      <c r="U33" s="263">
        <f>ROUND(Run!EJ61/100,3)</f>
        <v>2.1999999999999999E-2</v>
      </c>
      <c r="V33" s="14" t="s">
        <v>164</v>
      </c>
      <c r="W33" s="376"/>
      <c r="X33" s="361"/>
      <c r="Y33" s="15">
        <f>Run!EZ61</f>
        <v>63.018690979926099</v>
      </c>
      <c r="Z33" s="369"/>
    </row>
    <row r="34" spans="1:27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S34" s="373"/>
      <c r="T34" s="20" t="s">
        <v>30</v>
      </c>
      <c r="U34" s="267">
        <f>ROUND(V34*(1-SUM(U$31:U$33)),3)</f>
        <v>2E-3</v>
      </c>
      <c r="V34" s="13">
        <f>Run!DQ41</f>
        <v>2.5081867706787911E-3</v>
      </c>
      <c r="W34" s="376"/>
      <c r="X34" s="361"/>
      <c r="Y34" s="15">
        <f>Run!DM41</f>
        <v>6.7267552539869726</v>
      </c>
      <c r="Z34" s="370">
        <f>ROUND(Conv!F9,-3)</f>
        <v>21000</v>
      </c>
    </row>
    <row r="35" spans="1:27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S35" s="373"/>
      <c r="T35" s="293" t="s">
        <v>31</v>
      </c>
      <c r="U35" s="13">
        <f>ROUND(V35*(1-SUM(U$31:U$33)),3)</f>
        <v>1E-3</v>
      </c>
      <c r="V35" s="21">
        <f>Run!DP41</f>
        <v>9.5249875270750903E-4</v>
      </c>
      <c r="W35" s="376"/>
      <c r="X35" s="361"/>
      <c r="Y35" s="15">
        <f>Run!DL41</f>
        <v>2.2495660261844916</v>
      </c>
      <c r="Z35" s="369"/>
    </row>
    <row r="36" spans="1:27" ht="1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S36" s="373"/>
      <c r="T36" s="293" t="s">
        <v>452</v>
      </c>
      <c r="U36" s="13">
        <f>ROUND(V36*(1-SUM(U$31:U$33)),3)</f>
        <v>7.6999999999999999E-2</v>
      </c>
      <c r="V36" s="21">
        <f>Run!DR41</f>
        <v>8.445699092402717E-2</v>
      </c>
      <c r="W36" s="377"/>
      <c r="X36" s="362"/>
      <c r="Y36" s="294">
        <f>Run!DN41</f>
        <v>191.39182999999997</v>
      </c>
      <c r="Z36" s="371"/>
    </row>
    <row r="37" spans="1:27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S37" s="374"/>
      <c r="T37" s="26" t="s">
        <v>13</v>
      </c>
      <c r="U37" s="268">
        <f>SUM(U31:U36)</f>
        <v>0.16799999999999998</v>
      </c>
      <c r="V37" s="266">
        <f>SUM(V34:V36)</f>
        <v>8.7917676447413468E-2</v>
      </c>
      <c r="W37" s="27" t="s">
        <v>237</v>
      </c>
      <c r="X37" s="183" t="s">
        <v>238</v>
      </c>
      <c r="Y37" s="28">
        <f>SUM(Y31:Y36)</f>
        <v>432.86725778979343</v>
      </c>
      <c r="Z37" s="288">
        <f>SUM(Z31:Z36)</f>
        <v>27000</v>
      </c>
      <c r="AA37" s="124"/>
    </row>
    <row r="38" spans="1:27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S38" s="372" t="s">
        <v>14</v>
      </c>
      <c r="T38" s="247" t="s">
        <v>402</v>
      </c>
      <c r="U38" s="263">
        <f>ROUND(Run!EH61/100,3)</f>
        <v>4.1000000000000002E-2</v>
      </c>
      <c r="V38" s="264" t="s">
        <v>164</v>
      </c>
      <c r="W38" s="378" t="s">
        <v>482</v>
      </c>
      <c r="X38" s="378" t="s">
        <v>482</v>
      </c>
      <c r="Y38" s="15">
        <f>Run!EP61</f>
        <v>736.2545714298742</v>
      </c>
      <c r="Z38" s="368">
        <f>ROUND(Conv!G18,-3)</f>
        <v>2000</v>
      </c>
      <c r="AA38" s="124"/>
    </row>
    <row r="39" spans="1:27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S39" s="373"/>
      <c r="T39" s="248" t="s">
        <v>403</v>
      </c>
      <c r="U39" s="263">
        <f>ROUND(Run!EI61/100,3)</f>
        <v>2.5000000000000001E-2</v>
      </c>
      <c r="V39" s="14" t="s">
        <v>164</v>
      </c>
      <c r="W39" s="379"/>
      <c r="X39" s="379"/>
      <c r="Y39" s="15">
        <f>Run!EQ61</f>
        <v>373.41484123791389</v>
      </c>
      <c r="Z39" s="369"/>
    </row>
    <row r="40" spans="1:27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S40" s="373"/>
      <c r="T40" s="248" t="s">
        <v>404</v>
      </c>
      <c r="U40" s="263">
        <f>ROUND(Run!EJ61/100,3)</f>
        <v>2.1999999999999999E-2</v>
      </c>
      <c r="V40" s="14" t="s">
        <v>164</v>
      </c>
      <c r="W40" s="379"/>
      <c r="X40" s="379"/>
      <c r="Y40" s="15">
        <f>Run!ER61</f>
        <v>495.22815932473623</v>
      </c>
      <c r="Z40" s="369"/>
    </row>
    <row r="41" spans="1:27" ht="1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S41" s="373"/>
      <c r="T41" s="20" t="s">
        <v>30</v>
      </c>
      <c r="U41" s="267">
        <f>ROUND(V41*(1-SUM(U$38:U$40)),3)</f>
        <v>2.1999999999999999E-2</v>
      </c>
      <c r="V41" s="13">
        <f>Run!DY41</f>
        <v>2.4255938826811763E-2</v>
      </c>
      <c r="W41" s="379"/>
      <c r="X41" s="379"/>
      <c r="Y41" s="15">
        <f>Run!DU41</f>
        <v>435.7332609396376</v>
      </c>
      <c r="Z41" s="370">
        <f>ROUND(Conv!K18,-3)</f>
        <v>13000</v>
      </c>
    </row>
    <row r="42" spans="1:27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S42" s="373"/>
      <c r="T42" s="262" t="s">
        <v>31</v>
      </c>
      <c r="U42" s="267">
        <f>ROUND(V42*(1-SUM(U$38:U$40)),3)</f>
        <v>8.0000000000000002E-3</v>
      </c>
      <c r="V42" s="21">
        <f>Run!DX41</f>
        <v>9.1859409734874557E-3</v>
      </c>
      <c r="W42" s="379"/>
      <c r="X42" s="379"/>
      <c r="Y42" s="15">
        <f>Run!DT41</f>
        <v>158.92405275664828</v>
      </c>
      <c r="Z42" s="369"/>
    </row>
    <row r="43" spans="1:27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S43" s="373"/>
      <c r="T43" s="262" t="s">
        <v>452</v>
      </c>
      <c r="U43" s="267">
        <f>ROUND(V43*(1-SUM(U$38:U$40)),3)</f>
        <v>0.221</v>
      </c>
      <c r="V43" s="21">
        <f>Run!DZ41</f>
        <v>0.24237786155504634</v>
      </c>
      <c r="W43" s="380"/>
      <c r="X43" s="380"/>
      <c r="Y43" s="294">
        <f>Run!DV41</f>
        <v>5094.5</v>
      </c>
      <c r="Z43" s="371"/>
    </row>
    <row r="44" spans="1:27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S44" s="374"/>
      <c r="T44" s="26" t="s">
        <v>13</v>
      </c>
      <c r="U44" s="268">
        <f>SUM(U38:U43)</f>
        <v>0.33899999999999997</v>
      </c>
      <c r="V44" s="266">
        <f>SUM(V41:V43)</f>
        <v>0.27581974135534554</v>
      </c>
      <c r="W44" s="27" t="str">
        <f>W38</f>
        <v>≤ 70%</v>
      </c>
      <c r="X44" s="183" t="str">
        <f>X38</f>
        <v>≤ 70%</v>
      </c>
      <c r="Y44" s="28">
        <f>SUM(Y38:Y43)</f>
        <v>7294.0548856888099</v>
      </c>
      <c r="Z44" s="288">
        <f>SUM(Z38:Z43)</f>
        <v>15000</v>
      </c>
    </row>
    <row r="45" spans="1:27" ht="1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S45" s="363" t="s">
        <v>200</v>
      </c>
      <c r="T45" s="229" t="s">
        <v>400</v>
      </c>
      <c r="U45" s="230" t="s">
        <v>164</v>
      </c>
      <c r="V45" s="231">
        <f>ROUND(Run!GJ22,3)</f>
        <v>7.8E-2</v>
      </c>
      <c r="W45" s="39"/>
      <c r="X45" s="232"/>
      <c r="Y45" s="233">
        <f>ROUND(Run!GD22,-2)</f>
        <v>10100</v>
      </c>
      <c r="Z45" s="366">
        <f>Y47*(Y17/V17)</f>
        <v>21882.857142857145</v>
      </c>
    </row>
    <row r="46" spans="1:27" ht="14.4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S46" s="364"/>
      <c r="T46" s="234" t="s">
        <v>401</v>
      </c>
      <c r="U46" s="14" t="s">
        <v>164</v>
      </c>
      <c r="V46" s="235">
        <f>ROUND(Run!GE22,3)</f>
        <v>0.91100000000000003</v>
      </c>
      <c r="W46" s="38"/>
      <c r="X46" s="236"/>
      <c r="Y46" s="237">
        <f>ROUND(Run!GI22,-2)</f>
        <v>1000</v>
      </c>
      <c r="Z46" s="367"/>
    </row>
    <row r="47" spans="1:27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S47" s="365"/>
      <c r="T47" s="26" t="s">
        <v>13</v>
      </c>
      <c r="U47" s="198"/>
      <c r="V47" s="238">
        <f>SUM(V45:V46)</f>
        <v>0.98899999999999999</v>
      </c>
      <c r="W47" s="27"/>
      <c r="X47" s="183"/>
      <c r="Y47" s="28">
        <f>SUM(Y45:Y46)</f>
        <v>11100</v>
      </c>
      <c r="Z47" s="239">
        <f>SUM(Z45:Z46)</f>
        <v>21882.857142857145</v>
      </c>
    </row>
    <row r="48" spans="1:27" ht="1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S48" s="363" t="s">
        <v>423</v>
      </c>
      <c r="T48" s="247" t="s">
        <v>424</v>
      </c>
      <c r="U48" s="295" t="s">
        <v>164</v>
      </c>
      <c r="V48" s="256">
        <f>ROUND(Run!HO22,3)</f>
        <v>0.19700000000000001</v>
      </c>
      <c r="W48" s="39"/>
      <c r="X48" s="232"/>
      <c r="Y48" s="233">
        <f>ROUND(Run!HN22,-2)</f>
        <v>4200</v>
      </c>
      <c r="Z48" s="366">
        <f>SUM(Y48:Y49)</f>
        <v>10400</v>
      </c>
    </row>
    <row r="49" spans="1:30" ht="1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S49" s="364"/>
      <c r="T49" s="249" t="s">
        <v>206</v>
      </c>
      <c r="U49" s="13" t="s">
        <v>164</v>
      </c>
      <c r="V49" s="250">
        <f>ROUND(Run!HL22,3)</f>
        <v>0.34599999999999997</v>
      </c>
      <c r="W49" s="251"/>
      <c r="X49" s="252"/>
      <c r="Y49" s="253">
        <f>ROUND(Run!HK22,-2)</f>
        <v>6200</v>
      </c>
      <c r="Z49" s="367"/>
    </row>
    <row r="50" spans="1:30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S50" s="365"/>
      <c r="T50" s="26" t="s">
        <v>13</v>
      </c>
      <c r="U50" s="254">
        <f>SUM(U48:U49)</f>
        <v>0</v>
      </c>
      <c r="V50" s="254">
        <f>SUM(V48:V49)</f>
        <v>0.54299999999999993</v>
      </c>
      <c r="W50" s="27"/>
      <c r="X50" s="183"/>
      <c r="Y50" s="255">
        <f>SUM(Y48:Y49)</f>
        <v>10400</v>
      </c>
      <c r="Z50" s="239">
        <f>SUM(Z48:Z49)</f>
        <v>10400</v>
      </c>
    </row>
    <row r="51" spans="1:30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S51" s="189" t="s">
        <v>216</v>
      </c>
      <c r="T51" s="1"/>
      <c r="U51" s="1"/>
      <c r="V51" s="1"/>
      <c r="W51" s="1"/>
      <c r="X51" s="1"/>
      <c r="Y51" s="1"/>
      <c r="Z51" s="1"/>
    </row>
    <row r="52" spans="1:30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t="s">
        <v>481</v>
      </c>
      <c r="M52" s="1"/>
      <c r="N52" s="1"/>
      <c r="O52" s="1"/>
      <c r="P52" s="1"/>
      <c r="Q52" s="1"/>
      <c r="S52" s="1"/>
      <c r="T52" s="1"/>
      <c r="U52" s="1"/>
      <c r="V52" s="1"/>
      <c r="W52" s="1"/>
      <c r="X52" s="1"/>
      <c r="Y52" s="1"/>
      <c r="Z52" s="1"/>
    </row>
    <row r="53" spans="1:30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t="str">
        <f>T17</f>
        <v>Terminal fishery areas</v>
      </c>
      <c r="L53" s="18">
        <f>V17</f>
        <v>1750000</v>
      </c>
      <c r="M53" s="1"/>
      <c r="N53" s="1"/>
      <c r="O53" s="1"/>
      <c r="P53" s="1"/>
      <c r="Q53" s="1"/>
      <c r="S53" s="315" t="s">
        <v>35</v>
      </c>
      <c r="T53" s="316"/>
      <c r="U53" s="317" t="s">
        <v>478</v>
      </c>
      <c r="V53" s="318"/>
      <c r="W53" s="318" t="s">
        <v>36</v>
      </c>
      <c r="X53" s="319"/>
      <c r="Y53" s="1"/>
      <c r="Z53" s="1"/>
    </row>
    <row r="54" spans="1:30" ht="1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t="str">
        <f t="shared" ref="K54:K57" si="4">T18</f>
        <v xml:space="preserve">Cowlitz River </v>
      </c>
      <c r="L54" s="18">
        <f t="shared" ref="L54:L57" si="5">V18</f>
        <v>1000000</v>
      </c>
      <c r="M54" s="1"/>
      <c r="N54" s="1"/>
      <c r="O54" s="1"/>
      <c r="P54" s="1"/>
      <c r="Q54" s="1"/>
      <c r="S54" s="321"/>
      <c r="T54" s="322"/>
      <c r="U54" s="320" t="s">
        <v>479</v>
      </c>
      <c r="V54" s="5" t="s">
        <v>25</v>
      </c>
      <c r="W54" s="5" t="s">
        <v>26</v>
      </c>
      <c r="X54" s="4" t="s">
        <v>27</v>
      </c>
      <c r="Y54" s="1"/>
      <c r="Z54" s="1"/>
    </row>
    <row r="55" spans="1:30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t="str">
        <f t="shared" si="4"/>
        <v>Kalama River</v>
      </c>
      <c r="L55" s="18">
        <f t="shared" si="5"/>
        <v>500000</v>
      </c>
      <c r="M55" s="1"/>
      <c r="N55" s="1"/>
      <c r="O55" s="1"/>
      <c r="P55" s="1"/>
      <c r="Q55" s="1"/>
      <c r="S55" s="31" t="s">
        <v>15</v>
      </c>
      <c r="T55" s="29"/>
      <c r="U55" s="180">
        <f>U56+U57</f>
        <v>20000</v>
      </c>
      <c r="V55" s="180">
        <f>V56+V57</f>
        <v>26000</v>
      </c>
      <c r="W55" s="180">
        <f>W56+W57</f>
        <v>49000</v>
      </c>
      <c r="X55" s="285">
        <f>X56+X57</f>
        <v>80000</v>
      </c>
      <c r="Y55" s="1"/>
      <c r="Z55" s="1"/>
    </row>
    <row r="56" spans="1:30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t="str">
        <f t="shared" si="4"/>
        <v>Lewis River</v>
      </c>
      <c r="L56" s="18">
        <f t="shared" si="5"/>
        <v>340000</v>
      </c>
      <c r="M56" s="1"/>
      <c r="N56" s="1"/>
      <c r="O56" s="1"/>
      <c r="P56" s="1"/>
      <c r="Q56" s="1"/>
      <c r="S56" s="20"/>
      <c r="T56" t="s">
        <v>211</v>
      </c>
      <c r="U56" s="15">
        <f>ROUND(Run!DH41,-3)</f>
        <v>3000</v>
      </c>
      <c r="V56" s="15">
        <f>ROUND(Conv!H7,-3)</f>
        <v>13000</v>
      </c>
      <c r="W56" s="15">
        <f>ROUND(Conv!H8,-3)</f>
        <v>33000</v>
      </c>
      <c r="X56" s="16">
        <f>ROUND(Conv!H9,-3)</f>
        <v>61000</v>
      </c>
      <c r="Y56" s="2"/>
      <c r="Z56" s="2"/>
    </row>
    <row r="57" spans="1:30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t="str">
        <f t="shared" si="4"/>
        <v>Sandy River</v>
      </c>
      <c r="L57" s="18">
        <f t="shared" si="5"/>
        <v>130000</v>
      </c>
      <c r="M57" s="1"/>
      <c r="N57" s="1"/>
      <c r="O57" s="1"/>
      <c r="P57" s="1"/>
      <c r="Q57" s="1"/>
      <c r="S57" s="20"/>
      <c r="T57" t="s">
        <v>14</v>
      </c>
      <c r="U57" s="15">
        <f>ROUND(Run!DI41,-3)</f>
        <v>17000</v>
      </c>
      <c r="V57" s="15">
        <f>ROUND(Conv!I16,-3)</f>
        <v>13000</v>
      </c>
      <c r="W57" s="15">
        <f>ROUND(Conv!I17,-3)</f>
        <v>16000</v>
      </c>
      <c r="X57" s="16">
        <f>ROUND(Conv!I18,-3)</f>
        <v>19000</v>
      </c>
      <c r="Y57" s="1"/>
      <c r="Z57" s="1"/>
      <c r="AD57" t="s">
        <v>487</v>
      </c>
    </row>
    <row r="58" spans="1:30" ht="1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t="str">
        <f>T23</f>
        <v>Little White Salmon River</v>
      </c>
      <c r="L58" s="18">
        <f>V23</f>
        <v>1000000</v>
      </c>
      <c r="M58" s="1"/>
      <c r="N58" s="1"/>
      <c r="O58" s="1"/>
      <c r="P58" s="1"/>
      <c r="Q58" s="1"/>
      <c r="S58" s="32"/>
      <c r="T58" s="30" t="s">
        <v>37</v>
      </c>
      <c r="U58" s="41">
        <f>ROUND(U57/U55,3)</f>
        <v>0.85</v>
      </c>
      <c r="V58" s="284">
        <f>V57/V55</f>
        <v>0.5</v>
      </c>
      <c r="W58" s="284">
        <f>W57/W55</f>
        <v>0.32653061224489793</v>
      </c>
      <c r="X58" s="286">
        <f>X57/X55</f>
        <v>0.23749999999999999</v>
      </c>
      <c r="Y58" s="1"/>
      <c r="Z58" s="1"/>
    </row>
    <row r="59" spans="1:30" ht="1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t="str">
        <f t="shared" ref="K59:K60" si="6">T24</f>
        <v>Wind River</v>
      </c>
      <c r="L59" s="18">
        <f t="shared" ref="L59:L60" si="7">V24</f>
        <v>1170000</v>
      </c>
      <c r="M59" s="1"/>
      <c r="N59" s="1"/>
      <c r="O59" s="1"/>
      <c r="P59" s="1"/>
      <c r="Q59" s="1"/>
      <c r="S59" s="37" t="s">
        <v>314</v>
      </c>
      <c r="U59" s="240">
        <f>U60+U61</f>
        <v>14000</v>
      </c>
      <c r="V59" s="240">
        <f>V60+V61</f>
        <v>22000</v>
      </c>
      <c r="W59" s="240">
        <f>W60+W61</f>
        <v>35000</v>
      </c>
      <c r="X59" s="287">
        <f>X60+X61</f>
        <v>46000</v>
      </c>
      <c r="Y59" s="1"/>
      <c r="Z59" s="1"/>
    </row>
    <row r="60" spans="1:30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t="str">
        <f t="shared" si="6"/>
        <v>Hood River</v>
      </c>
      <c r="L60" s="18">
        <f t="shared" si="7"/>
        <v>150000</v>
      </c>
      <c r="M60" s="1"/>
      <c r="N60" s="1"/>
      <c r="O60" s="1"/>
      <c r="P60" s="1"/>
      <c r="Q60" s="1"/>
      <c r="S60" s="20"/>
      <c r="T60" t="s">
        <v>211</v>
      </c>
      <c r="U60" s="15">
        <f>ROUND(Run!DC20,-3)</f>
        <v>3000</v>
      </c>
      <c r="V60" s="15">
        <f>ROUND(Conv!D7,-3)</f>
        <v>12000</v>
      </c>
      <c r="W60" s="15">
        <f>ROUND(Conv!D8,-3)</f>
        <v>26000</v>
      </c>
      <c r="X60" s="16">
        <f>ROUND(Conv!D9,-3)</f>
        <v>40000</v>
      </c>
      <c r="Y60" s="1"/>
      <c r="Z60" s="1"/>
    </row>
    <row r="61" spans="1:30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S61" s="20"/>
      <c r="T61" t="s">
        <v>14</v>
      </c>
      <c r="U61" s="15">
        <f>ROUND(Run!DD20,-3)</f>
        <v>11000</v>
      </c>
      <c r="V61" s="15">
        <f>ROUND(Conv!M16,-3)</f>
        <v>10000</v>
      </c>
      <c r="W61" s="15">
        <f>ROUND(Conv!M17,-3)</f>
        <v>9000</v>
      </c>
      <c r="X61" s="16">
        <f>ROUND(Conv!M18,-3)</f>
        <v>6000</v>
      </c>
      <c r="Y61" s="1"/>
      <c r="Z61" s="1"/>
    </row>
    <row r="62" spans="1:30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S62" s="32"/>
      <c r="T62" s="30" t="s">
        <v>37</v>
      </c>
      <c r="U62" s="284">
        <f>ROUND(U61/U59,3)</f>
        <v>0.78600000000000003</v>
      </c>
      <c r="V62" s="284">
        <f>V61/V59</f>
        <v>0.45454545454545453</v>
      </c>
      <c r="W62" s="284">
        <f>W61/W59</f>
        <v>0.25714285714285712</v>
      </c>
      <c r="X62" s="286">
        <f>X61/X59</f>
        <v>0.13043478260869565</v>
      </c>
      <c r="Y62" s="1"/>
      <c r="Z62" s="1"/>
    </row>
    <row r="63" spans="1:30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S63" s="37" t="s">
        <v>477</v>
      </c>
      <c r="U63" s="240">
        <f>U64+U65</f>
        <v>6200</v>
      </c>
      <c r="V63" s="240">
        <f>V64+V65</f>
        <v>5000</v>
      </c>
      <c r="W63" s="240">
        <f>W64+W65</f>
        <v>15000</v>
      </c>
      <c r="X63" s="287">
        <f>X64+X65</f>
        <v>34000</v>
      </c>
      <c r="Y63" s="1"/>
      <c r="Z63" s="1"/>
    </row>
    <row r="64" spans="1:30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S64" s="20"/>
      <c r="T64" t="s">
        <v>211</v>
      </c>
      <c r="U64" s="15">
        <f>ROUND(Y34+Y35+Y36,-2)</f>
        <v>200</v>
      </c>
      <c r="V64" s="15">
        <f>ROUND(Conv!F7,-3)</f>
        <v>1000</v>
      </c>
      <c r="W64" s="15">
        <f>ROUND(Conv!F8,-3)</f>
        <v>7000</v>
      </c>
      <c r="X64" s="16">
        <f>ROUND(Conv!F9,-3)</f>
        <v>21000</v>
      </c>
      <c r="Y64" s="1"/>
      <c r="Z64" s="1"/>
    </row>
    <row r="65" spans="1:26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S65" s="20"/>
      <c r="T65" t="s">
        <v>14</v>
      </c>
      <c r="U65" s="15">
        <f>ROUND(Y41+Y42+Y43,-3)</f>
        <v>6000</v>
      </c>
      <c r="V65" s="15">
        <f>ROUND(Conv!K16,-3)</f>
        <v>4000</v>
      </c>
      <c r="W65" s="15">
        <f>ROUND(Conv!K17,-3)</f>
        <v>8000</v>
      </c>
      <c r="X65" s="16">
        <f>ROUND(Conv!K18,-3)</f>
        <v>13000</v>
      </c>
      <c r="Y65" s="1"/>
      <c r="Z65" s="1"/>
    </row>
    <row r="66" spans="1:26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S66" s="32"/>
      <c r="T66" s="30" t="s">
        <v>37</v>
      </c>
      <c r="U66" s="284">
        <f>U65/U63</f>
        <v>0.967741935483871</v>
      </c>
      <c r="V66" s="41">
        <f>V65/V63</f>
        <v>0.8</v>
      </c>
      <c r="W66" s="41">
        <f>W65/W63</f>
        <v>0.53333333333333333</v>
      </c>
      <c r="X66" s="42">
        <f>X65/X63</f>
        <v>0.38235294117647056</v>
      </c>
      <c r="Y66" s="1"/>
      <c r="Z66" s="1"/>
    </row>
    <row r="67" spans="1:26" ht="18" x14ac:dyDescent="0.35">
      <c r="A67" s="1"/>
      <c r="B67" s="1"/>
      <c r="C67" s="1"/>
      <c r="E67" s="328" t="s">
        <v>13</v>
      </c>
      <c r="F67" s="329">
        <f>U37</f>
        <v>0.16799999999999998</v>
      </c>
      <c r="G67" s="330"/>
      <c r="H67" s="330"/>
      <c r="I67" s="330"/>
      <c r="J67" s="330"/>
      <c r="L67" s="328" t="s">
        <v>13</v>
      </c>
      <c r="M67" s="331">
        <f>V27/1000000</f>
        <v>6.04</v>
      </c>
      <c r="N67" s="332" t="s">
        <v>480</v>
      </c>
      <c r="O67" s="333"/>
      <c r="P67" s="1"/>
      <c r="Q67" s="1"/>
      <c r="S67" s="37" t="s">
        <v>315</v>
      </c>
      <c r="U67" s="240">
        <f>U68+U69</f>
        <v>7400</v>
      </c>
      <c r="V67" s="240">
        <f>V68+V69</f>
        <v>7000</v>
      </c>
      <c r="W67" s="240">
        <f>W68+W69</f>
        <v>19000</v>
      </c>
      <c r="X67" s="287">
        <f>X68+X69</f>
        <v>42000</v>
      </c>
      <c r="Y67" s="1"/>
      <c r="Z67" s="1"/>
    </row>
    <row r="68" spans="1:26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S68" s="20"/>
      <c r="T68" t="s">
        <v>211</v>
      </c>
      <c r="U68" s="15">
        <f>ROUND(Y37,-2)</f>
        <v>400</v>
      </c>
      <c r="V68" s="15">
        <f>ROUND(Conv!M7,-3)</f>
        <v>2000</v>
      </c>
      <c r="W68" s="15">
        <f>ROUND(Conv!M8,-3)</f>
        <v>10000</v>
      </c>
      <c r="X68" s="16">
        <f>ROUND(Conv!M9,-3)</f>
        <v>27000</v>
      </c>
      <c r="Y68" s="1"/>
      <c r="Z68" s="1"/>
    </row>
    <row r="69" spans="1:26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S69" s="20"/>
      <c r="T69" t="s">
        <v>14</v>
      </c>
      <c r="U69" s="15">
        <f>ROUND(Y44,-3)</f>
        <v>7000</v>
      </c>
      <c r="V69" s="15">
        <f>ROUND(Conv!O16,-3)</f>
        <v>5000</v>
      </c>
      <c r="W69" s="15">
        <f>ROUND(Conv!O17,-3)</f>
        <v>9000</v>
      </c>
      <c r="X69" s="16">
        <f>ROUND(Conv!O18,-3)</f>
        <v>15000</v>
      </c>
      <c r="Y69" s="1"/>
      <c r="Z69" s="1"/>
    </row>
    <row r="70" spans="1:26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S70" s="32"/>
      <c r="T70" s="30" t="s">
        <v>37</v>
      </c>
      <c r="U70" s="284">
        <f>U69/U67</f>
        <v>0.94594594594594594</v>
      </c>
      <c r="V70" s="41">
        <f>V69/V67</f>
        <v>0.7142857142857143</v>
      </c>
      <c r="W70" s="41">
        <f>W69/W67</f>
        <v>0.47368421052631576</v>
      </c>
      <c r="X70" s="42">
        <f>X69/X67</f>
        <v>0.35714285714285715</v>
      </c>
      <c r="Y70" s="1"/>
      <c r="Z70" s="1"/>
    </row>
    <row r="71" spans="1:26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S71" s="1"/>
      <c r="T71" s="1"/>
      <c r="U71" s="1"/>
      <c r="V71" s="1"/>
      <c r="W71" s="1"/>
      <c r="X71" s="1"/>
      <c r="Y71" s="1"/>
      <c r="Z71" s="1"/>
    </row>
    <row r="72" spans="1:26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Y72" s="1"/>
      <c r="Z72" s="1"/>
    </row>
    <row r="73" spans="1:26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Y73" s="1"/>
      <c r="Z73" s="1"/>
    </row>
    <row r="74" spans="1:26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S74" s="1"/>
      <c r="T74" s="1"/>
      <c r="U74" s="1"/>
      <c r="V74" s="1"/>
      <c r="W74" s="1"/>
      <c r="X74" s="1"/>
      <c r="Y74" s="1"/>
      <c r="Z74" s="1"/>
    </row>
    <row r="75" spans="1:26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</row>
    <row r="76" spans="1:26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</row>
    <row r="77" spans="1:26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1:26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</row>
    <row r="79" spans="1:26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26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1:17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</row>
  </sheetData>
  <mergeCells count="20">
    <mergeCell ref="S4:S10"/>
    <mergeCell ref="S11:S12"/>
    <mergeCell ref="U14:V14"/>
    <mergeCell ref="U4:U5"/>
    <mergeCell ref="S31:S37"/>
    <mergeCell ref="S17:S21"/>
    <mergeCell ref="S23:S25"/>
    <mergeCell ref="X31:X36"/>
    <mergeCell ref="S48:S50"/>
    <mergeCell ref="Z48:Z49"/>
    <mergeCell ref="Z45:Z46"/>
    <mergeCell ref="S45:S47"/>
    <mergeCell ref="Z31:Z33"/>
    <mergeCell ref="Z34:Z36"/>
    <mergeCell ref="S38:S44"/>
    <mergeCell ref="Z38:Z40"/>
    <mergeCell ref="Z41:Z43"/>
    <mergeCell ref="W31:W36"/>
    <mergeCell ref="W38:W43"/>
    <mergeCell ref="X38:X4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Q44"/>
  <sheetViews>
    <sheetView workbookViewId="0">
      <selection activeCell="A10" sqref="A10"/>
    </sheetView>
  </sheetViews>
  <sheetFormatPr defaultRowHeight="14.4" x14ac:dyDescent="0.3"/>
  <cols>
    <col min="3" max="3" width="17.6640625" customWidth="1"/>
    <col min="4" max="4" width="12" style="44" customWidth="1"/>
    <col min="5" max="5" width="12.44140625" style="44" customWidth="1"/>
    <col min="6" max="7" width="9.109375" style="44"/>
    <col min="10" max="10" width="19.88671875" customWidth="1"/>
    <col min="11" max="11" width="13.33203125" customWidth="1"/>
    <col min="20" max="20" width="2.6640625" customWidth="1"/>
    <col min="23" max="23" width="2.5546875" customWidth="1"/>
    <col min="29" max="29" width="11.6640625" customWidth="1"/>
    <col min="30" max="30" width="9.33203125" customWidth="1"/>
    <col min="31" max="31" width="12" customWidth="1"/>
    <col min="32" max="32" width="11.6640625" customWidth="1"/>
    <col min="33" max="33" width="15" customWidth="1"/>
    <col min="34" max="35" width="11.88671875" customWidth="1"/>
    <col min="37" max="37" width="11" customWidth="1"/>
    <col min="38" max="38" width="11.6640625" customWidth="1"/>
    <col min="39" max="39" width="11.33203125" customWidth="1"/>
    <col min="40" max="40" width="11.6640625" customWidth="1"/>
    <col min="111" max="111" width="20" customWidth="1"/>
    <col min="112" max="112" width="20.5546875" customWidth="1"/>
    <col min="113" max="113" width="20.109375" customWidth="1"/>
    <col min="114" max="114" width="21.6640625" customWidth="1"/>
    <col min="115" max="115" width="22.5546875" customWidth="1"/>
    <col min="117" max="117" width="11.109375" customWidth="1"/>
  </cols>
  <sheetData>
    <row r="2" spans="2:121" x14ac:dyDescent="0.3">
      <c r="E2" s="59"/>
      <c r="F2" s="59"/>
      <c r="G2" s="59"/>
      <c r="AC2" t="s">
        <v>173</v>
      </c>
      <c r="AR2" t="s">
        <v>181</v>
      </c>
      <c r="BD2" t="s">
        <v>287</v>
      </c>
      <c r="BP2" t="s">
        <v>279</v>
      </c>
      <c r="CC2" t="s">
        <v>280</v>
      </c>
      <c r="CT2" t="s">
        <v>323</v>
      </c>
      <c r="DF2" t="s">
        <v>182</v>
      </c>
    </row>
    <row r="3" spans="2:121" x14ac:dyDescent="0.3">
      <c r="B3" s="47"/>
      <c r="C3" s="45"/>
      <c r="D3" s="59"/>
      <c r="E3" s="59"/>
      <c r="F3" s="59"/>
      <c r="G3" s="59"/>
    </row>
    <row r="4" spans="2:121" ht="15" thickBot="1" x14ac:dyDescent="0.35">
      <c r="C4" s="45"/>
      <c r="D4" s="55"/>
      <c r="E4" s="59"/>
      <c r="F4" s="59"/>
      <c r="G4" s="59"/>
      <c r="Q4" t="s">
        <v>140</v>
      </c>
      <c r="X4" t="s">
        <v>137</v>
      </c>
      <c r="Y4" t="s">
        <v>138</v>
      </c>
      <c r="AC4" s="83" t="s">
        <v>23</v>
      </c>
      <c r="AD4" t="s">
        <v>164</v>
      </c>
      <c r="AE4" t="s">
        <v>165</v>
      </c>
      <c r="AF4" t="s">
        <v>165</v>
      </c>
      <c r="AG4" t="s">
        <v>165</v>
      </c>
      <c r="AH4" t="s">
        <v>165</v>
      </c>
      <c r="AI4" t="s">
        <v>165</v>
      </c>
      <c r="AJ4" s="83" t="s">
        <v>3</v>
      </c>
      <c r="AK4" s="83" t="s">
        <v>3</v>
      </c>
      <c r="AL4" s="83" t="s">
        <v>3</v>
      </c>
      <c r="AM4" s="83" t="s">
        <v>3</v>
      </c>
      <c r="AN4" s="83" t="s">
        <v>3</v>
      </c>
      <c r="DF4" s="83" t="s">
        <v>180</v>
      </c>
    </row>
    <row r="5" spans="2:121" ht="54.6" thickBot="1" x14ac:dyDescent="0.35">
      <c r="B5" s="46"/>
      <c r="C5" s="45"/>
      <c r="D5" s="59" t="s">
        <v>74</v>
      </c>
      <c r="E5" s="59" t="s">
        <v>75</v>
      </c>
      <c r="F5" s="59" t="s">
        <v>76</v>
      </c>
      <c r="G5" s="59" t="s">
        <v>77</v>
      </c>
      <c r="L5" s="30" t="s">
        <v>91</v>
      </c>
      <c r="M5" s="30"/>
      <c r="N5" s="30"/>
      <c r="O5" s="30"/>
      <c r="Q5" t="s">
        <v>82</v>
      </c>
      <c r="V5" t="s">
        <v>140</v>
      </c>
      <c r="X5" t="s">
        <v>136</v>
      </c>
      <c r="Y5" t="s">
        <v>139</v>
      </c>
      <c r="AC5" s="147" t="s">
        <v>166</v>
      </c>
      <c r="AD5" s="147" t="s">
        <v>167</v>
      </c>
      <c r="AE5" s="147" t="s">
        <v>168</v>
      </c>
      <c r="AF5" s="147" t="s">
        <v>169</v>
      </c>
      <c r="AG5" s="147" t="s">
        <v>170</v>
      </c>
      <c r="AH5" s="147" t="s">
        <v>171</v>
      </c>
      <c r="AI5" s="147" t="s">
        <v>172</v>
      </c>
      <c r="AJ5" s="147" t="s">
        <v>168</v>
      </c>
      <c r="AK5" s="147" t="s">
        <v>169</v>
      </c>
      <c r="AL5" s="147" t="s">
        <v>170</v>
      </c>
      <c r="AM5" s="147" t="s">
        <v>171</v>
      </c>
      <c r="AN5" s="147" t="s">
        <v>172</v>
      </c>
      <c r="DF5" s="154" t="s">
        <v>4</v>
      </c>
      <c r="DG5" s="149" t="s">
        <v>175</v>
      </c>
      <c r="DH5" s="149" t="s">
        <v>176</v>
      </c>
      <c r="DI5" s="149" t="s">
        <v>177</v>
      </c>
      <c r="DJ5" s="149" t="s">
        <v>178</v>
      </c>
      <c r="DK5" s="149" t="s">
        <v>179</v>
      </c>
      <c r="DL5" s="202" t="s">
        <v>324</v>
      </c>
      <c r="DM5" s="202" t="s">
        <v>325</v>
      </c>
    </row>
    <row r="6" spans="2:121" ht="15" thickBot="1" x14ac:dyDescent="0.35">
      <c r="B6" s="46" t="s">
        <v>72</v>
      </c>
      <c r="C6" s="45" t="s">
        <v>73</v>
      </c>
      <c r="D6" s="60" t="s">
        <v>46</v>
      </c>
      <c r="E6" s="60" t="s">
        <v>47</v>
      </c>
      <c r="F6" s="393"/>
      <c r="G6" s="393"/>
      <c r="L6" t="s">
        <v>86</v>
      </c>
      <c r="M6" t="s">
        <v>87</v>
      </c>
      <c r="N6" t="s">
        <v>88</v>
      </c>
      <c r="O6" t="s">
        <v>89</v>
      </c>
      <c r="P6" t="s">
        <v>90</v>
      </c>
      <c r="Q6" t="s">
        <v>83</v>
      </c>
      <c r="R6" t="s">
        <v>84</v>
      </c>
      <c r="S6" t="s">
        <v>85</v>
      </c>
      <c r="U6" t="s">
        <v>83</v>
      </c>
      <c r="V6" t="s">
        <v>83</v>
      </c>
      <c r="AC6">
        <v>2008</v>
      </c>
      <c r="AD6" t="s">
        <v>121</v>
      </c>
      <c r="AE6" s="18">
        <v>2085</v>
      </c>
      <c r="AF6" t="s">
        <v>121</v>
      </c>
      <c r="AG6" t="s">
        <v>121</v>
      </c>
      <c r="AH6" t="s">
        <v>121</v>
      </c>
      <c r="AI6" s="18">
        <v>1760</v>
      </c>
      <c r="AJ6" s="18">
        <v>2721</v>
      </c>
      <c r="AK6" t="s">
        <v>121</v>
      </c>
      <c r="AL6" t="s">
        <v>121</v>
      </c>
      <c r="AM6" t="s">
        <v>121</v>
      </c>
      <c r="AN6" s="18">
        <v>1232</v>
      </c>
      <c r="CT6" s="83" t="s">
        <v>321</v>
      </c>
      <c r="DF6" s="156">
        <v>2007</v>
      </c>
      <c r="DG6" s="151">
        <v>74</v>
      </c>
      <c r="DH6" s="151"/>
      <c r="DI6" s="151"/>
      <c r="DJ6" s="153">
        <v>1496</v>
      </c>
      <c r="DK6" s="151">
        <v>70</v>
      </c>
      <c r="DM6">
        <f>DG6*(1-DL16)</f>
        <v>6.8186911545989073</v>
      </c>
    </row>
    <row r="7" spans="2:121" ht="15" thickBot="1" x14ac:dyDescent="0.35">
      <c r="B7" s="49" t="s">
        <v>48</v>
      </c>
      <c r="C7" s="49" t="s">
        <v>49</v>
      </c>
      <c r="D7" s="51" t="s">
        <v>50</v>
      </c>
      <c r="E7" s="51" t="s">
        <v>51</v>
      </c>
      <c r="F7" s="51" t="s">
        <v>52</v>
      </c>
      <c r="G7" s="51" t="s">
        <v>53</v>
      </c>
      <c r="I7" s="49" t="s">
        <v>48</v>
      </c>
      <c r="J7" s="62" t="s">
        <v>78</v>
      </c>
      <c r="K7" s="49" t="s">
        <v>51</v>
      </c>
      <c r="L7" s="51" t="s">
        <v>52</v>
      </c>
      <c r="M7" s="49" t="s">
        <v>63</v>
      </c>
      <c r="N7" s="51" t="s">
        <v>61</v>
      </c>
      <c r="O7" s="49" t="s">
        <v>52</v>
      </c>
      <c r="P7" s="50" t="s">
        <v>53</v>
      </c>
      <c r="Q7" s="63">
        <v>22000</v>
      </c>
      <c r="R7" s="64">
        <v>300</v>
      </c>
      <c r="S7" s="65">
        <v>1800</v>
      </c>
      <c r="T7" s="69"/>
      <c r="X7" s="18">
        <f>EDT!S31</f>
        <v>6426</v>
      </c>
      <c r="AC7">
        <v>2009</v>
      </c>
      <c r="AD7" t="s">
        <v>121</v>
      </c>
      <c r="AE7">
        <v>967</v>
      </c>
      <c r="AF7" t="s">
        <v>121</v>
      </c>
      <c r="AG7" t="s">
        <v>121</v>
      </c>
      <c r="AH7" t="s">
        <v>121</v>
      </c>
      <c r="AI7" s="18">
        <v>1799</v>
      </c>
      <c r="AJ7">
        <v>856</v>
      </c>
      <c r="AK7" t="s">
        <v>121</v>
      </c>
      <c r="AL7" t="s">
        <v>121</v>
      </c>
      <c r="AM7" t="s">
        <v>121</v>
      </c>
      <c r="AN7" s="18">
        <v>1226</v>
      </c>
      <c r="AO7" s="147"/>
      <c r="DF7" s="155">
        <v>2008</v>
      </c>
      <c r="DG7" s="150">
        <v>411</v>
      </c>
      <c r="DH7" s="150"/>
      <c r="DI7" s="150"/>
      <c r="DJ7" s="150">
        <v>562</v>
      </c>
      <c r="DK7" s="150">
        <v>73</v>
      </c>
    </row>
    <row r="8" spans="2:121" ht="15" thickBot="1" x14ac:dyDescent="0.35">
      <c r="B8" s="52" t="s">
        <v>54</v>
      </c>
      <c r="C8" s="52" t="s">
        <v>55</v>
      </c>
      <c r="D8" s="54" t="s">
        <v>56</v>
      </c>
      <c r="E8" s="54" t="s">
        <v>51</v>
      </c>
      <c r="F8" s="54" t="s">
        <v>52</v>
      </c>
      <c r="G8" s="54" t="s">
        <v>53</v>
      </c>
      <c r="I8" s="52" t="s">
        <v>54</v>
      </c>
      <c r="J8" s="66" t="s">
        <v>79</v>
      </c>
      <c r="K8" s="52" t="s">
        <v>51</v>
      </c>
      <c r="L8" s="54" t="s">
        <v>52</v>
      </c>
      <c r="M8" s="52" t="s">
        <v>63</v>
      </c>
      <c r="N8" s="54" t="s">
        <v>61</v>
      </c>
      <c r="O8" s="52" t="s">
        <v>52</v>
      </c>
      <c r="P8" s="53" t="s">
        <v>53</v>
      </c>
      <c r="Q8" s="67">
        <v>7800</v>
      </c>
      <c r="R8" s="68">
        <v>150</v>
      </c>
      <c r="S8" s="69">
        <v>1800</v>
      </c>
      <c r="T8" s="69"/>
      <c r="X8" s="18">
        <f>EDT!S35</f>
        <v>1803</v>
      </c>
      <c r="AC8">
        <v>2010</v>
      </c>
      <c r="AD8" t="s">
        <v>121</v>
      </c>
      <c r="AE8" s="18">
        <v>1604</v>
      </c>
      <c r="AF8" t="s">
        <v>121</v>
      </c>
      <c r="AG8" t="s">
        <v>121</v>
      </c>
      <c r="AH8">
        <v>743</v>
      </c>
      <c r="AI8" s="18">
        <v>1886</v>
      </c>
      <c r="AJ8" s="18">
        <v>1391</v>
      </c>
      <c r="AK8" t="s">
        <v>121</v>
      </c>
      <c r="AL8" t="s">
        <v>121</v>
      </c>
      <c r="AM8" s="18">
        <v>1236</v>
      </c>
      <c r="AN8" s="18">
        <v>1283</v>
      </c>
      <c r="DF8" s="156">
        <v>2009</v>
      </c>
      <c r="DG8" s="151">
        <v>741</v>
      </c>
      <c r="DH8" s="151"/>
      <c r="DI8" s="151"/>
      <c r="DJ8" s="153">
        <v>2007</v>
      </c>
      <c r="DK8" s="151">
        <v>78</v>
      </c>
      <c r="DN8" s="164"/>
      <c r="DO8" s="164"/>
      <c r="DP8" s="164"/>
      <c r="DQ8" s="164"/>
    </row>
    <row r="9" spans="2:121" ht="15" thickBot="1" x14ac:dyDescent="0.35">
      <c r="B9" s="55"/>
      <c r="C9" s="52" t="s">
        <v>57</v>
      </c>
      <c r="D9" s="59"/>
      <c r="E9" s="54" t="s">
        <v>58</v>
      </c>
      <c r="F9" s="54" t="s">
        <v>52</v>
      </c>
      <c r="G9" s="54" t="s">
        <v>52</v>
      </c>
      <c r="I9" s="55"/>
      <c r="J9" s="52" t="s">
        <v>57</v>
      </c>
      <c r="K9" s="52" t="s">
        <v>58</v>
      </c>
      <c r="L9" s="54" t="s">
        <v>52</v>
      </c>
      <c r="M9" s="52" t="s">
        <v>52</v>
      </c>
      <c r="N9" s="54" t="s">
        <v>52</v>
      </c>
      <c r="O9" s="52" t="s">
        <v>52</v>
      </c>
      <c r="P9" s="53" t="s">
        <v>52</v>
      </c>
      <c r="Q9" s="67">
        <v>5400</v>
      </c>
      <c r="R9" s="68">
        <v>100</v>
      </c>
      <c r="S9" s="70">
        <v>100</v>
      </c>
      <c r="T9" s="70"/>
      <c r="X9" s="18">
        <f>EDT!S39</f>
        <v>3176</v>
      </c>
      <c r="AC9">
        <v>2011</v>
      </c>
      <c r="AD9" t="s">
        <v>121</v>
      </c>
      <c r="AE9" s="18">
        <v>2035</v>
      </c>
      <c r="AF9" t="s">
        <v>121</v>
      </c>
      <c r="AG9" t="s">
        <v>121</v>
      </c>
      <c r="AH9">
        <v>665</v>
      </c>
      <c r="AI9" s="18">
        <v>2028</v>
      </c>
      <c r="AJ9" s="18">
        <v>1150</v>
      </c>
      <c r="AK9" t="s">
        <v>121</v>
      </c>
      <c r="AL9" t="s">
        <v>121</v>
      </c>
      <c r="AM9" s="18">
        <v>1103</v>
      </c>
      <c r="AN9" s="18">
        <v>1331</v>
      </c>
      <c r="DF9" s="155">
        <v>2010</v>
      </c>
      <c r="DG9" s="150"/>
      <c r="DH9" s="150">
        <v>620</v>
      </c>
      <c r="DI9" s="150">
        <v>78</v>
      </c>
      <c r="DJ9" s="152">
        <v>6518</v>
      </c>
      <c r="DK9" s="150">
        <v>208</v>
      </c>
      <c r="DL9">
        <f>DH9/(DI9+DH9)</f>
        <v>0.88825214899713467</v>
      </c>
      <c r="DN9" s="164"/>
      <c r="DO9" s="164"/>
      <c r="DP9" s="164"/>
      <c r="DQ9" s="164"/>
    </row>
    <row r="10" spans="2:121" ht="15" thickBot="1" x14ac:dyDescent="0.35">
      <c r="B10" s="55"/>
      <c r="C10" s="52" t="s">
        <v>59</v>
      </c>
      <c r="D10" s="59"/>
      <c r="E10" s="54" t="s">
        <v>60</v>
      </c>
      <c r="F10" s="54" t="s">
        <v>52</v>
      </c>
      <c r="G10" s="54" t="s">
        <v>61</v>
      </c>
      <c r="I10" s="55"/>
      <c r="J10" s="52" t="s">
        <v>59</v>
      </c>
      <c r="K10" s="52" t="s">
        <v>60</v>
      </c>
      <c r="L10" s="54" t="s">
        <v>52</v>
      </c>
      <c r="M10" s="52" t="s">
        <v>65</v>
      </c>
      <c r="N10" s="54" t="s">
        <v>63</v>
      </c>
      <c r="O10" s="52" t="s">
        <v>52</v>
      </c>
      <c r="P10" s="53" t="s">
        <v>61</v>
      </c>
      <c r="Q10" s="67">
        <v>3100</v>
      </c>
      <c r="R10" s="68">
        <v>100</v>
      </c>
      <c r="S10" s="69">
        <v>1100</v>
      </c>
      <c r="T10" s="69"/>
      <c r="X10" s="18">
        <f>EDT!S51</f>
        <v>2703</v>
      </c>
      <c r="AC10">
        <v>2012</v>
      </c>
      <c r="AD10" t="s">
        <v>121</v>
      </c>
      <c r="AE10" s="18">
        <v>2201</v>
      </c>
      <c r="AF10" t="s">
        <v>121</v>
      </c>
      <c r="AG10" t="s">
        <v>121</v>
      </c>
      <c r="AH10">
        <v>764</v>
      </c>
      <c r="AI10" s="18">
        <v>2140</v>
      </c>
      <c r="AJ10" s="18">
        <v>3070</v>
      </c>
      <c r="AK10" t="s">
        <v>121</v>
      </c>
      <c r="AL10" t="s">
        <v>121</v>
      </c>
      <c r="AM10" s="18">
        <v>1683</v>
      </c>
      <c r="AN10" s="18">
        <v>1540</v>
      </c>
      <c r="DF10" s="156">
        <v>2011</v>
      </c>
      <c r="DG10" s="151"/>
      <c r="DH10" s="153">
        <v>1136</v>
      </c>
      <c r="DI10" s="151">
        <v>103</v>
      </c>
      <c r="DJ10" s="151">
        <v>732</v>
      </c>
      <c r="DK10" s="151">
        <v>88</v>
      </c>
      <c r="DL10">
        <f t="shared" ref="DL10:DL12" si="0">DH10/(DI10+DH10)</f>
        <v>0.91686844229217113</v>
      </c>
    </row>
    <row r="11" spans="2:121" ht="15" thickBot="1" x14ac:dyDescent="0.35">
      <c r="B11" s="55"/>
      <c r="C11" s="52" t="s">
        <v>62</v>
      </c>
      <c r="D11" s="59"/>
      <c r="E11" s="54" t="s">
        <v>60</v>
      </c>
      <c r="F11" s="54" t="s">
        <v>52</v>
      </c>
      <c r="G11" s="54" t="s">
        <v>63</v>
      </c>
      <c r="I11" s="55"/>
      <c r="J11" s="52" t="s">
        <v>62</v>
      </c>
      <c r="K11" s="52" t="s">
        <v>60</v>
      </c>
      <c r="L11" s="54" t="s">
        <v>52</v>
      </c>
      <c r="M11" s="52" t="s">
        <v>65</v>
      </c>
      <c r="N11" s="54" t="s">
        <v>63</v>
      </c>
      <c r="O11" s="52" t="s">
        <v>52</v>
      </c>
      <c r="P11" s="53" t="s">
        <v>63</v>
      </c>
      <c r="Q11" s="67">
        <v>4900</v>
      </c>
      <c r="R11" s="68">
        <v>100</v>
      </c>
      <c r="S11" s="70">
        <v>300</v>
      </c>
      <c r="T11" s="70"/>
      <c r="X11">
        <f>EDT!S56</f>
        <v>756</v>
      </c>
      <c r="AC11">
        <v>2013</v>
      </c>
      <c r="AD11" t="s">
        <v>121</v>
      </c>
      <c r="AE11" s="18">
        <v>2740</v>
      </c>
      <c r="AF11" t="s">
        <v>121</v>
      </c>
      <c r="AG11" t="s">
        <v>121</v>
      </c>
      <c r="AH11">
        <v>751</v>
      </c>
      <c r="AI11" s="18">
        <v>2247</v>
      </c>
      <c r="AJ11" s="18">
        <v>2188</v>
      </c>
      <c r="AK11" t="s">
        <v>121</v>
      </c>
      <c r="AL11" t="s">
        <v>121</v>
      </c>
      <c r="AM11" s="18">
        <v>1676</v>
      </c>
      <c r="AN11" s="18">
        <v>1640</v>
      </c>
      <c r="DF11" s="155">
        <v>2012</v>
      </c>
      <c r="DG11" s="150"/>
      <c r="DH11" s="152">
        <v>1273</v>
      </c>
      <c r="DI11" s="150">
        <v>86</v>
      </c>
      <c r="DJ11" s="152">
        <v>4016</v>
      </c>
      <c r="DK11" s="150">
        <v>235</v>
      </c>
      <c r="DL11">
        <f t="shared" si="0"/>
        <v>0.9367181751287712</v>
      </c>
    </row>
    <row r="12" spans="2:121" ht="15" thickBot="1" x14ac:dyDescent="0.35">
      <c r="B12" s="55"/>
      <c r="C12" s="52" t="s">
        <v>64</v>
      </c>
      <c r="D12" s="54" t="s">
        <v>56</v>
      </c>
      <c r="E12" s="54" t="s">
        <v>51</v>
      </c>
      <c r="F12" s="54" t="s">
        <v>52</v>
      </c>
      <c r="G12" s="54" t="s">
        <v>65</v>
      </c>
      <c r="I12" s="55"/>
      <c r="J12" s="66" t="s">
        <v>80</v>
      </c>
      <c r="K12" s="52" t="s">
        <v>51</v>
      </c>
      <c r="L12" s="54" t="s">
        <v>52</v>
      </c>
      <c r="M12" s="52" t="s">
        <v>63</v>
      </c>
      <c r="N12" s="54" t="s">
        <v>61</v>
      </c>
      <c r="O12" s="52" t="s">
        <v>52</v>
      </c>
      <c r="P12" s="53" t="s">
        <v>65</v>
      </c>
      <c r="Q12" s="67">
        <v>15700</v>
      </c>
      <c r="R12" s="68">
        <v>300</v>
      </c>
      <c r="S12" s="69">
        <v>1500</v>
      </c>
      <c r="T12" s="69"/>
      <c r="X12" s="18">
        <f>EDT!S65</f>
        <v>3079</v>
      </c>
      <c r="AC12">
        <v>2014</v>
      </c>
      <c r="AD12" t="s">
        <v>121</v>
      </c>
      <c r="AE12" s="18">
        <v>1199</v>
      </c>
      <c r="AF12" t="s">
        <v>121</v>
      </c>
      <c r="AG12" t="s">
        <v>121</v>
      </c>
      <c r="AH12">
        <v>743</v>
      </c>
      <c r="AI12" s="18">
        <v>2186</v>
      </c>
      <c r="AJ12" s="18">
        <v>1444</v>
      </c>
      <c r="AK12" t="s">
        <v>121</v>
      </c>
      <c r="AL12" t="s">
        <v>121</v>
      </c>
      <c r="AM12" s="18">
        <v>1883</v>
      </c>
      <c r="AN12" s="18">
        <v>1674</v>
      </c>
      <c r="DF12" s="156">
        <v>2013</v>
      </c>
      <c r="DG12" s="151"/>
      <c r="DH12" s="151">
        <v>854</v>
      </c>
      <c r="DI12" s="151">
        <v>106</v>
      </c>
      <c r="DJ12" s="153">
        <v>2314</v>
      </c>
      <c r="DK12" s="151">
        <v>303</v>
      </c>
      <c r="DL12">
        <f t="shared" si="0"/>
        <v>0.88958333333333328</v>
      </c>
    </row>
    <row r="13" spans="2:121" ht="15" thickBot="1" x14ac:dyDescent="0.35">
      <c r="B13" s="48"/>
      <c r="C13" s="56" t="s">
        <v>66</v>
      </c>
      <c r="D13" s="58" t="s">
        <v>50</v>
      </c>
      <c r="E13" s="58" t="s">
        <v>51</v>
      </c>
      <c r="F13" s="58" t="s">
        <v>61</v>
      </c>
      <c r="G13" s="58" t="s">
        <v>65</v>
      </c>
      <c r="I13" s="48"/>
      <c r="J13" s="71" t="s">
        <v>81</v>
      </c>
      <c r="K13" s="56" t="s">
        <v>51</v>
      </c>
      <c r="L13" s="58" t="s">
        <v>61</v>
      </c>
      <c r="M13" s="56" t="s">
        <v>61</v>
      </c>
      <c r="N13" s="58" t="s">
        <v>61</v>
      </c>
      <c r="O13" s="56" t="s">
        <v>61</v>
      </c>
      <c r="P13" s="57" t="s">
        <v>65</v>
      </c>
      <c r="Q13" s="72">
        <v>26899</v>
      </c>
      <c r="R13" s="73">
        <v>714</v>
      </c>
      <c r="S13" s="74">
        <v>1230</v>
      </c>
      <c r="T13" s="69"/>
      <c r="Y13">
        <v>7871</v>
      </c>
      <c r="AC13">
        <v>2015</v>
      </c>
      <c r="AD13" t="s">
        <v>121</v>
      </c>
      <c r="AE13" s="18">
        <v>3003</v>
      </c>
      <c r="AF13" t="s">
        <v>121</v>
      </c>
      <c r="AG13" t="s">
        <v>121</v>
      </c>
      <c r="AH13" s="18">
        <v>1006</v>
      </c>
      <c r="AI13" s="18">
        <v>2155</v>
      </c>
      <c r="AJ13" s="18">
        <v>2772</v>
      </c>
      <c r="AK13" t="s">
        <v>121</v>
      </c>
      <c r="AL13" t="s">
        <v>121</v>
      </c>
      <c r="AM13" s="18">
        <v>1974</v>
      </c>
      <c r="AN13" s="18">
        <v>1817</v>
      </c>
      <c r="DF13" s="155">
        <v>2014</v>
      </c>
      <c r="DG13" s="150"/>
      <c r="DH13" s="150"/>
      <c r="DI13" s="150"/>
      <c r="DJ13" s="152">
        <v>2688</v>
      </c>
      <c r="DK13" s="150">
        <v>227</v>
      </c>
    </row>
    <row r="14" spans="2:121" ht="15" thickBot="1" x14ac:dyDescent="0.35">
      <c r="B14" s="49" t="s">
        <v>67</v>
      </c>
      <c r="C14" s="49" t="s">
        <v>68</v>
      </c>
      <c r="D14" s="51" t="s">
        <v>56</v>
      </c>
      <c r="E14" s="51" t="s">
        <v>60</v>
      </c>
      <c r="F14" s="51" t="s">
        <v>52</v>
      </c>
      <c r="G14" s="51" t="s">
        <v>69</v>
      </c>
      <c r="I14" s="75"/>
      <c r="L14" s="54" t="s">
        <v>52</v>
      </c>
      <c r="M14" s="54" t="s">
        <v>52</v>
      </c>
      <c r="N14" s="54" t="s">
        <v>52</v>
      </c>
      <c r="O14" s="54" t="s">
        <v>52</v>
      </c>
      <c r="P14" s="53" t="s">
        <v>69</v>
      </c>
      <c r="R14" s="68">
        <v>50</v>
      </c>
      <c r="S14" s="69">
        <v>500</v>
      </c>
      <c r="T14" s="69"/>
      <c r="U14">
        <v>732</v>
      </c>
      <c r="V14">
        <v>870</v>
      </c>
      <c r="AC14">
        <v>2016</v>
      </c>
      <c r="AD14" t="s">
        <v>121</v>
      </c>
      <c r="AE14" s="18">
        <v>4328</v>
      </c>
      <c r="AF14" t="s">
        <v>121</v>
      </c>
      <c r="AG14" t="s">
        <v>121</v>
      </c>
      <c r="AH14" s="18">
        <v>1387</v>
      </c>
      <c r="AI14" s="18">
        <v>2083</v>
      </c>
      <c r="AJ14" s="18">
        <v>3490</v>
      </c>
      <c r="AK14" t="s">
        <v>121</v>
      </c>
      <c r="AL14" t="s">
        <v>121</v>
      </c>
      <c r="AM14" s="18">
        <v>2032</v>
      </c>
      <c r="AN14" s="18">
        <v>1917</v>
      </c>
      <c r="DF14" s="156">
        <v>2015</v>
      </c>
      <c r="DG14" s="151"/>
      <c r="DH14" s="151"/>
      <c r="DI14" s="151"/>
      <c r="DJ14" s="153">
        <v>14794</v>
      </c>
      <c r="DK14" s="151">
        <v>187</v>
      </c>
    </row>
    <row r="15" spans="2:121" ht="15" thickBot="1" x14ac:dyDescent="0.35">
      <c r="B15" s="56" t="s">
        <v>54</v>
      </c>
      <c r="C15" s="56" t="s">
        <v>70</v>
      </c>
      <c r="D15" s="61"/>
      <c r="E15" s="58" t="s">
        <v>51</v>
      </c>
      <c r="F15" s="58" t="s">
        <v>52</v>
      </c>
      <c r="G15" s="58" t="s">
        <v>71</v>
      </c>
      <c r="I15" s="76"/>
      <c r="L15" s="54" t="s">
        <v>52</v>
      </c>
      <c r="M15" s="54" t="s">
        <v>52</v>
      </c>
      <c r="N15" s="54" t="s">
        <v>52</v>
      </c>
      <c r="O15" s="54" t="s">
        <v>52</v>
      </c>
      <c r="P15" s="53" t="s">
        <v>71</v>
      </c>
      <c r="Q15" s="67">
        <v>15041</v>
      </c>
      <c r="R15" s="68">
        <v>327</v>
      </c>
      <c r="S15" s="69">
        <v>1493</v>
      </c>
      <c r="T15" s="69"/>
      <c r="Y15">
        <v>6536</v>
      </c>
      <c r="AC15">
        <v>2017</v>
      </c>
      <c r="AD15" t="s">
        <v>121</v>
      </c>
      <c r="AE15" s="18">
        <v>4451</v>
      </c>
      <c r="AF15" t="s">
        <v>121</v>
      </c>
      <c r="AG15" t="s">
        <v>121</v>
      </c>
      <c r="AH15" t="s">
        <v>121</v>
      </c>
      <c r="AI15" s="18">
        <v>2262</v>
      </c>
      <c r="AJ15" s="18">
        <v>5219</v>
      </c>
      <c r="AK15" t="s">
        <v>121</v>
      </c>
      <c r="AL15" t="s">
        <v>121</v>
      </c>
      <c r="AM15" t="s">
        <v>121</v>
      </c>
      <c r="AN15" s="18">
        <v>2235</v>
      </c>
      <c r="DF15" s="157">
        <v>2016</v>
      </c>
      <c r="DG15" s="158"/>
      <c r="DH15" s="158"/>
      <c r="DI15" s="158"/>
      <c r="DJ15" s="159">
        <v>11746</v>
      </c>
      <c r="DK15" s="158">
        <v>200</v>
      </c>
    </row>
    <row r="16" spans="2:121" x14ac:dyDescent="0.3">
      <c r="I16" s="47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AC16" t="s">
        <v>174</v>
      </c>
      <c r="AE16" s="18"/>
      <c r="AN16" s="18">
        <f>GEOMEAN(AN6:AN15)</f>
        <v>1559.150534764201</v>
      </c>
      <c r="DF16" t="s">
        <v>174</v>
      </c>
      <c r="DK16" s="18">
        <f>GEOMEAN(DK6:DK15)</f>
        <v>146.03163443649592</v>
      </c>
      <c r="DL16">
        <f>AVERAGE(DL9:DL12)</f>
        <v>0.9078555249378526</v>
      </c>
    </row>
    <row r="17" spans="29:114" ht="15" customHeight="1" x14ac:dyDescent="0.3">
      <c r="CT17" s="83" t="s">
        <v>320</v>
      </c>
      <c r="DI17" s="394" t="s">
        <v>318</v>
      </c>
    </row>
    <row r="18" spans="29:114" x14ac:dyDescent="0.3">
      <c r="DI18" s="394"/>
    </row>
    <row r="19" spans="29:114" ht="15" thickBot="1" x14ac:dyDescent="0.35">
      <c r="AC19" s="83" t="s">
        <v>23</v>
      </c>
      <c r="AD19" s="83" t="s">
        <v>164</v>
      </c>
      <c r="AE19" s="83" t="s">
        <v>162</v>
      </c>
      <c r="AF19" s="83" t="s">
        <v>162</v>
      </c>
      <c r="AG19" s="83" t="s">
        <v>162</v>
      </c>
      <c r="AH19" s="83" t="s">
        <v>162</v>
      </c>
      <c r="AI19" s="83" t="s">
        <v>162</v>
      </c>
      <c r="DF19" s="161" t="s">
        <v>184</v>
      </c>
      <c r="DG19" s="148"/>
      <c r="DI19" s="394"/>
    </row>
    <row r="20" spans="29:114" ht="33" customHeight="1" thickBot="1" x14ac:dyDescent="0.35">
      <c r="AC20" s="147" t="s">
        <v>166</v>
      </c>
      <c r="AD20" s="147" t="s">
        <v>167</v>
      </c>
      <c r="AE20" s="147" t="s">
        <v>168</v>
      </c>
      <c r="AF20" s="147" t="s">
        <v>169</v>
      </c>
      <c r="AG20" s="147" t="s">
        <v>170</v>
      </c>
      <c r="AH20" s="147" t="s">
        <v>171</v>
      </c>
      <c r="AI20" s="147" t="s">
        <v>172</v>
      </c>
      <c r="DF20" s="154" t="s">
        <v>4</v>
      </c>
      <c r="DG20" s="149" t="s">
        <v>183</v>
      </c>
      <c r="DI20" s="147" t="s">
        <v>268</v>
      </c>
      <c r="DJ20" s="164" t="s">
        <v>13</v>
      </c>
    </row>
    <row r="21" spans="29:114" ht="15" thickBot="1" x14ac:dyDescent="0.35">
      <c r="AC21">
        <v>2008</v>
      </c>
      <c r="AD21" t="s">
        <v>121</v>
      </c>
      <c r="AE21">
        <v>61</v>
      </c>
      <c r="AF21" t="s">
        <v>121</v>
      </c>
      <c r="AG21" t="s">
        <v>121</v>
      </c>
      <c r="AH21" t="s">
        <v>121</v>
      </c>
      <c r="AI21">
        <v>104</v>
      </c>
      <c r="DF21" s="155">
        <v>2008</v>
      </c>
      <c r="DG21" s="150">
        <v>362</v>
      </c>
      <c r="DI21">
        <v>59</v>
      </c>
      <c r="DJ21">
        <f t="shared" ref="DJ21:DJ27" si="1">DG21+DI21</f>
        <v>421</v>
      </c>
    </row>
    <row r="22" spans="29:114" ht="15" thickBot="1" x14ac:dyDescent="0.35">
      <c r="AC22">
        <v>2009</v>
      </c>
      <c r="AD22" t="s">
        <v>121</v>
      </c>
      <c r="AE22">
        <v>88</v>
      </c>
      <c r="AF22" t="s">
        <v>121</v>
      </c>
      <c r="AG22" t="s">
        <v>121</v>
      </c>
      <c r="AH22" t="s">
        <v>121</v>
      </c>
      <c r="AI22">
        <v>106</v>
      </c>
      <c r="DF22" s="156">
        <v>2009</v>
      </c>
      <c r="DG22" s="151">
        <v>26</v>
      </c>
      <c r="DI22">
        <v>80</v>
      </c>
      <c r="DJ22">
        <f t="shared" si="1"/>
        <v>106</v>
      </c>
    </row>
    <row r="23" spans="29:114" ht="15" thickBot="1" x14ac:dyDescent="0.35">
      <c r="AC23">
        <v>2010</v>
      </c>
      <c r="AD23" t="s">
        <v>121</v>
      </c>
      <c r="AE23">
        <v>127</v>
      </c>
      <c r="AF23" t="s">
        <v>121</v>
      </c>
      <c r="AG23" t="s">
        <v>121</v>
      </c>
      <c r="AH23" t="s">
        <v>121</v>
      </c>
      <c r="AI23">
        <v>109</v>
      </c>
      <c r="DF23" s="155" t="s">
        <v>185</v>
      </c>
      <c r="DG23" s="150">
        <v>0</v>
      </c>
      <c r="DI23">
        <v>51</v>
      </c>
      <c r="DJ23">
        <f t="shared" si="1"/>
        <v>51</v>
      </c>
    </row>
    <row r="24" spans="29:114" ht="15" thickBot="1" x14ac:dyDescent="0.35">
      <c r="AC24">
        <v>2011</v>
      </c>
      <c r="AD24" t="s">
        <v>188</v>
      </c>
      <c r="AE24">
        <v>0</v>
      </c>
      <c r="AF24" t="s">
        <v>121</v>
      </c>
      <c r="AG24" t="s">
        <v>121</v>
      </c>
      <c r="AH24" t="s">
        <v>121</v>
      </c>
      <c r="AI24" t="s">
        <v>121</v>
      </c>
      <c r="DF24" s="156">
        <v>2011</v>
      </c>
      <c r="DG24" s="151">
        <v>26</v>
      </c>
      <c r="DI24">
        <v>172</v>
      </c>
      <c r="DJ24">
        <f t="shared" si="1"/>
        <v>198</v>
      </c>
    </row>
    <row r="25" spans="29:114" ht="15" thickBot="1" x14ac:dyDescent="0.35">
      <c r="AC25">
        <v>2012</v>
      </c>
      <c r="AD25" t="s">
        <v>121</v>
      </c>
      <c r="AE25">
        <v>14</v>
      </c>
      <c r="AF25" t="s">
        <v>121</v>
      </c>
      <c r="AG25" t="s">
        <v>121</v>
      </c>
      <c r="AH25" t="s">
        <v>121</v>
      </c>
      <c r="AI25" t="s">
        <v>121</v>
      </c>
      <c r="DF25" s="155">
        <v>2012</v>
      </c>
      <c r="DG25" s="150">
        <v>21</v>
      </c>
      <c r="DI25">
        <v>81</v>
      </c>
      <c r="DJ25">
        <f t="shared" si="1"/>
        <v>102</v>
      </c>
    </row>
    <row r="26" spans="29:114" ht="15" thickBot="1" x14ac:dyDescent="0.35">
      <c r="AC26">
        <v>2013</v>
      </c>
      <c r="AD26" t="s">
        <v>121</v>
      </c>
      <c r="AE26">
        <v>27</v>
      </c>
      <c r="AF26" t="s">
        <v>121</v>
      </c>
      <c r="AG26" t="s">
        <v>121</v>
      </c>
      <c r="AH26" t="s">
        <v>121</v>
      </c>
      <c r="AI26" t="s">
        <v>121</v>
      </c>
      <c r="DF26" s="156">
        <v>2013</v>
      </c>
      <c r="DG26" s="151">
        <v>155</v>
      </c>
      <c r="DI26">
        <v>112</v>
      </c>
      <c r="DJ26">
        <f t="shared" si="1"/>
        <v>267</v>
      </c>
    </row>
    <row r="27" spans="29:114" x14ac:dyDescent="0.3">
      <c r="AC27">
        <v>2014</v>
      </c>
      <c r="AD27" t="s">
        <v>121</v>
      </c>
      <c r="AE27">
        <v>25</v>
      </c>
      <c r="AF27" t="s">
        <v>121</v>
      </c>
      <c r="AG27" t="s">
        <v>121</v>
      </c>
      <c r="AH27" t="s">
        <v>121</v>
      </c>
      <c r="AI27" t="s">
        <v>121</v>
      </c>
      <c r="DF27" s="155">
        <v>2014</v>
      </c>
      <c r="DG27" s="150">
        <v>138</v>
      </c>
      <c r="DI27">
        <v>55</v>
      </c>
      <c r="DJ27">
        <f t="shared" si="1"/>
        <v>193</v>
      </c>
    </row>
    <row r="28" spans="29:114" x14ac:dyDescent="0.3">
      <c r="AC28">
        <v>2015</v>
      </c>
      <c r="AD28" t="s">
        <v>121</v>
      </c>
      <c r="AE28">
        <v>87</v>
      </c>
      <c r="AF28" t="s">
        <v>121</v>
      </c>
      <c r="AG28" t="s">
        <v>121</v>
      </c>
      <c r="AH28" t="s">
        <v>121</v>
      </c>
      <c r="AI28" t="s">
        <v>121</v>
      </c>
      <c r="DF28" t="s">
        <v>174</v>
      </c>
      <c r="DG28" s="18"/>
      <c r="DJ28">
        <f>GEOMEAN(DJ21:DJ27)</f>
        <v>157.16506263106396</v>
      </c>
    </row>
    <row r="29" spans="29:114" ht="15" customHeight="1" x14ac:dyDescent="0.3">
      <c r="AC29">
        <v>2016</v>
      </c>
      <c r="AD29" t="s">
        <v>121</v>
      </c>
      <c r="AE29">
        <v>294</v>
      </c>
      <c r="AF29">
        <v>292</v>
      </c>
      <c r="AG29" t="s">
        <v>121</v>
      </c>
      <c r="AH29" t="s">
        <v>121</v>
      </c>
      <c r="AI29" t="s">
        <v>121</v>
      </c>
      <c r="DI29" s="394" t="s">
        <v>318</v>
      </c>
    </row>
    <row r="30" spans="29:114" x14ac:dyDescent="0.3">
      <c r="AC30">
        <v>2017</v>
      </c>
      <c r="AD30" t="s">
        <v>121</v>
      </c>
      <c r="AE30">
        <v>18</v>
      </c>
      <c r="AF30">
        <v>15</v>
      </c>
      <c r="AG30" t="s">
        <v>121</v>
      </c>
      <c r="AH30" t="s">
        <v>121</v>
      </c>
      <c r="AI30" t="s">
        <v>121</v>
      </c>
      <c r="DI30" s="394"/>
    </row>
    <row r="31" spans="29:114" ht="15" thickBot="1" x14ac:dyDescent="0.35">
      <c r="AC31" t="s">
        <v>191</v>
      </c>
      <c r="AE31" s="18">
        <f>AVERAGE(AE21:AE30)</f>
        <v>74.099999999999994</v>
      </c>
      <c r="DF31" s="83" t="s">
        <v>187</v>
      </c>
      <c r="DI31" s="394"/>
    </row>
    <row r="32" spans="29:114" ht="33" customHeight="1" thickBot="1" x14ac:dyDescent="0.35">
      <c r="AC32" t="s">
        <v>186</v>
      </c>
      <c r="DF32" s="154" t="s">
        <v>4</v>
      </c>
      <c r="DG32" s="149" t="s">
        <v>183</v>
      </c>
      <c r="DI32" s="147" t="s">
        <v>268</v>
      </c>
      <c r="DJ32" s="164" t="s">
        <v>13</v>
      </c>
    </row>
    <row r="33" spans="98:114" ht="15" thickBot="1" x14ac:dyDescent="0.35">
      <c r="CT33" s="83" t="s">
        <v>322</v>
      </c>
      <c r="DF33" s="156">
        <v>2007</v>
      </c>
      <c r="DG33" s="151">
        <v>264</v>
      </c>
      <c r="DI33">
        <v>1</v>
      </c>
      <c r="DJ33">
        <f t="shared" ref="DJ33:DJ42" si="2">DI33+DG33</f>
        <v>265</v>
      </c>
    </row>
    <row r="34" spans="98:114" ht="15" thickBot="1" x14ac:dyDescent="0.35">
      <c r="DF34" s="155">
        <v>2008</v>
      </c>
      <c r="DG34" s="150">
        <v>25</v>
      </c>
      <c r="DI34">
        <v>150</v>
      </c>
      <c r="DJ34">
        <f t="shared" si="2"/>
        <v>175</v>
      </c>
    </row>
    <row r="35" spans="98:114" ht="15" thickBot="1" x14ac:dyDescent="0.35">
      <c r="DF35" s="156">
        <v>2009</v>
      </c>
      <c r="DG35" s="151">
        <v>58</v>
      </c>
      <c r="DI35">
        <v>31</v>
      </c>
      <c r="DJ35">
        <f t="shared" si="2"/>
        <v>89</v>
      </c>
    </row>
    <row r="36" spans="98:114" ht="15" thickBot="1" x14ac:dyDescent="0.35">
      <c r="DF36" s="155">
        <v>2010</v>
      </c>
      <c r="DG36" s="150">
        <v>157</v>
      </c>
      <c r="DI36">
        <v>23</v>
      </c>
      <c r="DJ36">
        <f t="shared" si="2"/>
        <v>180</v>
      </c>
    </row>
    <row r="37" spans="98:114" ht="15" thickBot="1" x14ac:dyDescent="0.35">
      <c r="DF37" s="156">
        <v>2011</v>
      </c>
      <c r="DG37" s="151">
        <v>90</v>
      </c>
      <c r="DI37">
        <v>68</v>
      </c>
      <c r="DJ37">
        <f t="shared" si="2"/>
        <v>158</v>
      </c>
    </row>
    <row r="38" spans="98:114" ht="15" thickBot="1" x14ac:dyDescent="0.35">
      <c r="DF38" s="155">
        <v>2012</v>
      </c>
      <c r="DG38" s="150">
        <v>190</v>
      </c>
      <c r="DI38">
        <v>71</v>
      </c>
      <c r="DJ38">
        <f t="shared" si="2"/>
        <v>261</v>
      </c>
    </row>
    <row r="39" spans="98:114" ht="15" thickBot="1" x14ac:dyDescent="0.35">
      <c r="DF39" s="156">
        <v>2013</v>
      </c>
      <c r="DG39" s="151">
        <v>60</v>
      </c>
      <c r="DI39">
        <v>4</v>
      </c>
      <c r="DJ39">
        <f t="shared" si="2"/>
        <v>64</v>
      </c>
    </row>
    <row r="40" spans="98:114" ht="15" thickBot="1" x14ac:dyDescent="0.35">
      <c r="DF40" s="155">
        <v>2014</v>
      </c>
      <c r="DG40" s="150">
        <v>403</v>
      </c>
      <c r="DI40">
        <v>0</v>
      </c>
      <c r="DJ40">
        <f t="shared" si="2"/>
        <v>403</v>
      </c>
    </row>
    <row r="41" spans="98:114" ht="15" thickBot="1" x14ac:dyDescent="0.35">
      <c r="DF41" s="156">
        <v>2015</v>
      </c>
      <c r="DG41" s="151">
        <v>147</v>
      </c>
      <c r="DI41">
        <v>31</v>
      </c>
      <c r="DJ41">
        <f t="shared" si="2"/>
        <v>178</v>
      </c>
    </row>
    <row r="42" spans="98:114" ht="15" thickBot="1" x14ac:dyDescent="0.35">
      <c r="DF42" s="155">
        <v>2016</v>
      </c>
      <c r="DG42" s="150">
        <v>49</v>
      </c>
      <c r="DI42">
        <v>0</v>
      </c>
      <c r="DJ42">
        <f t="shared" si="2"/>
        <v>49</v>
      </c>
    </row>
    <row r="43" spans="98:114" ht="15" thickBot="1" x14ac:dyDescent="0.35">
      <c r="DF43" s="160">
        <v>2017</v>
      </c>
      <c r="DG43" s="162">
        <v>68</v>
      </c>
    </row>
    <row r="44" spans="98:114" x14ac:dyDescent="0.3">
      <c r="DF44" t="s">
        <v>174</v>
      </c>
      <c r="DG44" s="18">
        <f>GEOMEAN(DG33:DG43)</f>
        <v>101.8025733084324</v>
      </c>
      <c r="DJ44">
        <f>GEOMEAN(DJ33:DJ42)</f>
        <v>152.69840936819196</v>
      </c>
    </row>
  </sheetData>
  <mergeCells count="3">
    <mergeCell ref="F6:G6"/>
    <mergeCell ref="DI17:DI19"/>
    <mergeCell ref="DI29:DI31"/>
  </mergeCells>
  <pageMargins left="0.7" right="0.7" top="0.75" bottom="0.75" header="0.3" footer="0.3"/>
  <pageSetup orientation="portrait" horizontalDpi="4294967293" verticalDpi="4294967293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93:AY153"/>
  <sheetViews>
    <sheetView topLeftCell="A99" workbookViewId="0">
      <selection activeCell="F135" sqref="F135"/>
    </sheetView>
  </sheetViews>
  <sheetFormatPr defaultRowHeight="14.4" x14ac:dyDescent="0.3"/>
  <cols>
    <col min="18" max="18" width="12.88671875" customWidth="1"/>
    <col min="27" max="27" width="11.109375" customWidth="1"/>
    <col min="40" max="40" width="14.33203125" customWidth="1"/>
  </cols>
  <sheetData>
    <row r="93" spans="26:29" x14ac:dyDescent="0.3">
      <c r="AA93" s="395" t="s">
        <v>190</v>
      </c>
      <c r="AB93" s="395"/>
      <c r="AC93" s="395"/>
    </row>
    <row r="94" spans="26:29" x14ac:dyDescent="0.3">
      <c r="Z94" s="163" t="s">
        <v>4</v>
      </c>
      <c r="AA94" s="163" t="s">
        <v>197</v>
      </c>
      <c r="AB94" s="163" t="s">
        <v>14</v>
      </c>
      <c r="AC94" s="163" t="s">
        <v>13</v>
      </c>
    </row>
    <row r="95" spans="26:29" x14ac:dyDescent="0.3">
      <c r="Z95">
        <v>2002</v>
      </c>
      <c r="AA95" s="18">
        <v>248180</v>
      </c>
      <c r="AB95" s="18">
        <v>237980</v>
      </c>
      <c r="AC95" s="18">
        <f>SUM(AA95:AB95)</f>
        <v>486160</v>
      </c>
    </row>
    <row r="96" spans="26:29" x14ac:dyDescent="0.3">
      <c r="Z96">
        <v>2003</v>
      </c>
      <c r="AA96" s="18">
        <v>197124</v>
      </c>
      <c r="AB96" s="18">
        <v>238466</v>
      </c>
      <c r="AC96" s="18">
        <f t="shared" ref="AC96:AC104" si="0">SUM(AA96:AB96)</f>
        <v>435590</v>
      </c>
    </row>
    <row r="97" spans="3:41" x14ac:dyDescent="0.3">
      <c r="Z97">
        <v>2004</v>
      </c>
      <c r="AA97" s="18">
        <v>212106</v>
      </c>
      <c r="AB97" s="18">
        <v>171085</v>
      </c>
      <c r="AC97" s="18">
        <f t="shared" si="0"/>
        <v>383191</v>
      </c>
    </row>
    <row r="98" spans="3:41" x14ac:dyDescent="0.3">
      <c r="Z98">
        <v>2005</v>
      </c>
      <c r="AA98" s="18">
        <v>230989</v>
      </c>
      <c r="AB98" s="18">
        <v>125050</v>
      </c>
      <c r="AC98" s="18">
        <f t="shared" si="0"/>
        <v>356039</v>
      </c>
    </row>
    <row r="99" spans="3:41" x14ac:dyDescent="0.3">
      <c r="Z99">
        <v>2006</v>
      </c>
      <c r="AA99" s="18">
        <v>181526</v>
      </c>
      <c r="AB99" s="18">
        <v>120481</v>
      </c>
      <c r="AC99" s="18">
        <f t="shared" si="0"/>
        <v>302007</v>
      </c>
    </row>
    <row r="100" spans="3:41" x14ac:dyDescent="0.3">
      <c r="Z100">
        <v>2007</v>
      </c>
      <c r="AA100" s="18">
        <v>175040</v>
      </c>
      <c r="AB100" s="18">
        <v>125050</v>
      </c>
      <c r="AC100" s="18">
        <f t="shared" si="0"/>
        <v>300090</v>
      </c>
    </row>
    <row r="101" spans="3:41" x14ac:dyDescent="0.3">
      <c r="Z101">
        <v>2008</v>
      </c>
      <c r="AA101" s="18">
        <v>196766</v>
      </c>
      <c r="AB101" s="18">
        <v>120481</v>
      </c>
      <c r="AC101" s="18">
        <f t="shared" si="0"/>
        <v>317247</v>
      </c>
    </row>
    <row r="102" spans="3:41" x14ac:dyDescent="0.3">
      <c r="Z102">
        <v>2009</v>
      </c>
      <c r="AA102" s="18">
        <v>285560</v>
      </c>
      <c r="AB102" s="18">
        <v>149362</v>
      </c>
      <c r="AC102" s="18">
        <f t="shared" si="0"/>
        <v>434922</v>
      </c>
    </row>
    <row r="103" spans="3:41" x14ac:dyDescent="0.3">
      <c r="Z103">
        <v>2010</v>
      </c>
      <c r="AA103" s="18">
        <v>213797</v>
      </c>
      <c r="AB103" s="18">
        <v>139127</v>
      </c>
      <c r="AC103" s="18">
        <f t="shared" si="0"/>
        <v>352924</v>
      </c>
      <c r="AM103" s="396" t="s">
        <v>190</v>
      </c>
      <c r="AN103" s="396"/>
      <c r="AO103" s="396"/>
    </row>
    <row r="104" spans="3:41" x14ac:dyDescent="0.3">
      <c r="Z104">
        <v>2011</v>
      </c>
      <c r="AA104" s="18">
        <v>0</v>
      </c>
      <c r="AB104" s="18">
        <v>522765</v>
      </c>
      <c r="AC104" s="18">
        <f t="shared" si="0"/>
        <v>522765</v>
      </c>
      <c r="AL104" s="163" t="s">
        <v>4</v>
      </c>
      <c r="AM104" s="163" t="s">
        <v>198</v>
      </c>
      <c r="AN104" s="163" t="s">
        <v>199</v>
      </c>
      <c r="AO104" s="163" t="s">
        <v>13</v>
      </c>
    </row>
    <row r="105" spans="3:41" x14ac:dyDescent="0.3">
      <c r="Z105" t="s">
        <v>191</v>
      </c>
      <c r="AA105" s="18"/>
      <c r="AB105" s="18"/>
      <c r="AC105" s="18">
        <f>AVERAGE(AC95:AC104)</f>
        <v>389093.5</v>
      </c>
      <c r="AL105">
        <v>2004</v>
      </c>
      <c r="AM105" s="18">
        <v>926669</v>
      </c>
      <c r="AN105" s="18"/>
    </row>
    <row r="106" spans="3:41" x14ac:dyDescent="0.3">
      <c r="Z106" t="s">
        <v>195</v>
      </c>
      <c r="AA106" s="18">
        <v>375000</v>
      </c>
      <c r="AB106" s="18">
        <v>125000</v>
      </c>
      <c r="AC106" s="18">
        <f>SUM(AA106:AB106)</f>
        <v>500000</v>
      </c>
      <c r="AL106">
        <v>2005</v>
      </c>
      <c r="AM106" s="18">
        <f>782854+97600</f>
        <v>880454</v>
      </c>
      <c r="AN106" s="18"/>
    </row>
    <row r="107" spans="3:41" x14ac:dyDescent="0.3">
      <c r="AL107">
        <v>2006</v>
      </c>
      <c r="AM107" s="18">
        <v>955367</v>
      </c>
      <c r="AN107" s="18"/>
    </row>
    <row r="108" spans="3:41" x14ac:dyDescent="0.3">
      <c r="AL108">
        <v>2007</v>
      </c>
      <c r="AM108" s="18">
        <v>945195</v>
      </c>
      <c r="AN108" s="18"/>
    </row>
    <row r="109" spans="3:41" x14ac:dyDescent="0.3">
      <c r="AL109">
        <v>2008</v>
      </c>
      <c r="AM109" s="18">
        <v>915191</v>
      </c>
      <c r="AN109" s="18"/>
    </row>
    <row r="110" spans="3:41" x14ac:dyDescent="0.3">
      <c r="AL110">
        <v>2009</v>
      </c>
      <c r="AM110" s="18">
        <f>448527+505149</f>
        <v>953676</v>
      </c>
      <c r="AN110" s="18"/>
    </row>
    <row r="111" spans="3:41" x14ac:dyDescent="0.3">
      <c r="AL111">
        <v>2010</v>
      </c>
      <c r="AM111" s="18">
        <v>961435</v>
      </c>
      <c r="AN111" s="18"/>
    </row>
    <row r="112" spans="3:41" x14ac:dyDescent="0.3">
      <c r="C112" t="s">
        <v>189</v>
      </c>
      <c r="AL112">
        <v>2011</v>
      </c>
      <c r="AM112" s="18">
        <v>904139</v>
      </c>
      <c r="AN112" s="18"/>
    </row>
    <row r="113" spans="2:41" x14ac:dyDescent="0.3">
      <c r="B113" t="s">
        <v>4</v>
      </c>
      <c r="C113" t="s">
        <v>190</v>
      </c>
      <c r="AL113">
        <v>2012</v>
      </c>
      <c r="AM113" s="18">
        <v>1256990</v>
      </c>
      <c r="AN113" s="18">
        <v>15440</v>
      </c>
    </row>
    <row r="114" spans="2:41" x14ac:dyDescent="0.3">
      <c r="C114" s="18">
        <v>1969026</v>
      </c>
      <c r="AL114">
        <v>2013</v>
      </c>
      <c r="AM114" s="18">
        <v>731662</v>
      </c>
      <c r="AN114" s="18">
        <v>16200</v>
      </c>
    </row>
    <row r="115" spans="2:41" x14ac:dyDescent="0.3">
      <c r="C115" s="18">
        <v>925796</v>
      </c>
      <c r="AL115" t="s">
        <v>191</v>
      </c>
      <c r="AM115" s="18">
        <f>AVERAGE(AM105:AM114)</f>
        <v>943077.8</v>
      </c>
      <c r="AN115" s="18">
        <f>AVERAGE(AN113:AN114)</f>
        <v>15820</v>
      </c>
    </row>
    <row r="116" spans="2:41" x14ac:dyDescent="0.3">
      <c r="C116" s="18">
        <v>794037</v>
      </c>
      <c r="AL116" t="s">
        <v>195</v>
      </c>
      <c r="AM116" s="18">
        <f>1250000+85000</f>
        <v>1335000</v>
      </c>
      <c r="AN116" s="18">
        <v>15000</v>
      </c>
      <c r="AO116" s="18">
        <f>SUM(AM116:AN116)</f>
        <v>1350000</v>
      </c>
    </row>
    <row r="117" spans="2:41" x14ac:dyDescent="0.3">
      <c r="C117" s="18">
        <v>936108</v>
      </c>
    </row>
    <row r="118" spans="2:41" x14ac:dyDescent="0.3">
      <c r="C118" s="18">
        <v>840658</v>
      </c>
    </row>
    <row r="119" spans="2:41" x14ac:dyDescent="0.3">
      <c r="C119" s="18">
        <v>1172197</v>
      </c>
    </row>
    <row r="120" spans="2:41" x14ac:dyDescent="0.3">
      <c r="C120" s="18">
        <v>1056669</v>
      </c>
    </row>
    <row r="121" spans="2:41" x14ac:dyDescent="0.3">
      <c r="C121" s="18">
        <v>1124255</v>
      </c>
      <c r="O121" s="395" t="s">
        <v>194</v>
      </c>
      <c r="P121" s="395"/>
      <c r="Q121" s="395"/>
      <c r="R121" s="164" t="s">
        <v>193</v>
      </c>
      <c r="S121" s="164" t="s">
        <v>196</v>
      </c>
    </row>
    <row r="122" spans="2:41" x14ac:dyDescent="0.3">
      <c r="C122" s="18">
        <v>1509159</v>
      </c>
      <c r="N122" s="163" t="s">
        <v>4</v>
      </c>
      <c r="O122" s="163" t="s">
        <v>14</v>
      </c>
      <c r="P122" s="163" t="s">
        <v>192</v>
      </c>
      <c r="Q122" s="163" t="s">
        <v>13</v>
      </c>
      <c r="R122" s="163" t="s">
        <v>190</v>
      </c>
      <c r="S122" s="164" t="s">
        <v>13</v>
      </c>
    </row>
    <row r="123" spans="2:41" x14ac:dyDescent="0.3">
      <c r="C123" s="18">
        <v>1646624</v>
      </c>
      <c r="N123" s="164">
        <v>2002</v>
      </c>
      <c r="O123" s="165">
        <v>1097361</v>
      </c>
      <c r="P123" s="165">
        <v>49000</v>
      </c>
      <c r="Q123" s="165">
        <f>SUM(O123:P123)</f>
        <v>1146361</v>
      </c>
      <c r="R123" s="165">
        <v>497653</v>
      </c>
    </row>
    <row r="124" spans="2:41" x14ac:dyDescent="0.3">
      <c r="B124" t="s">
        <v>191</v>
      </c>
      <c r="C124" s="18">
        <f>AVERAGE(C114:C123)</f>
        <v>1197452.8999999999</v>
      </c>
      <c r="N124">
        <v>2003</v>
      </c>
      <c r="O124" s="18">
        <v>975259</v>
      </c>
      <c r="P124" s="18">
        <v>50000</v>
      </c>
      <c r="Q124" s="165">
        <f t="shared" ref="Q124:Q133" si="1">SUM(O124:P124)</f>
        <v>1025259</v>
      </c>
      <c r="R124" s="18">
        <v>943456</v>
      </c>
    </row>
    <row r="125" spans="2:41" x14ac:dyDescent="0.3">
      <c r="N125">
        <v>2004</v>
      </c>
      <c r="O125" s="18">
        <v>951682</v>
      </c>
      <c r="P125" s="18">
        <v>56965</v>
      </c>
      <c r="Q125" s="165">
        <f t="shared" si="1"/>
        <v>1008647</v>
      </c>
      <c r="R125" s="18">
        <v>289092</v>
      </c>
    </row>
    <row r="126" spans="2:41" x14ac:dyDescent="0.3">
      <c r="N126">
        <v>2005</v>
      </c>
      <c r="O126" s="18">
        <v>962333</v>
      </c>
      <c r="P126" s="18">
        <v>55800</v>
      </c>
      <c r="Q126" s="165">
        <f t="shared" si="1"/>
        <v>1018133</v>
      </c>
      <c r="R126" s="165">
        <v>265657</v>
      </c>
    </row>
    <row r="127" spans="2:41" x14ac:dyDescent="0.3">
      <c r="N127">
        <v>2006</v>
      </c>
      <c r="O127" s="18">
        <v>969813</v>
      </c>
      <c r="P127" s="18">
        <v>24877</v>
      </c>
      <c r="Q127" s="165">
        <f t="shared" si="1"/>
        <v>994690</v>
      </c>
      <c r="R127" s="165">
        <v>292538</v>
      </c>
    </row>
    <row r="128" spans="2:41" x14ac:dyDescent="0.3">
      <c r="N128">
        <v>2007</v>
      </c>
      <c r="O128" s="18">
        <v>1270010</v>
      </c>
      <c r="P128" s="18">
        <v>53526</v>
      </c>
      <c r="Q128" s="165">
        <f t="shared" si="1"/>
        <v>1323536</v>
      </c>
      <c r="R128" s="165">
        <v>264939</v>
      </c>
    </row>
    <row r="129" spans="14:51" x14ac:dyDescent="0.3">
      <c r="N129">
        <v>2008</v>
      </c>
      <c r="O129" s="18">
        <v>903214</v>
      </c>
      <c r="P129" s="18">
        <v>53921</v>
      </c>
      <c r="Q129" s="165">
        <f t="shared" si="1"/>
        <v>957135</v>
      </c>
      <c r="R129" s="165">
        <v>296018</v>
      </c>
    </row>
    <row r="130" spans="14:51" x14ac:dyDescent="0.3">
      <c r="N130">
        <v>2009</v>
      </c>
      <c r="O130" s="18">
        <v>880607</v>
      </c>
      <c r="P130" s="18">
        <v>53423</v>
      </c>
      <c r="Q130" s="165">
        <f t="shared" si="1"/>
        <v>934030</v>
      </c>
      <c r="R130" s="165">
        <v>300718</v>
      </c>
    </row>
    <row r="131" spans="14:51" x14ac:dyDescent="0.3">
      <c r="N131">
        <v>2010</v>
      </c>
      <c r="O131" s="18">
        <v>904851</v>
      </c>
      <c r="P131" s="18">
        <v>55943</v>
      </c>
      <c r="Q131" s="165">
        <f t="shared" si="1"/>
        <v>960794</v>
      </c>
      <c r="R131" s="165">
        <v>319553</v>
      </c>
    </row>
    <row r="132" spans="14:51" x14ac:dyDescent="0.3">
      <c r="N132">
        <v>2011</v>
      </c>
      <c r="O132" s="18">
        <v>732347</v>
      </c>
      <c r="P132" s="18">
        <v>45022</v>
      </c>
      <c r="Q132" s="165">
        <f t="shared" si="1"/>
        <v>777369</v>
      </c>
      <c r="R132" s="165">
        <v>299576</v>
      </c>
    </row>
    <row r="133" spans="14:51" x14ac:dyDescent="0.3">
      <c r="N133">
        <v>2012</v>
      </c>
      <c r="O133" s="18">
        <v>829096</v>
      </c>
      <c r="P133" s="18">
        <v>52281</v>
      </c>
      <c r="Q133" s="165">
        <f t="shared" si="1"/>
        <v>881377</v>
      </c>
      <c r="R133" s="18"/>
    </row>
    <row r="134" spans="14:51" x14ac:dyDescent="0.3">
      <c r="N134" t="s">
        <v>191</v>
      </c>
      <c r="O134" s="18"/>
      <c r="P134" s="18"/>
      <c r="Q134" s="18">
        <f>AVERAGE(Q123:Q133)</f>
        <v>1002484.6363636364</v>
      </c>
      <c r="R134" s="18">
        <f>AVERAGE(R123:R132)</f>
        <v>376920</v>
      </c>
    </row>
    <row r="135" spans="14:51" x14ac:dyDescent="0.3">
      <c r="N135" t="s">
        <v>195</v>
      </c>
      <c r="O135" s="18">
        <v>1296899</v>
      </c>
      <c r="Q135" s="18">
        <f>O135</f>
        <v>1296899</v>
      </c>
      <c r="R135" s="165">
        <v>500000</v>
      </c>
      <c r="S135" s="18">
        <f>SUM(Q135:R135)</f>
        <v>1796899</v>
      </c>
    </row>
    <row r="143" spans="14:51" x14ac:dyDescent="0.3">
      <c r="AX143" s="163" t="s">
        <v>4</v>
      </c>
      <c r="AY143" s="163" t="s">
        <v>190</v>
      </c>
    </row>
    <row r="144" spans="14:51" x14ac:dyDescent="0.3">
      <c r="AX144">
        <v>2004</v>
      </c>
      <c r="AY144" s="18">
        <v>282310</v>
      </c>
    </row>
    <row r="145" spans="50:51" x14ac:dyDescent="0.3">
      <c r="AX145">
        <v>2005</v>
      </c>
      <c r="AY145" s="18">
        <v>319968</v>
      </c>
    </row>
    <row r="146" spans="50:51" x14ac:dyDescent="0.3">
      <c r="AX146">
        <v>2006</v>
      </c>
      <c r="AY146" s="18">
        <v>295089</v>
      </c>
    </row>
    <row r="147" spans="50:51" x14ac:dyDescent="0.3">
      <c r="AX147">
        <v>2007</v>
      </c>
      <c r="AY147" s="18">
        <v>258571</v>
      </c>
    </row>
    <row r="148" spans="50:51" x14ac:dyDescent="0.3">
      <c r="AX148">
        <v>2008</v>
      </c>
      <c r="AY148" s="18">
        <v>298172</v>
      </c>
    </row>
    <row r="149" spans="50:51" x14ac:dyDescent="0.3">
      <c r="AX149">
        <v>2009</v>
      </c>
      <c r="AY149" s="18">
        <v>271683</v>
      </c>
    </row>
    <row r="150" spans="50:51" x14ac:dyDescent="0.3">
      <c r="AX150">
        <v>2010</v>
      </c>
      <c r="AY150" s="18">
        <v>207583</v>
      </c>
    </row>
    <row r="151" spans="50:51" x14ac:dyDescent="0.3">
      <c r="AX151">
        <v>2011</v>
      </c>
      <c r="AY151" s="18">
        <v>289962</v>
      </c>
    </row>
    <row r="152" spans="50:51" x14ac:dyDescent="0.3">
      <c r="AX152">
        <v>2012</v>
      </c>
      <c r="AY152" s="18">
        <f>97546+149042</f>
        <v>246588</v>
      </c>
    </row>
    <row r="153" spans="50:51" x14ac:dyDescent="0.3">
      <c r="AX153" t="s">
        <v>191</v>
      </c>
      <c r="AY153" s="18">
        <f>AVERAGE(AY144:AY152)</f>
        <v>274436.22222222225</v>
      </c>
    </row>
  </sheetData>
  <mergeCells count="3">
    <mergeCell ref="O121:Q121"/>
    <mergeCell ref="AA93:AC93"/>
    <mergeCell ref="AM103:AO10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Y4:AQ257"/>
  <sheetViews>
    <sheetView workbookViewId="0"/>
  </sheetViews>
  <sheetFormatPr defaultRowHeight="14.4" x14ac:dyDescent="0.3"/>
  <cols>
    <col min="27" max="27" width="12.5546875" customWidth="1"/>
    <col min="28" max="28" width="11.88671875" customWidth="1"/>
    <col min="29" max="29" width="10.88671875" customWidth="1"/>
  </cols>
  <sheetData>
    <row r="4" spans="25:43" x14ac:dyDescent="0.3">
      <c r="Y4" t="s">
        <v>214</v>
      </c>
      <c r="AJ4" t="s">
        <v>225</v>
      </c>
    </row>
    <row r="5" spans="25:43" x14ac:dyDescent="0.3">
      <c r="Z5" t="s">
        <v>217</v>
      </c>
    </row>
    <row r="6" spans="25:43" x14ac:dyDescent="0.3">
      <c r="Z6" s="164" t="s">
        <v>13</v>
      </c>
      <c r="AA6" s="397" t="s">
        <v>207</v>
      </c>
      <c r="AB6" s="397"/>
      <c r="AC6" s="397" t="s">
        <v>208</v>
      </c>
      <c r="AD6" s="397"/>
      <c r="AJ6" t="s">
        <v>220</v>
      </c>
      <c r="AO6" t="s">
        <v>221</v>
      </c>
      <c r="AQ6" s="175">
        <v>4.2555555555555564</v>
      </c>
    </row>
    <row r="7" spans="25:43" x14ac:dyDescent="0.3">
      <c r="Y7" s="163" t="s">
        <v>4</v>
      </c>
      <c r="Z7" s="163" t="s">
        <v>40</v>
      </c>
      <c r="AA7" s="163" t="s">
        <v>205</v>
      </c>
      <c r="AB7" s="163" t="s">
        <v>206</v>
      </c>
      <c r="AC7" s="163" t="s">
        <v>205</v>
      </c>
      <c r="AD7" s="163" t="s">
        <v>206</v>
      </c>
      <c r="AO7" t="s">
        <v>222</v>
      </c>
      <c r="AQ7" s="175">
        <v>2.3888888888888888</v>
      </c>
    </row>
    <row r="8" spans="25:43" x14ac:dyDescent="0.3">
      <c r="Y8" s="164">
        <v>2007</v>
      </c>
      <c r="Z8" s="18">
        <f t="shared" ref="Z8:Z17" si="0">AF66</f>
        <v>28861</v>
      </c>
      <c r="AA8" s="18">
        <f t="shared" ref="AA8:AA17" si="1">AC100</f>
        <v>700</v>
      </c>
      <c r="AB8" s="18">
        <f t="shared" ref="AB8:AB17" si="2">AC175</f>
        <v>1100</v>
      </c>
      <c r="AC8" s="173">
        <f t="shared" ref="AC8:AC17" si="3">AA8/Z8</f>
        <v>2.4254183846713559E-2</v>
      </c>
      <c r="AD8" s="173">
        <f t="shared" ref="AD8:AD17" si="4">AB8/Z8</f>
        <v>3.811371747340702E-2</v>
      </c>
      <c r="AO8" t="s">
        <v>223</v>
      </c>
      <c r="AQ8" s="175">
        <v>2.02</v>
      </c>
    </row>
    <row r="9" spans="25:43" x14ac:dyDescent="0.3">
      <c r="Y9">
        <v>2008</v>
      </c>
      <c r="Z9" s="18">
        <f t="shared" si="0"/>
        <v>15979</v>
      </c>
      <c r="AA9" s="18">
        <f t="shared" si="1"/>
        <v>100</v>
      </c>
      <c r="AB9" s="18">
        <f t="shared" si="2"/>
        <v>500</v>
      </c>
      <c r="AC9" s="173">
        <f t="shared" si="3"/>
        <v>6.2582139057512989E-3</v>
      </c>
      <c r="AD9" s="173">
        <f t="shared" si="4"/>
        <v>3.1291069528756495E-2</v>
      </c>
      <c r="AO9" t="s">
        <v>224</v>
      </c>
      <c r="AQ9" s="175">
        <v>8.6644444444444453</v>
      </c>
    </row>
    <row r="10" spans="25:43" x14ac:dyDescent="0.3">
      <c r="Y10">
        <v>2009</v>
      </c>
      <c r="Z10" s="18">
        <f t="shared" si="0"/>
        <v>13394</v>
      </c>
      <c r="AA10" s="18">
        <f t="shared" si="1"/>
        <v>100</v>
      </c>
      <c r="AB10" s="18">
        <f t="shared" si="2"/>
        <v>700</v>
      </c>
      <c r="AC10" s="173">
        <f t="shared" si="3"/>
        <v>7.4660295654770791E-3</v>
      </c>
      <c r="AD10" s="173">
        <f t="shared" si="4"/>
        <v>5.2262206958339552E-2</v>
      </c>
    </row>
    <row r="11" spans="25:43" x14ac:dyDescent="0.3">
      <c r="Y11">
        <v>2010</v>
      </c>
      <c r="Z11" s="18">
        <f t="shared" si="0"/>
        <v>42390</v>
      </c>
      <c r="AA11" s="18">
        <f t="shared" si="1"/>
        <v>200</v>
      </c>
      <c r="AB11" s="18">
        <f t="shared" si="2"/>
        <v>1100</v>
      </c>
      <c r="AC11" s="173">
        <f t="shared" si="3"/>
        <v>4.7180938900684127E-3</v>
      </c>
      <c r="AD11" s="173">
        <f t="shared" si="4"/>
        <v>2.5949516395376269E-2</v>
      </c>
      <c r="AN11" t="s">
        <v>227</v>
      </c>
      <c r="AQ11" s="18">
        <f>Z18</f>
        <v>27001.5</v>
      </c>
    </row>
    <row r="12" spans="25:43" x14ac:dyDescent="0.3">
      <c r="Y12">
        <v>2011</v>
      </c>
      <c r="Z12" s="18">
        <f t="shared" si="0"/>
        <v>21037</v>
      </c>
      <c r="AA12" s="18">
        <f t="shared" si="1"/>
        <v>300</v>
      </c>
      <c r="AB12" s="18">
        <f t="shared" si="2"/>
        <v>500</v>
      </c>
      <c r="AC12" s="173">
        <f t="shared" si="3"/>
        <v>1.4260588486951562E-2</v>
      </c>
      <c r="AD12" s="173">
        <f t="shared" si="4"/>
        <v>2.3767647478252604E-2</v>
      </c>
      <c r="AN12" t="s">
        <v>226</v>
      </c>
      <c r="AQ12" s="18">
        <f>AQ11/(1-(AQ9/100))</f>
        <v>29562.966837789834</v>
      </c>
    </row>
    <row r="13" spans="25:43" x14ac:dyDescent="0.3">
      <c r="Y13">
        <v>2012</v>
      </c>
      <c r="Z13" s="18">
        <f t="shared" si="0"/>
        <v>28635</v>
      </c>
      <c r="AA13" s="18">
        <f t="shared" si="1"/>
        <v>400</v>
      </c>
      <c r="AB13" s="18">
        <f t="shared" si="2"/>
        <v>200</v>
      </c>
      <c r="AC13" s="173">
        <f t="shared" si="3"/>
        <v>1.3968919154880391E-2</v>
      </c>
      <c r="AD13" s="173">
        <f t="shared" si="4"/>
        <v>6.9844595774401956E-3</v>
      </c>
      <c r="AN13" t="s">
        <v>228</v>
      </c>
      <c r="AQ13" s="18">
        <f>AQ12-AQ11</f>
        <v>2561.4668377898342</v>
      </c>
    </row>
    <row r="14" spans="25:43" x14ac:dyDescent="0.3">
      <c r="Y14">
        <v>2013</v>
      </c>
      <c r="Z14" s="18">
        <f t="shared" si="0"/>
        <v>19798</v>
      </c>
      <c r="AA14" s="18">
        <f t="shared" si="1"/>
        <v>200</v>
      </c>
      <c r="AB14" s="18">
        <f t="shared" si="2"/>
        <v>200</v>
      </c>
      <c r="AC14" s="173">
        <f t="shared" si="3"/>
        <v>1.0102030508132135E-2</v>
      </c>
      <c r="AD14" s="173">
        <f t="shared" si="4"/>
        <v>1.0102030508132135E-2</v>
      </c>
    </row>
    <row r="15" spans="25:43" x14ac:dyDescent="0.3">
      <c r="Y15">
        <v>2014</v>
      </c>
      <c r="Z15" s="18">
        <f t="shared" si="0"/>
        <v>16324</v>
      </c>
      <c r="AA15" s="18">
        <f t="shared" si="1"/>
        <v>200</v>
      </c>
      <c r="AB15" s="18">
        <f t="shared" si="2"/>
        <v>600</v>
      </c>
      <c r="AC15" s="173">
        <f t="shared" si="3"/>
        <v>1.2251899044351875E-2</v>
      </c>
      <c r="AD15" s="173">
        <f t="shared" si="4"/>
        <v>3.6755697133055626E-2</v>
      </c>
    </row>
    <row r="16" spans="25:43" x14ac:dyDescent="0.3">
      <c r="Y16">
        <v>2015</v>
      </c>
      <c r="Z16" s="18">
        <f t="shared" si="0"/>
        <v>43959</v>
      </c>
      <c r="AA16" s="18">
        <f t="shared" si="1"/>
        <v>500</v>
      </c>
      <c r="AB16" s="18">
        <f t="shared" si="2"/>
        <v>900</v>
      </c>
      <c r="AC16" s="173">
        <f t="shared" si="3"/>
        <v>1.1374235082690689E-2</v>
      </c>
      <c r="AD16" s="173">
        <f t="shared" si="4"/>
        <v>2.047362314884324E-2</v>
      </c>
    </row>
    <row r="17" spans="25:32" x14ac:dyDescent="0.3">
      <c r="Y17">
        <v>2016</v>
      </c>
      <c r="Z17" s="18">
        <f t="shared" si="0"/>
        <v>39638</v>
      </c>
      <c r="AA17" s="18">
        <f t="shared" si="1"/>
        <v>500</v>
      </c>
      <c r="AB17" s="18">
        <f t="shared" si="2"/>
        <v>1400</v>
      </c>
      <c r="AC17" s="173">
        <f t="shared" si="3"/>
        <v>1.2614158131086331E-2</v>
      </c>
      <c r="AD17" s="173">
        <f t="shared" si="4"/>
        <v>3.5319642767041727E-2</v>
      </c>
    </row>
    <row r="18" spans="25:32" x14ac:dyDescent="0.3">
      <c r="Y18" t="s">
        <v>215</v>
      </c>
      <c r="Z18" s="18">
        <f>AVERAGE(Z8:Z17)</f>
        <v>27001.5</v>
      </c>
      <c r="AA18" s="18">
        <f>AVERAGE(AA8:AA17)</f>
        <v>320</v>
      </c>
      <c r="AB18" s="18">
        <f>AVERAGE(AB8:AB17)</f>
        <v>720</v>
      </c>
      <c r="AC18" s="173">
        <f>AVERAGE(AC8:AC17)</f>
        <v>1.1726835161610334E-2</v>
      </c>
      <c r="AD18" s="173">
        <f>AVERAGE(AD8:AD17)</f>
        <v>2.8101961096864487E-2</v>
      </c>
    </row>
    <row r="21" spans="25:32" x14ac:dyDescent="0.3">
      <c r="Y21" t="s">
        <v>213</v>
      </c>
    </row>
    <row r="22" spans="25:32" x14ac:dyDescent="0.3">
      <c r="Z22" t="s">
        <v>218</v>
      </c>
    </row>
    <row r="23" spans="25:32" x14ac:dyDescent="0.3">
      <c r="Z23" s="164" t="s">
        <v>13</v>
      </c>
      <c r="AA23" s="397" t="s">
        <v>207</v>
      </c>
      <c r="AB23" s="397"/>
      <c r="AC23" s="397" t="s">
        <v>208</v>
      </c>
      <c r="AD23" s="397"/>
      <c r="AE23" s="397" t="s">
        <v>210</v>
      </c>
      <c r="AF23" s="397"/>
    </row>
    <row r="24" spans="25:32" x14ac:dyDescent="0.3">
      <c r="Y24" s="163" t="s">
        <v>4</v>
      </c>
      <c r="Z24" s="163" t="s">
        <v>40</v>
      </c>
      <c r="AA24" s="163" t="s">
        <v>205</v>
      </c>
      <c r="AB24" s="163" t="s">
        <v>206</v>
      </c>
      <c r="AC24" s="163" t="s">
        <v>205</v>
      </c>
      <c r="AD24" s="163" t="s">
        <v>206</v>
      </c>
      <c r="AE24" s="163" t="s">
        <v>205</v>
      </c>
      <c r="AF24" s="163" t="s">
        <v>206</v>
      </c>
    </row>
    <row r="25" spans="25:32" x14ac:dyDescent="0.3">
      <c r="Y25" s="164">
        <v>2007</v>
      </c>
      <c r="Z25" s="18">
        <f>AG66</f>
        <v>22442</v>
      </c>
      <c r="AA25" s="18">
        <f>AA100</f>
        <v>600</v>
      </c>
      <c r="AB25" s="18">
        <f>AA175</f>
        <v>1000</v>
      </c>
      <c r="AC25" s="173">
        <f t="shared" ref="AC25:AC34" si="5">AA25/Z25</f>
        <v>2.673558506371981E-2</v>
      </c>
      <c r="AD25" s="173">
        <f t="shared" ref="AD25:AD34" si="6">AB25/Z25</f>
        <v>4.455930843953302E-2</v>
      </c>
      <c r="AE25" s="173">
        <f>AC25*0.25</f>
        <v>6.6838962659299525E-3</v>
      </c>
      <c r="AF25" s="173">
        <f>AD25*0.1</f>
        <v>4.4559308439533025E-3</v>
      </c>
    </row>
    <row r="26" spans="25:32" x14ac:dyDescent="0.3">
      <c r="Y26">
        <v>2008</v>
      </c>
      <c r="Z26" s="18">
        <f t="shared" ref="Z26:Z34" si="7">AG67</f>
        <v>12672</v>
      </c>
      <c r="AA26" s="18">
        <f t="shared" ref="AA26:AA34" si="8">AA101</f>
        <v>100</v>
      </c>
      <c r="AB26" s="18">
        <f t="shared" ref="AB26:AB34" si="9">AA176</f>
        <v>500</v>
      </c>
      <c r="AC26" s="173">
        <f t="shared" si="5"/>
        <v>7.8914141414141419E-3</v>
      </c>
      <c r="AD26" s="173">
        <f t="shared" si="6"/>
        <v>3.9457070707070704E-2</v>
      </c>
      <c r="AE26" s="173">
        <f t="shared" ref="AE26:AE34" si="10">AC26*0.25</f>
        <v>1.9728535353535355E-3</v>
      </c>
      <c r="AF26" s="173">
        <f t="shared" ref="AF26:AF34" si="11">AD26*0.1</f>
        <v>3.945707070707071E-3</v>
      </c>
    </row>
    <row r="27" spans="25:32" x14ac:dyDescent="0.3">
      <c r="Y27">
        <v>2009</v>
      </c>
      <c r="Z27" s="18">
        <f t="shared" si="7"/>
        <v>10279</v>
      </c>
      <c r="AA27" s="18">
        <f t="shared" si="8"/>
        <v>100</v>
      </c>
      <c r="AB27" s="18">
        <f t="shared" si="9"/>
        <v>600</v>
      </c>
      <c r="AC27" s="173">
        <f t="shared" si="5"/>
        <v>9.7285728183675452E-3</v>
      </c>
      <c r="AD27" s="173">
        <f t="shared" si="6"/>
        <v>5.8371436910205271E-2</v>
      </c>
      <c r="AE27" s="173">
        <f t="shared" si="10"/>
        <v>2.4321432045918863E-3</v>
      </c>
      <c r="AF27" s="173">
        <f t="shared" si="11"/>
        <v>5.8371436910205276E-3</v>
      </c>
    </row>
    <row r="28" spans="25:32" x14ac:dyDescent="0.3">
      <c r="Y28">
        <v>2010</v>
      </c>
      <c r="Z28" s="18">
        <f t="shared" si="7"/>
        <v>19252</v>
      </c>
      <c r="AA28" s="18">
        <f t="shared" si="8"/>
        <v>200</v>
      </c>
      <c r="AB28" s="18">
        <f t="shared" si="9"/>
        <v>1100</v>
      </c>
      <c r="AC28" s="173">
        <f t="shared" si="5"/>
        <v>1.0388531061707874E-2</v>
      </c>
      <c r="AD28" s="173">
        <f t="shared" si="6"/>
        <v>5.7136920839393313E-2</v>
      </c>
      <c r="AE28" s="173">
        <f t="shared" si="10"/>
        <v>2.5971327654269686E-3</v>
      </c>
      <c r="AF28" s="173">
        <f t="shared" si="11"/>
        <v>5.7136920839393314E-3</v>
      </c>
    </row>
    <row r="29" spans="25:32" x14ac:dyDescent="0.3">
      <c r="Y29">
        <v>2011</v>
      </c>
      <c r="Z29" s="18">
        <f t="shared" si="7"/>
        <v>12096</v>
      </c>
      <c r="AA29" s="18">
        <f t="shared" si="8"/>
        <v>200</v>
      </c>
      <c r="AB29" s="18">
        <f t="shared" si="9"/>
        <v>400</v>
      </c>
      <c r="AC29" s="173">
        <f t="shared" si="5"/>
        <v>1.6534391534391533E-2</v>
      </c>
      <c r="AD29" s="173">
        <f t="shared" si="6"/>
        <v>3.3068783068783067E-2</v>
      </c>
      <c r="AE29" s="173">
        <f t="shared" si="10"/>
        <v>4.1335978835978834E-3</v>
      </c>
      <c r="AF29" s="173">
        <f t="shared" si="11"/>
        <v>3.3068783068783067E-3</v>
      </c>
    </row>
    <row r="30" spans="25:32" x14ac:dyDescent="0.3">
      <c r="Y30">
        <v>2012</v>
      </c>
      <c r="Z30" s="18">
        <f t="shared" si="7"/>
        <v>19496</v>
      </c>
      <c r="AA30" s="18">
        <f t="shared" si="8"/>
        <v>100</v>
      </c>
      <c r="AB30" s="18">
        <f t="shared" si="9"/>
        <v>100</v>
      </c>
      <c r="AC30" s="173">
        <f t="shared" si="5"/>
        <v>5.1292572835453425E-3</v>
      </c>
      <c r="AD30" s="173">
        <f t="shared" si="6"/>
        <v>5.1292572835453425E-3</v>
      </c>
      <c r="AE30" s="173">
        <f t="shared" si="10"/>
        <v>1.2823143208863356E-3</v>
      </c>
      <c r="AF30" s="173">
        <f t="shared" si="11"/>
        <v>5.1292572835453425E-4</v>
      </c>
    </row>
    <row r="31" spans="25:32" x14ac:dyDescent="0.3">
      <c r="Y31">
        <v>2013</v>
      </c>
      <c r="Z31" s="18">
        <f t="shared" si="7"/>
        <v>14390</v>
      </c>
      <c r="AA31" s="18">
        <f t="shared" si="8"/>
        <v>100</v>
      </c>
      <c r="AB31" s="18">
        <f t="shared" si="9"/>
        <v>100</v>
      </c>
      <c r="AC31" s="173">
        <f t="shared" si="5"/>
        <v>6.9492703266157054E-3</v>
      </c>
      <c r="AD31" s="173">
        <f t="shared" si="6"/>
        <v>6.9492703266157054E-3</v>
      </c>
      <c r="AE31" s="173">
        <f t="shared" si="10"/>
        <v>1.7373175816539264E-3</v>
      </c>
      <c r="AF31" s="173">
        <f t="shared" si="11"/>
        <v>6.9492703266157063E-4</v>
      </c>
    </row>
    <row r="32" spans="25:32" x14ac:dyDescent="0.3">
      <c r="Y32">
        <v>2014</v>
      </c>
      <c r="Z32" s="18">
        <f t="shared" si="7"/>
        <v>13773</v>
      </c>
      <c r="AA32" s="18">
        <f t="shared" si="8"/>
        <v>200</v>
      </c>
      <c r="AB32" s="18">
        <f t="shared" si="9"/>
        <v>400</v>
      </c>
      <c r="AC32" s="173">
        <f t="shared" si="5"/>
        <v>1.4521164597400712E-2</v>
      </c>
      <c r="AD32" s="173">
        <f t="shared" si="6"/>
        <v>2.9042329194801424E-2</v>
      </c>
      <c r="AE32" s="173">
        <f t="shared" si="10"/>
        <v>3.630291149350178E-3</v>
      </c>
      <c r="AF32" s="173">
        <f t="shared" si="11"/>
        <v>2.9042329194801427E-3</v>
      </c>
    </row>
    <row r="33" spans="25:32" x14ac:dyDescent="0.3">
      <c r="Y33">
        <v>2015</v>
      </c>
      <c r="Z33" s="18">
        <f t="shared" si="7"/>
        <v>30331</v>
      </c>
      <c r="AA33" s="18">
        <f t="shared" si="8"/>
        <v>400</v>
      </c>
      <c r="AB33" s="18">
        <f t="shared" si="9"/>
        <v>800</v>
      </c>
      <c r="AC33" s="173">
        <f t="shared" si="5"/>
        <v>1.3187827635092809E-2</v>
      </c>
      <c r="AD33" s="173">
        <f t="shared" si="6"/>
        <v>2.6375655270185618E-2</v>
      </c>
      <c r="AE33" s="173">
        <f t="shared" si="10"/>
        <v>3.2969569087732023E-3</v>
      </c>
      <c r="AF33" s="173">
        <f t="shared" si="11"/>
        <v>2.6375655270185622E-3</v>
      </c>
    </row>
    <row r="34" spans="25:32" x14ac:dyDescent="0.3">
      <c r="Y34">
        <v>2016</v>
      </c>
      <c r="Z34" s="18">
        <f t="shared" si="7"/>
        <v>30110</v>
      </c>
      <c r="AA34" s="18">
        <f t="shared" si="8"/>
        <v>300</v>
      </c>
      <c r="AB34" s="18">
        <f t="shared" si="9"/>
        <v>1200</v>
      </c>
      <c r="AC34" s="173">
        <f t="shared" si="5"/>
        <v>9.9634672866157417E-3</v>
      </c>
      <c r="AD34" s="173">
        <f t="shared" si="6"/>
        <v>3.9853869146462967E-2</v>
      </c>
      <c r="AE34" s="173">
        <f t="shared" si="10"/>
        <v>2.4908668216539354E-3</v>
      </c>
      <c r="AF34" s="173">
        <f t="shared" si="11"/>
        <v>3.9853869146462967E-3</v>
      </c>
    </row>
    <row r="35" spans="25:32" x14ac:dyDescent="0.3">
      <c r="Y35" t="s">
        <v>191</v>
      </c>
      <c r="AE35" s="173">
        <f>AVERAGE(AE25:AE34)</f>
        <v>3.0257370437217802E-3</v>
      </c>
      <c r="AF35" s="173">
        <f>AVERAGE(AF25:AF34)</f>
        <v>3.3994390118659646E-3</v>
      </c>
    </row>
    <row r="39" spans="25:32" x14ac:dyDescent="0.3">
      <c r="Z39" t="s">
        <v>217</v>
      </c>
    </row>
    <row r="40" spans="25:32" x14ac:dyDescent="0.3">
      <c r="Z40" s="164" t="s">
        <v>13</v>
      </c>
      <c r="AA40" s="397" t="s">
        <v>14</v>
      </c>
      <c r="AB40" s="397"/>
    </row>
    <row r="41" spans="25:32" x14ac:dyDescent="0.3">
      <c r="Y41" s="163" t="s">
        <v>4</v>
      </c>
      <c r="Z41" s="163" t="s">
        <v>40</v>
      </c>
      <c r="AA41" s="30" t="s">
        <v>207</v>
      </c>
      <c r="AB41" s="30" t="s">
        <v>208</v>
      </c>
    </row>
    <row r="42" spans="25:32" x14ac:dyDescent="0.3">
      <c r="Y42" s="164">
        <v>2007</v>
      </c>
      <c r="Z42" s="18">
        <f>Z8</f>
        <v>28861</v>
      </c>
      <c r="AA42" s="18">
        <f>AA247</f>
        <v>6968</v>
      </c>
      <c r="AB42" s="173">
        <f>AA42/Z42</f>
        <v>0.2414330757770001</v>
      </c>
    </row>
    <row r="43" spans="25:32" x14ac:dyDescent="0.3">
      <c r="Y43">
        <v>2008</v>
      </c>
      <c r="Z43" s="18">
        <f t="shared" ref="Z43:Z51" si="12">Z9</f>
        <v>15979</v>
      </c>
      <c r="AA43" s="18">
        <f t="shared" ref="AA43:AA51" si="13">AA248</f>
        <v>4718</v>
      </c>
      <c r="AB43" s="173">
        <f t="shared" ref="AB43:AB51" si="14">AA43/Z43</f>
        <v>0.29526253207334624</v>
      </c>
    </row>
    <row r="44" spans="25:32" x14ac:dyDescent="0.3">
      <c r="Y44">
        <v>2009</v>
      </c>
      <c r="Z44" s="18">
        <f t="shared" si="12"/>
        <v>13394</v>
      </c>
      <c r="AA44" s="18">
        <f t="shared" si="13"/>
        <v>4449</v>
      </c>
      <c r="AB44" s="173">
        <f t="shared" si="14"/>
        <v>0.33216365536807524</v>
      </c>
    </row>
    <row r="45" spans="25:32" x14ac:dyDescent="0.3">
      <c r="Y45">
        <v>2010</v>
      </c>
      <c r="Z45" s="18">
        <f t="shared" si="12"/>
        <v>42390</v>
      </c>
      <c r="AA45" s="18">
        <f t="shared" si="13"/>
        <v>26891</v>
      </c>
      <c r="AB45" s="173">
        <f t="shared" si="14"/>
        <v>0.63437131398914837</v>
      </c>
    </row>
    <row r="46" spans="25:32" x14ac:dyDescent="0.3">
      <c r="Y46">
        <v>2011</v>
      </c>
      <c r="Z46" s="18">
        <f t="shared" si="12"/>
        <v>21037</v>
      </c>
      <c r="AA46" s="18">
        <f t="shared" si="13"/>
        <v>11536</v>
      </c>
      <c r="AB46" s="173">
        <f t="shared" si="14"/>
        <v>0.54836716261824403</v>
      </c>
    </row>
    <row r="47" spans="25:32" x14ac:dyDescent="0.3">
      <c r="Y47">
        <v>2012</v>
      </c>
      <c r="Z47" s="18">
        <f t="shared" si="12"/>
        <v>28635</v>
      </c>
      <c r="AA47" s="18">
        <f t="shared" si="13"/>
        <v>10742</v>
      </c>
      <c r="AB47" s="173">
        <f t="shared" si="14"/>
        <v>0.37513532390431292</v>
      </c>
    </row>
    <row r="48" spans="25:32" x14ac:dyDescent="0.3">
      <c r="Y48">
        <v>2013</v>
      </c>
      <c r="Z48" s="18">
        <f t="shared" si="12"/>
        <v>19798</v>
      </c>
      <c r="AA48" s="18">
        <f t="shared" si="13"/>
        <v>8423</v>
      </c>
      <c r="AB48" s="173">
        <f t="shared" si="14"/>
        <v>0.42544701484998487</v>
      </c>
    </row>
    <row r="49" spans="25:33" x14ac:dyDescent="0.3">
      <c r="Y49">
        <v>2014</v>
      </c>
      <c r="Z49" s="18">
        <f t="shared" si="12"/>
        <v>16324</v>
      </c>
      <c r="AA49" s="18">
        <f t="shared" si="13"/>
        <v>4953</v>
      </c>
      <c r="AB49" s="173">
        <f t="shared" si="14"/>
        <v>0.30341827983337416</v>
      </c>
    </row>
    <row r="50" spans="25:33" x14ac:dyDescent="0.3">
      <c r="Y50">
        <v>2015</v>
      </c>
      <c r="Z50" s="18">
        <f t="shared" si="12"/>
        <v>43959</v>
      </c>
      <c r="AA50" s="18">
        <f t="shared" si="13"/>
        <v>16176</v>
      </c>
      <c r="AB50" s="173">
        <f t="shared" si="14"/>
        <v>0.36797925339520915</v>
      </c>
    </row>
    <row r="51" spans="25:33" x14ac:dyDescent="0.3">
      <c r="Y51">
        <v>2016</v>
      </c>
      <c r="Z51" s="18">
        <f t="shared" si="12"/>
        <v>39638</v>
      </c>
      <c r="AA51" s="18">
        <f t="shared" si="13"/>
        <v>11340</v>
      </c>
      <c r="AB51" s="173">
        <f t="shared" si="14"/>
        <v>0.28608910641303797</v>
      </c>
    </row>
    <row r="52" spans="25:33" x14ac:dyDescent="0.3">
      <c r="Y52" t="s">
        <v>191</v>
      </c>
      <c r="AA52" s="18">
        <f>AVERAGE(AA42:AA51)</f>
        <v>10619.6</v>
      </c>
      <c r="AB52" s="173">
        <f>AVERAGE(AB42:AB51)</f>
        <v>0.38096667182217331</v>
      </c>
    </row>
    <row r="64" spans="25:33" x14ac:dyDescent="0.3">
      <c r="AA64" s="395" t="s">
        <v>202</v>
      </c>
      <c r="AB64" s="395"/>
      <c r="AC64" s="395"/>
      <c r="AD64" s="395"/>
      <c r="AE64" s="395"/>
      <c r="AF64" s="395"/>
      <c r="AG64" s="30"/>
    </row>
    <row r="65" spans="26:33" x14ac:dyDescent="0.3">
      <c r="Z65" s="163" t="s">
        <v>201</v>
      </c>
      <c r="AA65" s="163" t="s">
        <v>200</v>
      </c>
      <c r="AB65" s="163" t="s">
        <v>0</v>
      </c>
      <c r="AC65" s="163" t="s">
        <v>1</v>
      </c>
      <c r="AD65" s="163" t="s">
        <v>2</v>
      </c>
      <c r="AE65" s="163" t="s">
        <v>3</v>
      </c>
      <c r="AF65" s="163" t="s">
        <v>13</v>
      </c>
      <c r="AG65" s="163" t="s">
        <v>203</v>
      </c>
    </row>
    <row r="66" spans="26:33" x14ac:dyDescent="0.3">
      <c r="Z66" s="164">
        <v>2007</v>
      </c>
      <c r="AA66" s="165">
        <v>6419</v>
      </c>
      <c r="AB66" s="165">
        <v>3975</v>
      </c>
      <c r="AC66" s="165">
        <v>8030</v>
      </c>
      <c r="AD66" s="165">
        <v>7596</v>
      </c>
      <c r="AE66" s="165">
        <v>2841</v>
      </c>
      <c r="AF66" s="18">
        <f>SUM(AA66:AE66)</f>
        <v>28861</v>
      </c>
      <c r="AG66" s="18">
        <f t="shared" ref="AG66:AG76" si="15">SUM(AB66:AE66)</f>
        <v>22442</v>
      </c>
    </row>
    <row r="67" spans="26:33" x14ac:dyDescent="0.3">
      <c r="Z67">
        <v>2008</v>
      </c>
      <c r="AA67" s="18">
        <v>3307</v>
      </c>
      <c r="AB67" s="18">
        <v>2986</v>
      </c>
      <c r="AC67" s="18">
        <v>1623</v>
      </c>
      <c r="AD67" s="18">
        <v>2215</v>
      </c>
      <c r="AE67" s="18">
        <v>5848</v>
      </c>
      <c r="AF67" s="18">
        <f>SUM(AA67:AE67)</f>
        <v>15979</v>
      </c>
      <c r="AG67" s="18">
        <f t="shared" si="15"/>
        <v>12672</v>
      </c>
    </row>
    <row r="68" spans="26:33" x14ac:dyDescent="0.3">
      <c r="Z68">
        <v>2009</v>
      </c>
      <c r="AA68" s="18">
        <v>3115</v>
      </c>
      <c r="AB68" s="18">
        <v>6034</v>
      </c>
      <c r="AC68" s="18">
        <v>404</v>
      </c>
      <c r="AD68" s="18">
        <v>1493</v>
      </c>
      <c r="AE68" s="18">
        <v>2348</v>
      </c>
      <c r="AF68" s="18">
        <f t="shared" ref="AF68:AF76" si="16">SUM(AA68:AE68)</f>
        <v>13394</v>
      </c>
      <c r="AG68" s="18">
        <f t="shared" si="15"/>
        <v>10279</v>
      </c>
    </row>
    <row r="69" spans="26:33" x14ac:dyDescent="0.3">
      <c r="Z69">
        <v>2010</v>
      </c>
      <c r="AA69" s="18">
        <v>23138</v>
      </c>
      <c r="AB69" s="18">
        <v>8585</v>
      </c>
      <c r="AC69" s="18">
        <v>977</v>
      </c>
      <c r="AD69" s="18">
        <v>2347</v>
      </c>
      <c r="AE69" s="18">
        <v>7343</v>
      </c>
      <c r="AF69" s="18">
        <f t="shared" si="16"/>
        <v>42390</v>
      </c>
      <c r="AG69" s="18">
        <f t="shared" si="15"/>
        <v>19252</v>
      </c>
    </row>
    <row r="70" spans="26:33" x14ac:dyDescent="0.3">
      <c r="Z70">
        <v>2011</v>
      </c>
      <c r="AA70" s="18">
        <v>8941</v>
      </c>
      <c r="AB70" s="18">
        <v>5308</v>
      </c>
      <c r="AC70" s="18">
        <v>776</v>
      </c>
      <c r="AD70" s="18">
        <v>1310</v>
      </c>
      <c r="AE70" s="18">
        <v>4702</v>
      </c>
      <c r="AF70" s="18">
        <f t="shared" si="16"/>
        <v>21037</v>
      </c>
      <c r="AG70" s="18">
        <f t="shared" si="15"/>
        <v>12096</v>
      </c>
    </row>
    <row r="71" spans="26:33" x14ac:dyDescent="0.3">
      <c r="Z71">
        <v>2012</v>
      </c>
      <c r="AA71" s="18">
        <v>9139</v>
      </c>
      <c r="AB71" s="18">
        <v>12144</v>
      </c>
      <c r="AC71" s="18">
        <v>889</v>
      </c>
      <c r="AD71" s="18">
        <v>1895</v>
      </c>
      <c r="AE71" s="18">
        <v>4568</v>
      </c>
      <c r="AF71" s="18">
        <f t="shared" si="16"/>
        <v>28635</v>
      </c>
      <c r="AG71" s="18">
        <f t="shared" si="15"/>
        <v>19496</v>
      </c>
    </row>
    <row r="72" spans="26:33" x14ac:dyDescent="0.3">
      <c r="Z72">
        <v>2013</v>
      </c>
      <c r="AA72" s="18">
        <v>5408</v>
      </c>
      <c r="AB72" s="18">
        <v>8157</v>
      </c>
      <c r="AC72" s="18">
        <v>1014</v>
      </c>
      <c r="AD72" s="18">
        <v>1570</v>
      </c>
      <c r="AE72" s="18">
        <v>3649</v>
      </c>
      <c r="AF72" s="18">
        <f t="shared" si="16"/>
        <v>19798</v>
      </c>
      <c r="AG72" s="18">
        <f t="shared" si="15"/>
        <v>14390</v>
      </c>
    </row>
    <row r="73" spans="26:33" x14ac:dyDescent="0.3">
      <c r="Z73">
        <v>2014</v>
      </c>
      <c r="AA73" s="18">
        <v>2551</v>
      </c>
      <c r="AB73" s="18">
        <v>8310</v>
      </c>
      <c r="AC73" s="18">
        <v>1013</v>
      </c>
      <c r="AD73" s="18">
        <v>1396</v>
      </c>
      <c r="AE73" s="18">
        <v>3054</v>
      </c>
      <c r="AF73" s="18">
        <f t="shared" si="16"/>
        <v>16324</v>
      </c>
      <c r="AG73" s="18">
        <f t="shared" si="15"/>
        <v>13773</v>
      </c>
    </row>
    <row r="74" spans="26:33" x14ac:dyDescent="0.3">
      <c r="Z74">
        <v>2015</v>
      </c>
      <c r="AA74" s="18">
        <v>13628</v>
      </c>
      <c r="AB74" s="18">
        <v>23596</v>
      </c>
      <c r="AC74" s="18">
        <v>2149</v>
      </c>
      <c r="AD74" s="18">
        <v>1006</v>
      </c>
      <c r="AE74" s="18">
        <v>3580</v>
      </c>
      <c r="AF74" s="18">
        <f t="shared" si="16"/>
        <v>43959</v>
      </c>
      <c r="AG74" s="18">
        <f t="shared" si="15"/>
        <v>30331</v>
      </c>
    </row>
    <row r="75" spans="26:33" x14ac:dyDescent="0.3">
      <c r="Z75">
        <v>2016</v>
      </c>
      <c r="AA75" s="18">
        <v>9528</v>
      </c>
      <c r="AB75" s="18">
        <v>22478</v>
      </c>
      <c r="AC75" s="18">
        <v>2980</v>
      </c>
      <c r="AD75" s="18">
        <v>473</v>
      </c>
      <c r="AE75" s="18">
        <v>4179</v>
      </c>
      <c r="AF75" s="18">
        <f t="shared" si="16"/>
        <v>39638</v>
      </c>
      <c r="AG75" s="18">
        <f t="shared" si="15"/>
        <v>30110</v>
      </c>
    </row>
    <row r="76" spans="26:33" x14ac:dyDescent="0.3">
      <c r="Z76">
        <v>2017</v>
      </c>
      <c r="AA76" s="18">
        <v>16549</v>
      </c>
      <c r="AB76" s="18">
        <v>14026</v>
      </c>
      <c r="AC76" s="18">
        <v>2503</v>
      </c>
      <c r="AD76" s="18">
        <v>2394</v>
      </c>
      <c r="AE76" s="18">
        <v>8124</v>
      </c>
      <c r="AF76" s="18">
        <f t="shared" si="16"/>
        <v>43596</v>
      </c>
      <c r="AG76" s="18">
        <f t="shared" si="15"/>
        <v>27047</v>
      </c>
    </row>
    <row r="98" spans="26:29" x14ac:dyDescent="0.3">
      <c r="AA98" s="395" t="s">
        <v>204</v>
      </c>
      <c r="AB98" s="395"/>
      <c r="AC98" s="395"/>
    </row>
    <row r="99" spans="26:29" x14ac:dyDescent="0.3">
      <c r="Z99" s="163" t="s">
        <v>201</v>
      </c>
      <c r="AA99" s="163" t="s">
        <v>203</v>
      </c>
      <c r="AB99" s="163" t="s">
        <v>200</v>
      </c>
      <c r="AC99" s="163" t="s">
        <v>13</v>
      </c>
    </row>
    <row r="100" spans="26:29" x14ac:dyDescent="0.3">
      <c r="Z100" s="164">
        <v>2007</v>
      </c>
      <c r="AA100" s="165">
        <v>600</v>
      </c>
      <c r="AB100" s="165">
        <v>100</v>
      </c>
      <c r="AC100" s="165">
        <f>SUM(AA100:AB100)</f>
        <v>700</v>
      </c>
    </row>
    <row r="101" spans="26:29" x14ac:dyDescent="0.3">
      <c r="Z101">
        <v>2008</v>
      </c>
      <c r="AA101" s="18">
        <v>100</v>
      </c>
      <c r="AB101" s="18">
        <v>0</v>
      </c>
      <c r="AC101" s="165">
        <f t="shared" ref="AC101:AC109" si="17">SUM(AA101:AB101)</f>
        <v>100</v>
      </c>
    </row>
    <row r="102" spans="26:29" x14ac:dyDescent="0.3">
      <c r="Z102">
        <v>2009</v>
      </c>
      <c r="AA102" s="18">
        <v>100</v>
      </c>
      <c r="AB102" s="18">
        <v>0</v>
      </c>
      <c r="AC102" s="165">
        <f t="shared" si="17"/>
        <v>100</v>
      </c>
    </row>
    <row r="103" spans="26:29" x14ac:dyDescent="0.3">
      <c r="Z103">
        <v>2010</v>
      </c>
      <c r="AA103" s="18">
        <v>200</v>
      </c>
      <c r="AB103" s="18">
        <v>0</v>
      </c>
      <c r="AC103" s="165">
        <f t="shared" si="17"/>
        <v>200</v>
      </c>
    </row>
    <row r="104" spans="26:29" x14ac:dyDescent="0.3">
      <c r="Z104">
        <v>2011</v>
      </c>
      <c r="AA104" s="18">
        <v>200</v>
      </c>
      <c r="AB104" s="18">
        <v>100</v>
      </c>
      <c r="AC104" s="165">
        <f t="shared" si="17"/>
        <v>300</v>
      </c>
    </row>
    <row r="105" spans="26:29" x14ac:dyDescent="0.3">
      <c r="Z105">
        <v>2012</v>
      </c>
      <c r="AA105" s="18">
        <v>100</v>
      </c>
      <c r="AB105" s="18">
        <v>300</v>
      </c>
      <c r="AC105" s="165">
        <f t="shared" si="17"/>
        <v>400</v>
      </c>
    </row>
    <row r="106" spans="26:29" x14ac:dyDescent="0.3">
      <c r="Z106">
        <v>2013</v>
      </c>
      <c r="AA106" s="18">
        <v>100</v>
      </c>
      <c r="AB106" s="18">
        <v>100</v>
      </c>
      <c r="AC106" s="165">
        <f t="shared" si="17"/>
        <v>200</v>
      </c>
    </row>
    <row r="107" spans="26:29" x14ac:dyDescent="0.3">
      <c r="Z107">
        <v>2014</v>
      </c>
      <c r="AA107" s="18">
        <v>200</v>
      </c>
      <c r="AB107" s="18">
        <v>0</v>
      </c>
      <c r="AC107" s="165">
        <f t="shared" si="17"/>
        <v>200</v>
      </c>
    </row>
    <row r="108" spans="26:29" x14ac:dyDescent="0.3">
      <c r="Z108">
        <v>2015</v>
      </c>
      <c r="AA108" s="18">
        <v>400</v>
      </c>
      <c r="AB108" s="18">
        <v>100</v>
      </c>
      <c r="AC108" s="165">
        <f t="shared" si="17"/>
        <v>500</v>
      </c>
    </row>
    <row r="109" spans="26:29" x14ac:dyDescent="0.3">
      <c r="Z109">
        <v>2016</v>
      </c>
      <c r="AA109" s="18">
        <v>300</v>
      </c>
      <c r="AB109" s="18">
        <v>200</v>
      </c>
      <c r="AC109" s="165">
        <f t="shared" si="17"/>
        <v>500</v>
      </c>
    </row>
    <row r="130" spans="26:26" x14ac:dyDescent="0.3">
      <c r="Z130" s="164"/>
    </row>
    <row r="131" spans="26:26" x14ac:dyDescent="0.3">
      <c r="Z131" s="164"/>
    </row>
    <row r="173" spans="26:29" x14ac:dyDescent="0.3">
      <c r="AA173" s="395" t="s">
        <v>209</v>
      </c>
      <c r="AB173" s="395"/>
      <c r="AC173" s="395"/>
    </row>
    <row r="174" spans="26:29" x14ac:dyDescent="0.3">
      <c r="Z174" s="163" t="s">
        <v>201</v>
      </c>
      <c r="AA174" s="163" t="s">
        <v>203</v>
      </c>
      <c r="AB174" s="163" t="s">
        <v>200</v>
      </c>
      <c r="AC174" s="163" t="s">
        <v>13</v>
      </c>
    </row>
    <row r="175" spans="26:29" x14ac:dyDescent="0.3">
      <c r="Z175" s="164">
        <v>2007</v>
      </c>
      <c r="AA175" s="18">
        <v>1000</v>
      </c>
      <c r="AB175" s="18">
        <v>100</v>
      </c>
      <c r="AC175" s="18">
        <f>SUM(AA175:AB175)</f>
        <v>1100</v>
      </c>
    </row>
    <row r="176" spans="26:29" x14ac:dyDescent="0.3">
      <c r="Z176">
        <v>2008</v>
      </c>
      <c r="AA176" s="18">
        <v>500</v>
      </c>
      <c r="AB176" s="18">
        <v>0</v>
      </c>
      <c r="AC176" s="18">
        <f t="shared" ref="AC176:AC184" si="18">SUM(AA176:AB176)</f>
        <v>500</v>
      </c>
    </row>
    <row r="177" spans="26:29" x14ac:dyDescent="0.3">
      <c r="Z177">
        <v>2009</v>
      </c>
      <c r="AA177" s="18">
        <v>600</v>
      </c>
      <c r="AB177" s="18">
        <v>100</v>
      </c>
      <c r="AC177" s="18">
        <f t="shared" si="18"/>
        <v>700</v>
      </c>
    </row>
    <row r="178" spans="26:29" x14ac:dyDescent="0.3">
      <c r="Z178">
        <v>2010</v>
      </c>
      <c r="AA178" s="18">
        <v>1100</v>
      </c>
      <c r="AB178" s="18">
        <v>0</v>
      </c>
      <c r="AC178" s="18">
        <f t="shared" si="18"/>
        <v>1100</v>
      </c>
    </row>
    <row r="179" spans="26:29" x14ac:dyDescent="0.3">
      <c r="Z179">
        <v>2011</v>
      </c>
      <c r="AA179" s="18">
        <v>400</v>
      </c>
      <c r="AB179" s="18">
        <v>100</v>
      </c>
      <c r="AC179" s="18">
        <f t="shared" si="18"/>
        <v>500</v>
      </c>
    </row>
    <row r="180" spans="26:29" x14ac:dyDescent="0.3">
      <c r="Z180">
        <v>2012</v>
      </c>
      <c r="AA180" s="18">
        <v>100</v>
      </c>
      <c r="AB180" s="18">
        <v>100</v>
      </c>
      <c r="AC180" s="18">
        <f t="shared" si="18"/>
        <v>200</v>
      </c>
    </row>
    <row r="181" spans="26:29" x14ac:dyDescent="0.3">
      <c r="Z181">
        <v>2013</v>
      </c>
      <c r="AA181" s="18">
        <v>100</v>
      </c>
      <c r="AB181" s="18">
        <v>100</v>
      </c>
      <c r="AC181" s="18">
        <f t="shared" si="18"/>
        <v>200</v>
      </c>
    </row>
    <row r="182" spans="26:29" x14ac:dyDescent="0.3">
      <c r="Z182">
        <v>2014</v>
      </c>
      <c r="AA182" s="18">
        <v>400</v>
      </c>
      <c r="AB182" s="18">
        <v>200</v>
      </c>
      <c r="AC182" s="18">
        <f t="shared" si="18"/>
        <v>600</v>
      </c>
    </row>
    <row r="183" spans="26:29" x14ac:dyDescent="0.3">
      <c r="Z183">
        <v>2015</v>
      </c>
      <c r="AA183" s="18">
        <v>800</v>
      </c>
      <c r="AB183" s="18">
        <v>100</v>
      </c>
      <c r="AC183" s="18">
        <f t="shared" si="18"/>
        <v>900</v>
      </c>
    </row>
    <row r="184" spans="26:29" x14ac:dyDescent="0.3">
      <c r="Z184">
        <v>2016</v>
      </c>
      <c r="AA184" s="18">
        <v>1200</v>
      </c>
      <c r="AB184" s="18">
        <v>200</v>
      </c>
      <c r="AC184" s="18">
        <f t="shared" si="18"/>
        <v>1400</v>
      </c>
    </row>
    <row r="245" spans="26:29" x14ac:dyDescent="0.3">
      <c r="AA245" s="164" t="s">
        <v>13</v>
      </c>
      <c r="AB245" s="164" t="s">
        <v>219</v>
      </c>
      <c r="AC245" t="s">
        <v>203</v>
      </c>
    </row>
    <row r="246" spans="26:29" x14ac:dyDescent="0.3">
      <c r="Z246" s="163" t="s">
        <v>4</v>
      </c>
      <c r="AA246" s="163" t="s">
        <v>207</v>
      </c>
      <c r="AB246" s="163" t="s">
        <v>203</v>
      </c>
      <c r="AC246" s="163" t="s">
        <v>207</v>
      </c>
    </row>
    <row r="247" spans="26:29" x14ac:dyDescent="0.3">
      <c r="Z247" s="164">
        <v>2007</v>
      </c>
      <c r="AA247">
        <v>6968</v>
      </c>
      <c r="AB247">
        <v>8.9999999999999993E-3</v>
      </c>
      <c r="AC247" s="174">
        <f>AA247*AB247</f>
        <v>62.711999999999996</v>
      </c>
    </row>
    <row r="248" spans="26:29" x14ac:dyDescent="0.3">
      <c r="Z248">
        <v>2008</v>
      </c>
      <c r="AA248">
        <v>4718</v>
      </c>
      <c r="AB248">
        <v>2.5999999999999999E-2</v>
      </c>
      <c r="AC248" s="174">
        <f t="shared" ref="AC248:AC256" si="19">AA248*AB248</f>
        <v>122.66799999999999</v>
      </c>
    </row>
    <row r="249" spans="26:29" x14ac:dyDescent="0.3">
      <c r="Z249">
        <v>2009</v>
      </c>
      <c r="AA249">
        <v>4449</v>
      </c>
      <c r="AB249">
        <v>3.7999999999999999E-2</v>
      </c>
      <c r="AC249" s="174">
        <f t="shared" si="19"/>
        <v>169.06199999999998</v>
      </c>
    </row>
    <row r="250" spans="26:29" x14ac:dyDescent="0.3">
      <c r="Z250">
        <v>2010</v>
      </c>
      <c r="AA250">
        <v>26891</v>
      </c>
      <c r="AB250">
        <v>6.0000000000000001E-3</v>
      </c>
      <c r="AC250" s="174">
        <f t="shared" si="19"/>
        <v>161.346</v>
      </c>
    </row>
    <row r="251" spans="26:29" x14ac:dyDescent="0.3">
      <c r="Z251">
        <v>2011</v>
      </c>
      <c r="AA251">
        <v>11536</v>
      </c>
      <c r="AB251">
        <v>1.2E-2</v>
      </c>
      <c r="AC251" s="174">
        <f t="shared" si="19"/>
        <v>138.43200000000002</v>
      </c>
    </row>
    <row r="252" spans="26:29" x14ac:dyDescent="0.3">
      <c r="Z252">
        <v>2012</v>
      </c>
      <c r="AA252">
        <v>10742</v>
      </c>
      <c r="AB252">
        <v>8.0000000000000002E-3</v>
      </c>
      <c r="AC252" s="174">
        <f t="shared" si="19"/>
        <v>85.936000000000007</v>
      </c>
    </row>
    <row r="253" spans="26:29" x14ac:dyDescent="0.3">
      <c r="Z253">
        <v>2013</v>
      </c>
      <c r="AA253">
        <v>8423</v>
      </c>
      <c r="AB253">
        <v>1.2E-2</v>
      </c>
      <c r="AC253" s="174">
        <f t="shared" si="19"/>
        <v>101.07600000000001</v>
      </c>
    </row>
    <row r="254" spans="26:29" x14ac:dyDescent="0.3">
      <c r="Z254">
        <v>2014</v>
      </c>
      <c r="AA254">
        <v>4953</v>
      </c>
      <c r="AB254">
        <v>1.6E-2</v>
      </c>
      <c r="AC254" s="174">
        <f t="shared" si="19"/>
        <v>79.248000000000005</v>
      </c>
    </row>
    <row r="255" spans="26:29" x14ac:dyDescent="0.3">
      <c r="Z255">
        <v>2015</v>
      </c>
      <c r="AA255">
        <v>16176</v>
      </c>
      <c r="AB255">
        <v>0.02</v>
      </c>
      <c r="AC255" s="174">
        <f t="shared" si="19"/>
        <v>323.52</v>
      </c>
    </row>
    <row r="256" spans="26:29" x14ac:dyDescent="0.3">
      <c r="Z256">
        <v>2016</v>
      </c>
      <c r="AA256">
        <v>11340</v>
      </c>
      <c r="AB256">
        <v>5.0999999999999997E-2</v>
      </c>
      <c r="AC256" s="174">
        <f t="shared" si="19"/>
        <v>578.33999999999992</v>
      </c>
    </row>
    <row r="257" spans="26:26" x14ac:dyDescent="0.3">
      <c r="Z257" t="s">
        <v>191</v>
      </c>
    </row>
  </sheetData>
  <mergeCells count="9">
    <mergeCell ref="AA64:AF64"/>
    <mergeCell ref="AA98:AC98"/>
    <mergeCell ref="AA173:AC173"/>
    <mergeCell ref="AA6:AB6"/>
    <mergeCell ref="AC6:AD6"/>
    <mergeCell ref="AA23:AB23"/>
    <mergeCell ref="AC23:AD23"/>
    <mergeCell ref="AE23:AF23"/>
    <mergeCell ref="AA40:AB4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61"/>
  <sheetViews>
    <sheetView tabSelected="1" topLeftCell="E7" workbookViewId="0">
      <selection activeCell="Y16" sqref="Y16:Y30"/>
    </sheetView>
  </sheetViews>
  <sheetFormatPr defaultRowHeight="14.4" x14ac:dyDescent="0.3"/>
  <cols>
    <col min="1" max="1" width="14.109375" customWidth="1"/>
    <col min="16" max="16" width="8.88671875" style="420"/>
    <col min="19" max="19" width="8.88671875" style="420"/>
    <col min="22" max="22" width="8.88671875" style="427"/>
    <col min="26" max="26" width="9.5546875" bestFit="1" customWidth="1"/>
    <col min="27" max="27" width="10.109375" bestFit="1" customWidth="1"/>
    <col min="28" max="28" width="26" customWidth="1"/>
    <col min="29" max="29" width="24.33203125" customWidth="1"/>
    <col min="30" max="30" width="18.6640625" bestFit="1" customWidth="1"/>
    <col min="32" max="37" width="9.109375" style="18"/>
    <col min="38" max="38" width="7.5546875" style="18" customWidth="1"/>
    <col min="40" max="40" width="9.88671875" hidden="1" customWidth="1"/>
    <col min="41" max="44" width="0" hidden="1" customWidth="1"/>
    <col min="45" max="45" width="9.109375" customWidth="1"/>
    <col min="46" max="46" width="11.6640625" customWidth="1"/>
    <col min="47" max="47" width="17.44140625" customWidth="1"/>
    <col min="48" max="48" width="19.88671875" customWidth="1"/>
    <col min="49" max="49" width="19.5546875" customWidth="1"/>
    <col min="50" max="50" width="9.44140625" customWidth="1"/>
    <col min="51" max="51" width="9.6640625" customWidth="1"/>
    <col min="52" max="52" width="1.6640625" customWidth="1"/>
    <col min="53" max="55" width="9.6640625" customWidth="1"/>
    <col min="56" max="56" width="1.6640625" customWidth="1"/>
    <col min="57" max="59" width="9.6640625" customWidth="1"/>
    <col min="61" max="61" width="5.44140625" customWidth="1"/>
    <col min="63" max="63" width="10.5546875" bestFit="1" customWidth="1"/>
    <col min="64" max="65" width="10.5546875" customWidth="1"/>
    <col min="67" max="67" width="1.6640625" customWidth="1"/>
    <col min="71" max="71" width="10.109375" customWidth="1"/>
    <col min="76" max="76" width="5.44140625" customWidth="1"/>
    <col min="78" max="78" width="10.5546875" bestFit="1" customWidth="1"/>
    <col min="79" max="80" width="10.5546875" customWidth="1"/>
    <col min="82" max="82" width="1.6640625" customWidth="1"/>
    <col min="86" max="86" width="9.88671875" customWidth="1"/>
    <col min="91" max="91" width="5.44140625" customWidth="1"/>
    <col min="93" max="93" width="10.5546875" bestFit="1" customWidth="1"/>
    <col min="94" max="95" width="10.5546875" customWidth="1"/>
    <col min="97" max="97" width="1.6640625" customWidth="1"/>
    <col min="101" max="101" width="10.33203125" customWidth="1"/>
    <col min="106" max="106" width="5.44140625" customWidth="1"/>
    <col min="108" max="108" width="9.109375" customWidth="1"/>
    <col min="111" max="111" width="5.44140625" customWidth="1"/>
    <col min="115" max="115" width="1.6640625" customWidth="1"/>
    <col min="119" max="119" width="1.6640625" customWidth="1"/>
    <col min="123" max="123" width="1.6640625" customWidth="1"/>
    <col min="127" max="127" width="1.6640625" customWidth="1"/>
    <col min="131" max="131" width="1.6640625" customWidth="1"/>
    <col min="132" max="132" width="9.109375" customWidth="1"/>
    <col min="133" max="133" width="10.88671875" customWidth="1"/>
    <col min="134" max="134" width="9.109375" customWidth="1"/>
    <col min="182" max="182" width="5.44140625" customWidth="1"/>
    <col min="183" max="183" width="10.109375" customWidth="1"/>
    <col min="184" max="184" width="11.5546875" bestFit="1" customWidth="1"/>
    <col min="185" max="185" width="11.33203125" customWidth="1"/>
    <col min="186" max="186" width="8.44140625" customWidth="1"/>
    <col min="187" max="187" width="12.109375" customWidth="1"/>
    <col min="188" max="188" width="1.6640625" customWidth="1"/>
    <col min="189" max="189" width="9.5546875" bestFit="1" customWidth="1"/>
    <col min="190" max="190" width="11" customWidth="1"/>
    <col min="191" max="191" width="7.6640625" customWidth="1"/>
    <col min="192" max="192" width="12.44140625" customWidth="1"/>
    <col min="193" max="193" width="1.6640625" customWidth="1"/>
    <col min="196" max="196" width="14.88671875" customWidth="1"/>
    <col min="198" max="198" width="5.44140625" customWidth="1"/>
    <col min="199" max="199" width="11.88671875" customWidth="1"/>
    <col min="201" max="201" width="8.33203125" customWidth="1"/>
    <col min="202" max="202" width="12.6640625" customWidth="1"/>
    <col min="203" max="203" width="1.6640625" customWidth="1"/>
    <col min="204" max="204" width="8" customWidth="1"/>
    <col min="205" max="205" width="12.44140625" customWidth="1"/>
    <col min="207" max="207" width="5.44140625" customWidth="1"/>
    <col min="208" max="208" width="11.88671875" customWidth="1"/>
    <col min="210" max="210" width="7.6640625" customWidth="1"/>
    <col min="211" max="211" width="8.33203125" customWidth="1"/>
    <col min="212" max="212" width="12.6640625" customWidth="1"/>
    <col min="213" max="213" width="1.6640625" customWidth="1"/>
    <col min="214" max="214" width="8" customWidth="1"/>
    <col min="215" max="216" width="12.44140625" customWidth="1"/>
    <col min="217" max="217" width="5.44140625" customWidth="1"/>
    <col min="218" max="220" width="12.44140625" customWidth="1"/>
    <col min="221" max="221" width="1.6640625" customWidth="1"/>
    <col min="222" max="223" width="12.44140625" customWidth="1"/>
    <col min="225" max="225" width="5.44140625" customWidth="1"/>
    <col min="226" max="226" width="5.88671875" customWidth="1"/>
    <col min="227" max="227" width="8.6640625" customWidth="1"/>
    <col min="228" max="228" width="1.6640625" customWidth="1"/>
    <col min="229" max="229" width="9.44140625" customWidth="1"/>
    <col min="230" max="230" width="7.88671875" customWidth="1"/>
    <col min="231" max="231" width="8.109375" customWidth="1"/>
    <col min="232" max="232" width="1.6640625" customWidth="1"/>
    <col min="233" max="233" width="7.88671875" customWidth="1"/>
    <col min="234" max="234" width="8.109375" customWidth="1"/>
  </cols>
  <sheetData>
    <row r="1" spans="1:234" x14ac:dyDescent="0.3">
      <c r="M1" t="s">
        <v>11</v>
      </c>
      <c r="AJ1" s="258"/>
      <c r="AK1" s="258"/>
      <c r="AL1" s="258"/>
      <c r="AM1" s="83"/>
    </row>
    <row r="2" spans="1:234" x14ac:dyDescent="0.3">
      <c r="M2" s="326"/>
      <c r="N2" s="411" t="s">
        <v>0</v>
      </c>
      <c r="O2" s="411"/>
      <c r="P2" s="411"/>
      <c r="Q2" s="411" t="s">
        <v>1</v>
      </c>
      <c r="R2" s="411"/>
      <c r="S2" s="411"/>
      <c r="T2" s="412" t="s">
        <v>2</v>
      </c>
      <c r="U2" s="412"/>
      <c r="V2" s="412"/>
      <c r="W2" s="411" t="s">
        <v>3</v>
      </c>
      <c r="X2" s="411"/>
      <c r="Y2" s="411"/>
    </row>
    <row r="3" spans="1:234" ht="71.25" customHeight="1" x14ac:dyDescent="0.3">
      <c r="A3" s="125" t="s">
        <v>4</v>
      </c>
      <c r="B3" s="126" t="s">
        <v>142</v>
      </c>
      <c r="C3" s="127" t="s">
        <v>143</v>
      </c>
      <c r="D3" s="127" t="s">
        <v>144</v>
      </c>
      <c r="E3" s="127" t="s">
        <v>145</v>
      </c>
      <c r="F3" s="127" t="s">
        <v>146</v>
      </c>
      <c r="G3" s="128" t="s">
        <v>147</v>
      </c>
      <c r="H3" s="128" t="s">
        <v>148</v>
      </c>
      <c r="I3" s="129" t="s">
        <v>13</v>
      </c>
      <c r="K3" t="s">
        <v>156</v>
      </c>
      <c r="M3" s="326" t="s">
        <v>4</v>
      </c>
      <c r="N3" s="327" t="s">
        <v>5</v>
      </c>
      <c r="O3" s="327" t="s">
        <v>6</v>
      </c>
      <c r="P3" s="421" t="s">
        <v>7</v>
      </c>
      <c r="Q3" s="327" t="s">
        <v>5</v>
      </c>
      <c r="R3" s="327" t="s">
        <v>6</v>
      </c>
      <c r="S3" s="421" t="s">
        <v>7</v>
      </c>
      <c r="T3" s="327" t="s">
        <v>5</v>
      </c>
      <c r="U3" s="327" t="s">
        <v>6</v>
      </c>
      <c r="V3" s="428" t="s">
        <v>7</v>
      </c>
      <c r="W3" s="327" t="s">
        <v>5</v>
      </c>
      <c r="X3" s="327" t="s">
        <v>6</v>
      </c>
      <c r="Y3" s="327" t="s">
        <v>7</v>
      </c>
      <c r="AA3" s="261" t="s">
        <v>449</v>
      </c>
      <c r="AN3" t="s">
        <v>327</v>
      </c>
      <c r="AT3" t="s">
        <v>450</v>
      </c>
      <c r="BI3" t="s">
        <v>337</v>
      </c>
      <c r="BX3" t="s">
        <v>337</v>
      </c>
      <c r="CM3" t="s">
        <v>337</v>
      </c>
      <c r="DB3" t="s">
        <v>337</v>
      </c>
      <c r="DG3" t="s">
        <v>337</v>
      </c>
      <c r="EF3" t="s">
        <v>387</v>
      </c>
      <c r="FN3" t="s">
        <v>394</v>
      </c>
      <c r="FZ3" t="s">
        <v>405</v>
      </c>
      <c r="GP3" t="s">
        <v>406</v>
      </c>
      <c r="GY3" t="s">
        <v>337</v>
      </c>
      <c r="HI3" t="s">
        <v>337</v>
      </c>
      <c r="HQ3" t="s">
        <v>337</v>
      </c>
    </row>
    <row r="4" spans="1:234" x14ac:dyDescent="0.3">
      <c r="A4" s="140">
        <v>1990</v>
      </c>
      <c r="B4" s="136"/>
      <c r="C4" s="137">
        <v>7555</v>
      </c>
      <c r="D4" s="137">
        <v>1987</v>
      </c>
      <c r="E4" s="137">
        <v>9299</v>
      </c>
      <c r="F4" s="137">
        <v>3527</v>
      </c>
      <c r="G4" s="137">
        <v>127900</v>
      </c>
      <c r="H4" s="138">
        <v>105715</v>
      </c>
      <c r="I4" s="139">
        <v>255983</v>
      </c>
      <c r="K4" s="18">
        <f>C4+D4+E4+F4</f>
        <v>22368</v>
      </c>
      <c r="AL4" s="260" t="s">
        <v>448</v>
      </c>
      <c r="AN4" s="203"/>
      <c r="AO4" s="30"/>
      <c r="AP4" s="30"/>
      <c r="AQ4" s="30"/>
      <c r="AT4" s="396" t="s">
        <v>3</v>
      </c>
      <c r="AU4" s="396"/>
      <c r="AV4" s="396"/>
      <c r="AW4" s="396"/>
      <c r="AX4" s="396"/>
      <c r="AY4" s="396"/>
      <c r="AZ4" s="396"/>
      <c r="BA4" s="396"/>
      <c r="BB4" s="396"/>
      <c r="BC4" s="396"/>
      <c r="BD4" s="396"/>
      <c r="BE4" s="396"/>
      <c r="BF4" s="396"/>
      <c r="BG4" s="396"/>
      <c r="BI4" s="395" t="s">
        <v>0</v>
      </c>
      <c r="BJ4" s="395"/>
      <c r="BK4" s="395"/>
      <c r="BL4" s="395"/>
      <c r="BM4" s="395"/>
      <c r="BN4" s="395"/>
      <c r="BO4" s="395"/>
      <c r="BP4" s="395"/>
      <c r="BQ4" s="395"/>
      <c r="BR4" s="395"/>
      <c r="BS4" s="395"/>
      <c r="BT4" s="395"/>
      <c r="BU4" s="395"/>
      <c r="BV4" s="201"/>
      <c r="BX4" s="395" t="s">
        <v>1</v>
      </c>
      <c r="BY4" s="395"/>
      <c r="BZ4" s="395"/>
      <c r="CA4" s="395"/>
      <c r="CB4" s="395"/>
      <c r="CC4" s="395"/>
      <c r="CD4" s="395"/>
      <c r="CE4" s="395"/>
      <c r="CF4" s="395"/>
      <c r="CG4" s="395"/>
      <c r="CH4" s="395"/>
      <c r="CI4" s="395"/>
      <c r="CJ4" s="395"/>
      <c r="CK4" s="201"/>
      <c r="CM4" s="395" t="s">
        <v>2</v>
      </c>
      <c r="CN4" s="395"/>
      <c r="CO4" s="395"/>
      <c r="CP4" s="395"/>
      <c r="CQ4" s="395"/>
      <c r="CR4" s="395"/>
      <c r="CS4" s="395"/>
      <c r="CT4" s="395"/>
      <c r="CU4" s="395"/>
      <c r="CV4" s="395"/>
      <c r="CW4" s="395"/>
      <c r="CX4" s="395"/>
      <c r="CY4" s="395"/>
      <c r="CZ4" s="201"/>
      <c r="DA4" s="44"/>
      <c r="DB4" s="44"/>
      <c r="DC4" s="44"/>
      <c r="DD4" s="44"/>
      <c r="DE4" s="44"/>
    </row>
    <row r="5" spans="1:234" ht="15" customHeight="1" x14ac:dyDescent="0.3">
      <c r="A5" s="140">
        <v>1991</v>
      </c>
      <c r="B5" s="136"/>
      <c r="C5" s="137">
        <v>8945</v>
      </c>
      <c r="D5" s="137">
        <v>2613</v>
      </c>
      <c r="E5" s="137">
        <v>8334</v>
      </c>
      <c r="F5" s="137">
        <v>3652</v>
      </c>
      <c r="G5" s="137">
        <v>105530</v>
      </c>
      <c r="H5" s="138">
        <v>64479</v>
      </c>
      <c r="I5" s="139">
        <v>193553</v>
      </c>
      <c r="K5" s="18">
        <f t="shared" ref="K5:K20" si="0">C5+D5+E5+F5</f>
        <v>23544</v>
      </c>
      <c r="AK5" s="260" t="s">
        <v>446</v>
      </c>
      <c r="AL5" s="260" t="s">
        <v>447</v>
      </c>
      <c r="AO5" s="395" t="s">
        <v>3</v>
      </c>
      <c r="AP5" s="395"/>
      <c r="AQ5" s="395"/>
      <c r="AR5" s="44"/>
      <c r="AT5" s="395" t="s">
        <v>333</v>
      </c>
      <c r="AU5" s="395"/>
      <c r="AV5" s="395"/>
      <c r="AW5" s="395"/>
      <c r="AX5" s="395"/>
      <c r="AY5" s="395"/>
      <c r="AZ5" s="44"/>
      <c r="BA5" s="395" t="s">
        <v>335</v>
      </c>
      <c r="BB5" s="395"/>
      <c r="BC5" s="395"/>
      <c r="BD5" s="44"/>
      <c r="BE5" s="395" t="s">
        <v>338</v>
      </c>
      <c r="BF5" s="395"/>
      <c r="BG5" s="395"/>
      <c r="BJ5" s="395" t="s">
        <v>339</v>
      </c>
      <c r="BK5" s="395"/>
      <c r="BL5" s="395"/>
      <c r="BM5" s="395"/>
      <c r="BN5" s="395"/>
      <c r="BP5" s="395" t="s">
        <v>340</v>
      </c>
      <c r="BQ5" s="395"/>
      <c r="BR5" s="395"/>
      <c r="BS5" s="164" t="s">
        <v>452</v>
      </c>
      <c r="BT5" s="395" t="s">
        <v>314</v>
      </c>
      <c r="BU5" s="395"/>
      <c r="BV5" s="395"/>
      <c r="BY5" s="395" t="s">
        <v>341</v>
      </c>
      <c r="BZ5" s="395"/>
      <c r="CA5" s="395"/>
      <c r="CB5" s="395"/>
      <c r="CC5" s="395"/>
      <c r="CE5" s="395" t="s">
        <v>340</v>
      </c>
      <c r="CF5" s="395"/>
      <c r="CG5" s="395"/>
      <c r="CH5" s="164" t="s">
        <v>452</v>
      </c>
      <c r="CI5" s="395" t="s">
        <v>314</v>
      </c>
      <c r="CJ5" s="395"/>
      <c r="CK5" s="395"/>
      <c r="CN5" s="395" t="s">
        <v>342</v>
      </c>
      <c r="CO5" s="395"/>
      <c r="CP5" s="395"/>
      <c r="CQ5" s="395"/>
      <c r="CR5" s="395"/>
      <c r="CT5" s="395" t="s">
        <v>340</v>
      </c>
      <c r="CU5" s="395"/>
      <c r="CV5" s="395"/>
      <c r="CW5" s="164" t="s">
        <v>452</v>
      </c>
      <c r="CX5" s="395" t="s">
        <v>314</v>
      </c>
      <c r="CY5" s="395"/>
      <c r="CZ5" s="395"/>
      <c r="DA5" s="44"/>
      <c r="DB5" s="395" t="s">
        <v>476</v>
      </c>
      <c r="DC5" s="395"/>
      <c r="DD5" s="395"/>
      <c r="DE5" s="395"/>
      <c r="DH5" s="395" t="s">
        <v>349</v>
      </c>
      <c r="DI5" s="395"/>
      <c r="DJ5" s="395"/>
      <c r="DL5" s="395" t="s">
        <v>353</v>
      </c>
      <c r="DM5" s="395"/>
      <c r="DN5" s="395"/>
      <c r="DP5" s="395" t="s">
        <v>352</v>
      </c>
      <c r="DQ5" s="395"/>
      <c r="DR5" s="395"/>
      <c r="DT5" s="395" t="s">
        <v>356</v>
      </c>
      <c r="DU5" s="395"/>
      <c r="DV5" s="395"/>
      <c r="DX5" s="395" t="s">
        <v>355</v>
      </c>
      <c r="DY5" s="395"/>
      <c r="DZ5" s="395"/>
      <c r="EB5" s="395" t="s">
        <v>357</v>
      </c>
      <c r="EC5" s="395"/>
      <c r="ED5" s="395"/>
      <c r="EF5" s="210"/>
      <c r="EG5" s="211" t="s">
        <v>358</v>
      </c>
      <c r="EH5" s="147"/>
      <c r="EI5" s="398" t="s">
        <v>363</v>
      </c>
      <c r="EJ5" s="400"/>
      <c r="EK5" s="400"/>
      <c r="EL5" s="400"/>
      <c r="EM5" s="400"/>
      <c r="EN5" s="400"/>
      <c r="EO5" s="399"/>
      <c r="EP5" s="398" t="s">
        <v>364</v>
      </c>
      <c r="EQ5" s="400"/>
      <c r="ER5" s="400"/>
      <c r="ES5" s="400"/>
      <c r="ET5" s="400"/>
      <c r="EU5" s="400"/>
      <c r="EV5" s="400"/>
      <c r="EW5" s="400"/>
      <c r="EX5" s="400"/>
      <c r="EY5" s="400"/>
      <c r="EZ5" s="400"/>
      <c r="FA5" s="400"/>
      <c r="FB5" s="399"/>
      <c r="FC5" s="398" t="s">
        <v>365</v>
      </c>
      <c r="FD5" s="400"/>
      <c r="FE5" s="400"/>
      <c r="FF5" s="400"/>
      <c r="FG5" s="400"/>
      <c r="FH5" s="400"/>
      <c r="FI5" s="400"/>
      <c r="FJ5" s="399"/>
      <c r="FK5" s="398" t="s">
        <v>314</v>
      </c>
      <c r="FL5" s="399"/>
      <c r="FZ5" s="395" t="s">
        <v>421</v>
      </c>
      <c r="GA5" s="395"/>
      <c r="GB5" s="395"/>
      <c r="GC5" s="395"/>
      <c r="GD5" s="395"/>
      <c r="GE5" s="395"/>
      <c r="GF5" s="395"/>
      <c r="GG5" s="395"/>
      <c r="GH5" s="395"/>
      <c r="GI5" s="395"/>
      <c r="GJ5" s="395"/>
      <c r="GK5" s="395"/>
      <c r="GL5" s="395"/>
      <c r="GM5" s="395"/>
      <c r="GN5" s="395"/>
    </row>
    <row r="6" spans="1:234" ht="15.75" customHeight="1" x14ac:dyDescent="0.3">
      <c r="A6" s="140">
        <v>1992</v>
      </c>
      <c r="B6" s="141">
        <v>245</v>
      </c>
      <c r="C6" s="137">
        <v>10353</v>
      </c>
      <c r="D6" s="137">
        <v>2430</v>
      </c>
      <c r="E6" s="137">
        <v>6025</v>
      </c>
      <c r="F6" s="137">
        <v>8551</v>
      </c>
      <c r="G6" s="137">
        <v>72197</v>
      </c>
      <c r="H6" s="138">
        <v>95691</v>
      </c>
      <c r="I6" s="139">
        <v>195492</v>
      </c>
      <c r="K6" s="18">
        <f t="shared" si="0"/>
        <v>27359</v>
      </c>
      <c r="AA6" s="30" t="s">
        <v>444</v>
      </c>
      <c r="AB6" s="30" t="s">
        <v>443</v>
      </c>
      <c r="AC6" s="30" t="s">
        <v>442</v>
      </c>
      <c r="AD6" s="30" t="s">
        <v>102</v>
      </c>
      <c r="AE6" s="163" t="s">
        <v>239</v>
      </c>
      <c r="AF6" s="172" t="s">
        <v>441</v>
      </c>
      <c r="AG6" s="172" t="s">
        <v>440</v>
      </c>
      <c r="AH6" s="172" t="s">
        <v>439</v>
      </c>
      <c r="AI6" s="172" t="s">
        <v>13</v>
      </c>
      <c r="AJ6" s="172" t="s">
        <v>445</v>
      </c>
      <c r="AK6" s="259" t="s">
        <v>4</v>
      </c>
      <c r="AL6" s="259" t="s">
        <v>16</v>
      </c>
      <c r="AN6" s="201" t="s">
        <v>4</v>
      </c>
      <c r="AO6" s="204" t="s">
        <v>13</v>
      </c>
      <c r="AP6" s="204" t="s">
        <v>211</v>
      </c>
      <c r="AQ6" s="204" t="s">
        <v>14</v>
      </c>
      <c r="AR6" s="164" t="s">
        <v>329</v>
      </c>
      <c r="AT6" s="163" t="s">
        <v>166</v>
      </c>
      <c r="AU6" s="163" t="s">
        <v>168</v>
      </c>
      <c r="AV6" s="163" t="s">
        <v>169</v>
      </c>
      <c r="AW6" s="163" t="s">
        <v>330</v>
      </c>
      <c r="AX6" s="163" t="s">
        <v>13</v>
      </c>
      <c r="AY6" s="163" t="s">
        <v>14</v>
      </c>
      <c r="AZ6" s="163"/>
      <c r="BA6" s="163" t="s">
        <v>211</v>
      </c>
      <c r="BB6" s="163" t="s">
        <v>14</v>
      </c>
      <c r="BC6" s="163" t="s">
        <v>13</v>
      </c>
      <c r="BD6" s="163"/>
      <c r="BE6" s="163" t="s">
        <v>211</v>
      </c>
      <c r="BF6" s="163" t="s">
        <v>14</v>
      </c>
      <c r="BG6" s="204" t="s">
        <v>13</v>
      </c>
      <c r="BI6" s="201" t="s">
        <v>4</v>
      </c>
      <c r="BJ6" s="163" t="s">
        <v>211</v>
      </c>
      <c r="BK6" s="163" t="s">
        <v>14</v>
      </c>
      <c r="BL6" s="163" t="s">
        <v>13</v>
      </c>
      <c r="BM6" s="163" t="s">
        <v>329</v>
      </c>
      <c r="BN6" s="163" t="s">
        <v>336</v>
      </c>
      <c r="BO6" s="30"/>
      <c r="BP6" s="163" t="s">
        <v>211</v>
      </c>
      <c r="BQ6" s="163" t="s">
        <v>14</v>
      </c>
      <c r="BR6" s="163" t="s">
        <v>13</v>
      </c>
      <c r="BS6" s="163" t="s">
        <v>456</v>
      </c>
      <c r="BT6" s="163" t="s">
        <v>211</v>
      </c>
      <c r="BU6" s="163" t="s">
        <v>14</v>
      </c>
      <c r="BV6" s="204" t="s">
        <v>13</v>
      </c>
      <c r="BX6" s="201" t="s">
        <v>4</v>
      </c>
      <c r="BY6" s="163" t="s">
        <v>211</v>
      </c>
      <c r="BZ6" s="163" t="s">
        <v>14</v>
      </c>
      <c r="CA6" s="163" t="s">
        <v>13</v>
      </c>
      <c r="CB6" s="163" t="s">
        <v>329</v>
      </c>
      <c r="CC6" s="163" t="s">
        <v>336</v>
      </c>
      <c r="CD6" s="30"/>
      <c r="CE6" s="163" t="s">
        <v>211</v>
      </c>
      <c r="CF6" s="163" t="s">
        <v>14</v>
      </c>
      <c r="CG6" s="163" t="s">
        <v>13</v>
      </c>
      <c r="CH6" s="163" t="s">
        <v>456</v>
      </c>
      <c r="CI6" s="163" t="s">
        <v>211</v>
      </c>
      <c r="CJ6" s="163" t="s">
        <v>14</v>
      </c>
      <c r="CK6" s="204" t="s">
        <v>13</v>
      </c>
      <c r="CM6" s="201" t="s">
        <v>4</v>
      </c>
      <c r="CN6" s="163" t="s">
        <v>211</v>
      </c>
      <c r="CO6" s="163" t="s">
        <v>14</v>
      </c>
      <c r="CP6" s="163" t="s">
        <v>13</v>
      </c>
      <c r="CQ6" s="163" t="s">
        <v>329</v>
      </c>
      <c r="CR6" s="163" t="s">
        <v>336</v>
      </c>
      <c r="CS6" s="30"/>
      <c r="CT6" s="163" t="s">
        <v>211</v>
      </c>
      <c r="CU6" s="163" t="s">
        <v>14</v>
      </c>
      <c r="CV6" s="163" t="s">
        <v>13</v>
      </c>
      <c r="CW6" s="163" t="s">
        <v>456</v>
      </c>
      <c r="CX6" s="163" t="s">
        <v>211</v>
      </c>
      <c r="CY6" s="163" t="s">
        <v>14</v>
      </c>
      <c r="CZ6" s="204" t="s">
        <v>13</v>
      </c>
      <c r="DA6" s="164"/>
      <c r="DB6" s="201" t="s">
        <v>4</v>
      </c>
      <c r="DC6" s="163" t="s">
        <v>211</v>
      </c>
      <c r="DD6" s="163" t="s">
        <v>14</v>
      </c>
      <c r="DE6" s="163" t="s">
        <v>13</v>
      </c>
      <c r="DG6" s="201" t="s">
        <v>4</v>
      </c>
      <c r="DH6" s="204" t="s">
        <v>211</v>
      </c>
      <c r="DI6" s="204" t="s">
        <v>14</v>
      </c>
      <c r="DJ6" s="204" t="s">
        <v>13</v>
      </c>
      <c r="DL6" s="204" t="s">
        <v>205</v>
      </c>
      <c r="DM6" s="204" t="s">
        <v>206</v>
      </c>
      <c r="DN6" s="204" t="s">
        <v>13</v>
      </c>
      <c r="DP6" s="204" t="s">
        <v>205</v>
      </c>
      <c r="DQ6" s="204" t="s">
        <v>206</v>
      </c>
      <c r="DR6" s="204" t="s">
        <v>13</v>
      </c>
      <c r="DT6" s="204" t="s">
        <v>205</v>
      </c>
      <c r="DU6" s="204" t="s">
        <v>206</v>
      </c>
      <c r="DV6" s="204" t="s">
        <v>13</v>
      </c>
      <c r="DX6" s="204" t="s">
        <v>205</v>
      </c>
      <c r="DY6" s="204" t="s">
        <v>206</v>
      </c>
      <c r="DZ6" s="204" t="s">
        <v>13</v>
      </c>
      <c r="EB6" s="204" t="s">
        <v>211</v>
      </c>
      <c r="EC6" s="204" t="s">
        <v>14</v>
      </c>
      <c r="ED6" s="204" t="s">
        <v>13</v>
      </c>
      <c r="EF6" s="212" t="s">
        <v>381</v>
      </c>
      <c r="EG6" s="211" t="s">
        <v>359</v>
      </c>
      <c r="EH6" s="211"/>
      <c r="EI6" s="398" t="s">
        <v>366</v>
      </c>
      <c r="EJ6" s="400"/>
      <c r="EK6" s="399"/>
      <c r="EL6" s="398" t="s">
        <v>368</v>
      </c>
      <c r="EM6" s="399"/>
      <c r="EN6" s="398" t="s">
        <v>369</v>
      </c>
      <c r="EO6" s="399"/>
      <c r="EP6" s="398" t="s">
        <v>370</v>
      </c>
      <c r="EQ6" s="400"/>
      <c r="ER6" s="399"/>
      <c r="ES6" s="398" t="s">
        <v>382</v>
      </c>
      <c r="ET6" s="400"/>
      <c r="EU6" s="399"/>
      <c r="EV6" s="398" t="s">
        <v>383</v>
      </c>
      <c r="EW6" s="399"/>
      <c r="EX6" s="398" t="s">
        <v>371</v>
      </c>
      <c r="EY6" s="399"/>
      <c r="EZ6" s="213" t="s">
        <v>384</v>
      </c>
      <c r="FA6" s="398" t="s">
        <v>372</v>
      </c>
      <c r="FB6" s="399"/>
      <c r="FC6" s="398" t="s">
        <v>366</v>
      </c>
      <c r="FD6" s="400"/>
      <c r="FE6" s="399"/>
      <c r="FF6" s="398" t="s">
        <v>373</v>
      </c>
      <c r="FG6" s="399"/>
      <c r="FH6" s="398" t="s">
        <v>374</v>
      </c>
      <c r="FI6" s="400"/>
      <c r="FJ6" s="399"/>
      <c r="FK6" s="214"/>
      <c r="FL6" s="215"/>
      <c r="GB6" s="395" t="s">
        <v>395</v>
      </c>
      <c r="GC6" s="395"/>
      <c r="GD6" s="395"/>
      <c r="GE6" s="395"/>
      <c r="GF6" s="44"/>
      <c r="GG6" s="395" t="s">
        <v>206</v>
      </c>
      <c r="GH6" s="395"/>
      <c r="GI6" s="395"/>
      <c r="GJ6" s="395"/>
      <c r="GL6" s="395" t="s">
        <v>397</v>
      </c>
      <c r="GM6" s="395"/>
      <c r="GN6" s="164" t="s">
        <v>345</v>
      </c>
      <c r="GP6" s="395" t="s">
        <v>420</v>
      </c>
      <c r="GQ6" s="395"/>
      <c r="GR6" s="395"/>
      <c r="GS6" s="395"/>
      <c r="GT6" s="395"/>
      <c r="GU6" s="395"/>
      <c r="GV6" s="395"/>
      <c r="GW6" s="395"/>
      <c r="GY6" s="395" t="s">
        <v>417</v>
      </c>
      <c r="GZ6" s="395"/>
      <c r="HA6" s="395"/>
      <c r="HB6" s="395"/>
      <c r="HC6" s="395"/>
      <c r="HD6" s="395"/>
      <c r="HE6" s="395"/>
      <c r="HF6" s="395"/>
      <c r="HG6" s="395"/>
      <c r="HH6" s="44"/>
      <c r="HI6" s="44"/>
      <c r="HJ6" s="395" t="s">
        <v>429</v>
      </c>
      <c r="HK6" s="395"/>
      <c r="HL6" s="395"/>
      <c r="HM6" s="395"/>
      <c r="HN6" s="395"/>
      <c r="HO6" s="395"/>
      <c r="HQ6" s="395" t="s">
        <v>422</v>
      </c>
      <c r="HR6" s="395"/>
      <c r="HS6" s="395"/>
      <c r="HT6" s="395"/>
      <c r="HU6" s="395"/>
      <c r="HV6" s="395"/>
      <c r="HW6" s="395"/>
      <c r="HX6" s="395"/>
      <c r="HY6" s="395"/>
      <c r="HZ6" s="395"/>
    </row>
    <row r="7" spans="1:234" ht="15" customHeight="1" x14ac:dyDescent="0.3">
      <c r="A7" s="140">
        <v>1993</v>
      </c>
      <c r="B7" s="141">
        <v>629</v>
      </c>
      <c r="C7" s="137">
        <v>9458</v>
      </c>
      <c r="D7" s="137">
        <v>2874</v>
      </c>
      <c r="E7" s="137">
        <v>8195</v>
      </c>
      <c r="F7" s="137">
        <v>6369</v>
      </c>
      <c r="G7" s="137">
        <v>62778</v>
      </c>
      <c r="H7" s="138">
        <v>119963</v>
      </c>
      <c r="I7" s="139">
        <v>210266</v>
      </c>
      <c r="K7" s="18">
        <f t="shared" si="0"/>
        <v>26896</v>
      </c>
      <c r="AA7">
        <v>2007</v>
      </c>
      <c r="AB7" t="s">
        <v>438</v>
      </c>
      <c r="AC7" t="s">
        <v>437</v>
      </c>
      <c r="AD7" t="s">
        <v>430</v>
      </c>
      <c r="AE7">
        <v>15</v>
      </c>
      <c r="AF7" s="18">
        <v>66</v>
      </c>
      <c r="AG7" s="18">
        <v>69</v>
      </c>
      <c r="AH7" s="18">
        <v>6</v>
      </c>
      <c r="AI7" s="18">
        <v>141</v>
      </c>
      <c r="AJ7" s="18">
        <f>AF7+AG7</f>
        <v>135</v>
      </c>
      <c r="AK7" s="83">
        <v>2007</v>
      </c>
      <c r="AL7" s="258">
        <f>AJ7</f>
        <v>135</v>
      </c>
      <c r="AN7" s="44">
        <v>2007</v>
      </c>
      <c r="AO7" s="18">
        <f t="shared" ref="AO7:AO16" si="1">W21</f>
        <v>2813</v>
      </c>
      <c r="AP7" s="18">
        <f t="shared" ref="AP7:AP16" si="2">Y21</f>
        <v>1418</v>
      </c>
      <c r="AQ7" s="18">
        <f>AO7-AP7</f>
        <v>1395</v>
      </c>
      <c r="AR7" s="205">
        <f>AP7/AO7</f>
        <v>0.50408816210451479</v>
      </c>
      <c r="AT7">
        <v>2007</v>
      </c>
      <c r="AU7" s="18">
        <v>1304</v>
      </c>
      <c r="AV7" t="s">
        <v>121</v>
      </c>
      <c r="AW7">
        <v>7.0000000000000007E-2</v>
      </c>
      <c r="AX7" s="18">
        <f>AU7/(1-AW7)</f>
        <v>1402.1505376344087</v>
      </c>
      <c r="AY7" s="18">
        <f>AX7-AU7</f>
        <v>98.150537634408693</v>
      </c>
      <c r="AZ7" s="18"/>
      <c r="BA7" s="18">
        <v>0</v>
      </c>
      <c r="BB7" s="18">
        <f>AL20</f>
        <v>3</v>
      </c>
      <c r="BC7" s="18">
        <f>BB7+BA7</f>
        <v>3</v>
      </c>
      <c r="BD7" s="18"/>
      <c r="BE7" s="18">
        <f>AU7+BA7</f>
        <v>1304</v>
      </c>
      <c r="BF7" s="18">
        <f>AY7+BB7</f>
        <v>101.15053763440869</v>
      </c>
      <c r="BG7" s="18">
        <f>AX7+BC7</f>
        <v>1405.1505376344087</v>
      </c>
      <c r="BI7">
        <v>2007</v>
      </c>
      <c r="BJ7" s="18">
        <f>ROUND(BL7*BM$20,0)</f>
        <v>80</v>
      </c>
      <c r="BK7" s="18">
        <f>ROUND(BL7*BN$20,0)</f>
        <v>3881</v>
      </c>
      <c r="BL7" s="18">
        <v>3961</v>
      </c>
      <c r="BM7" s="120"/>
      <c r="BP7">
        <v>0</v>
      </c>
      <c r="BQ7" s="18">
        <v>733</v>
      </c>
      <c r="BR7" s="18">
        <v>733</v>
      </c>
      <c r="BS7" s="270">
        <f>BP7/BJ7</f>
        <v>0</v>
      </c>
      <c r="BT7" s="419">
        <f>BJ7-BP7</f>
        <v>80</v>
      </c>
      <c r="BU7" s="18">
        <f>BK7-BQ7</f>
        <v>3148</v>
      </c>
      <c r="BV7" s="18">
        <f>BL7-BR7</f>
        <v>3228</v>
      </c>
      <c r="BW7" s="120"/>
      <c r="BX7">
        <v>2007</v>
      </c>
      <c r="BY7" s="18">
        <f>ROUND(CA7*CB$20,0)</f>
        <v>530</v>
      </c>
      <c r="BZ7" s="18">
        <f>ROUND(CA7*CC$20,0)</f>
        <v>7500</v>
      </c>
      <c r="CA7" s="18">
        <v>8030</v>
      </c>
      <c r="CB7" s="120"/>
      <c r="CE7" s="18">
        <v>20</v>
      </c>
      <c r="CF7" s="18">
        <v>2050</v>
      </c>
      <c r="CG7" s="18">
        <v>2070</v>
      </c>
      <c r="CH7" s="270">
        <f>CE7/BY7</f>
        <v>3.7735849056603772E-2</v>
      </c>
      <c r="CI7" s="18">
        <f>BY7-CE7</f>
        <v>510</v>
      </c>
      <c r="CJ7" s="18">
        <f>BZ7-CF7</f>
        <v>5450</v>
      </c>
      <c r="CK7" s="18">
        <f>CA7-CG7</f>
        <v>5960</v>
      </c>
      <c r="CL7" s="120"/>
      <c r="CM7">
        <v>2007</v>
      </c>
      <c r="CN7" s="18">
        <f>CP7*CQ$20</f>
        <v>108.63571858848285</v>
      </c>
      <c r="CO7" s="18">
        <f>CP7*CR$20</f>
        <v>7487.3642814115174</v>
      </c>
      <c r="CP7" s="18">
        <v>7596</v>
      </c>
      <c r="CQ7" s="120"/>
      <c r="CT7" s="18">
        <v>67</v>
      </c>
      <c r="CU7" s="18">
        <v>3521</v>
      </c>
      <c r="CV7" s="18">
        <v>3588</v>
      </c>
      <c r="CW7" s="270">
        <f>CT7/CN7</f>
        <v>0.61674006367831113</v>
      </c>
      <c r="CX7" s="18">
        <f t="shared" ref="CX7:CX18" si="3">CN7-CT7</f>
        <v>41.635718588482845</v>
      </c>
      <c r="CY7" s="18">
        <f t="shared" ref="CY7:CY18" si="4">CO7-CU7</f>
        <v>3966.3642814115174</v>
      </c>
      <c r="CZ7" s="18">
        <f t="shared" ref="CZ7:CZ18" si="5">CP7-CV7</f>
        <v>4008</v>
      </c>
      <c r="DA7" s="18"/>
      <c r="DB7">
        <v>2007</v>
      </c>
      <c r="DC7" s="18">
        <f>CX7+CI7+BT7+BE7</f>
        <v>1935.6357185884829</v>
      </c>
      <c r="DD7" s="18">
        <f>CY7+CJ7+BU7+BF7</f>
        <v>12665.514819045926</v>
      </c>
      <c r="DE7" s="18">
        <f>CZ7+CK7+BV7+BG7</f>
        <v>14601.150537634408</v>
      </c>
      <c r="DG7">
        <v>2007</v>
      </c>
      <c r="DH7" s="18">
        <f t="shared" ref="DH7:DH18" si="6">CN7+BY7+BJ7+BE7</f>
        <v>2022.6357185884829</v>
      </c>
      <c r="DI7" s="18">
        <f t="shared" ref="DI7:DI18" si="7">CO7+BZ7+BK7+BF7</f>
        <v>18969.514819045926</v>
      </c>
      <c r="DJ7" s="18">
        <f t="shared" ref="DJ7:DJ18" si="8">CP7+CA7+BL7+BG7</f>
        <v>20992.15053763441</v>
      </c>
      <c r="DL7" s="206">
        <f t="shared" ref="DL7:DL17" si="9">DP7*0.1</f>
        <v>9.5642898591993635E-4</v>
      </c>
      <c r="DM7" s="206">
        <f t="shared" ref="DM7:DM17" si="10">DQ7*0.1</f>
        <v>2.5177409464198033E-3</v>
      </c>
      <c r="DN7" s="206">
        <f t="shared" ref="DN7:DN17" si="11">DR7*0.1</f>
        <v>3.4741699323397393E-3</v>
      </c>
      <c r="DP7" s="244">
        <f t="shared" ref="DP7:DP11" si="12">DP$20</f>
        <v>9.5642898591993628E-3</v>
      </c>
      <c r="DQ7" s="244">
        <f t="shared" ref="DQ7:DR11" si="13">DQ$20</f>
        <v>2.5177409464198032E-2</v>
      </c>
      <c r="DR7" s="244">
        <f t="shared" si="13"/>
        <v>3.4741699323397393E-2</v>
      </c>
      <c r="DT7" s="18">
        <f>DL7*DH7</f>
        <v>1.9345074292150244</v>
      </c>
      <c r="DU7" s="18">
        <f>DM7*DH7</f>
        <v>5.0924727683814659</v>
      </c>
      <c r="DV7" s="18">
        <f>DN7*DH7</f>
        <v>7.0269801975964894</v>
      </c>
      <c r="DX7" s="18">
        <f>DP7*DI7</f>
        <v>181.429938217733</v>
      </c>
      <c r="DY7" s="18">
        <f>DQ7*DI7</f>
        <v>477.60324193629174</v>
      </c>
      <c r="DZ7" s="18">
        <f>DR7*DI7</f>
        <v>659.03318015402465</v>
      </c>
      <c r="EB7" s="18">
        <f t="shared" ref="EB7:EB17" si="14">DV7+DH7</f>
        <v>2029.6626987860793</v>
      </c>
      <c r="EC7" s="18">
        <f t="shared" ref="EC7:EC17" si="15">DZ7+DI7</f>
        <v>19628.547999199949</v>
      </c>
      <c r="ED7" s="18">
        <f t="shared" ref="ED7:ED17" si="16">DZ7+DV7+DJ7</f>
        <v>21658.210697986033</v>
      </c>
      <c r="EF7" s="212" t="s">
        <v>4</v>
      </c>
      <c r="EG7" s="211" t="s">
        <v>360</v>
      </c>
      <c r="EH7" s="212" t="s">
        <v>361</v>
      </c>
      <c r="EI7" s="216" t="s">
        <v>104</v>
      </c>
      <c r="EJ7" s="217" t="s">
        <v>367</v>
      </c>
      <c r="EK7" s="218" t="s">
        <v>87</v>
      </c>
      <c r="EL7" s="216" t="s">
        <v>104</v>
      </c>
      <c r="EM7" s="218" t="s">
        <v>87</v>
      </c>
      <c r="EN7" s="216" t="s">
        <v>104</v>
      </c>
      <c r="EO7" s="218" t="s">
        <v>87</v>
      </c>
      <c r="EP7" s="216" t="s">
        <v>104</v>
      </c>
      <c r="EQ7" s="217" t="s">
        <v>367</v>
      </c>
      <c r="ER7" s="218" t="s">
        <v>87</v>
      </c>
      <c r="ES7" s="216" t="s">
        <v>104</v>
      </c>
      <c r="ET7" s="217" t="s">
        <v>367</v>
      </c>
      <c r="EU7" s="218" t="s">
        <v>87</v>
      </c>
      <c r="EV7" s="216" t="s">
        <v>104</v>
      </c>
      <c r="EW7" s="218" t="s">
        <v>87</v>
      </c>
      <c r="EX7" s="216" t="s">
        <v>104</v>
      </c>
      <c r="EY7" s="218" t="s">
        <v>87</v>
      </c>
      <c r="EZ7" s="219" t="s">
        <v>367</v>
      </c>
      <c r="FA7" s="216" t="s">
        <v>367</v>
      </c>
      <c r="FB7" s="218" t="s">
        <v>87</v>
      </c>
      <c r="FC7" s="216" t="s">
        <v>104</v>
      </c>
      <c r="FD7" s="217" t="s">
        <v>367</v>
      </c>
      <c r="FE7" s="218" t="s">
        <v>87</v>
      </c>
      <c r="FF7" s="216" t="s">
        <v>367</v>
      </c>
      <c r="FG7" s="218" t="s">
        <v>87</v>
      </c>
      <c r="FH7" s="216" t="s">
        <v>104</v>
      </c>
      <c r="FI7" s="217" t="s">
        <v>367</v>
      </c>
      <c r="FJ7" s="218" t="s">
        <v>87</v>
      </c>
      <c r="FK7" s="220" t="s">
        <v>375</v>
      </c>
      <c r="FL7" s="221" t="s">
        <v>385</v>
      </c>
      <c r="GA7" s="164" t="s">
        <v>398</v>
      </c>
      <c r="GB7" s="164" t="s">
        <v>13</v>
      </c>
      <c r="GC7" s="164" t="s">
        <v>219</v>
      </c>
      <c r="GD7" s="401" t="s">
        <v>396</v>
      </c>
      <c r="GE7" s="401"/>
      <c r="GF7" s="164"/>
      <c r="GG7" s="164" t="s">
        <v>13</v>
      </c>
      <c r="GH7" s="164" t="s">
        <v>219</v>
      </c>
      <c r="GI7" s="395" t="s">
        <v>396</v>
      </c>
      <c r="GJ7" s="395"/>
      <c r="GL7" s="164" t="s">
        <v>13</v>
      </c>
      <c r="GM7" s="164" t="s">
        <v>350</v>
      </c>
      <c r="GN7" s="164" t="s">
        <v>117</v>
      </c>
      <c r="GQ7" s="164" t="s">
        <v>409</v>
      </c>
      <c r="GR7" s="164" t="s">
        <v>14</v>
      </c>
      <c r="GS7" s="395" t="s">
        <v>410</v>
      </c>
      <c r="GT7" s="395"/>
      <c r="GU7" s="201"/>
      <c r="GV7" s="395" t="s">
        <v>411</v>
      </c>
      <c r="GW7" s="395"/>
      <c r="GZ7" s="164" t="s">
        <v>409</v>
      </c>
      <c r="HA7" s="164" t="s">
        <v>14</v>
      </c>
      <c r="HB7" s="164" t="s">
        <v>211</v>
      </c>
      <c r="HC7" s="395" t="s">
        <v>418</v>
      </c>
      <c r="HD7" s="395"/>
      <c r="HE7" s="201"/>
      <c r="HF7" s="395" t="s">
        <v>419</v>
      </c>
      <c r="HG7" s="395"/>
      <c r="HH7" s="44"/>
      <c r="HK7" s="395" t="s">
        <v>426</v>
      </c>
      <c r="HL7" s="395"/>
      <c r="HM7" s="44"/>
      <c r="HN7" s="395" t="s">
        <v>427</v>
      </c>
      <c r="HO7" s="395"/>
      <c r="HR7" s="395" t="s">
        <v>414</v>
      </c>
      <c r="HS7" s="395"/>
      <c r="HT7" s="201"/>
      <c r="HU7" s="395" t="s">
        <v>415</v>
      </c>
      <c r="HV7" s="395"/>
      <c r="HW7" s="395"/>
      <c r="HY7" s="395" t="s">
        <v>416</v>
      </c>
      <c r="HZ7" s="395"/>
    </row>
    <row r="8" spans="1:234" x14ac:dyDescent="0.3">
      <c r="A8" s="140">
        <v>1994</v>
      </c>
      <c r="B8" s="141">
        <v>128</v>
      </c>
      <c r="C8" s="137">
        <v>3149</v>
      </c>
      <c r="D8" s="137">
        <v>1265</v>
      </c>
      <c r="E8" s="137">
        <v>3068</v>
      </c>
      <c r="F8" s="137">
        <v>3498</v>
      </c>
      <c r="G8" s="137">
        <v>48804</v>
      </c>
      <c r="H8" s="138">
        <v>24095</v>
      </c>
      <c r="I8" s="139">
        <v>84007</v>
      </c>
      <c r="K8" s="18">
        <f t="shared" si="0"/>
        <v>10980</v>
      </c>
      <c r="AA8">
        <v>2008</v>
      </c>
      <c r="AB8" t="s">
        <v>438</v>
      </c>
      <c r="AC8" t="s">
        <v>437</v>
      </c>
      <c r="AD8" t="s">
        <v>430</v>
      </c>
      <c r="AE8">
        <v>15</v>
      </c>
      <c r="AF8" s="18">
        <v>25</v>
      </c>
      <c r="AG8" s="18">
        <v>15</v>
      </c>
      <c r="AH8" s="18">
        <v>27</v>
      </c>
      <c r="AI8" s="18">
        <v>67</v>
      </c>
      <c r="AJ8" s="18">
        <f t="shared" ref="AJ8:AJ15" si="17">AF8+AG8</f>
        <v>40</v>
      </c>
      <c r="AK8" s="83">
        <v>2008</v>
      </c>
      <c r="AL8" s="258">
        <f>AJ8</f>
        <v>40</v>
      </c>
      <c r="AN8" s="44">
        <v>2008</v>
      </c>
      <c r="AO8" s="18">
        <f t="shared" si="1"/>
        <v>5994</v>
      </c>
      <c r="AP8" s="18">
        <f t="shared" si="2"/>
        <v>6610</v>
      </c>
      <c r="AQ8" s="18">
        <f t="shared" ref="AQ8:AQ16" si="18">AO8-AP8</f>
        <v>-616</v>
      </c>
      <c r="AR8" s="205">
        <f t="shared" ref="AR8:AR16" si="19">AP8/AO8</f>
        <v>1.1027694361027693</v>
      </c>
      <c r="AT8">
        <v>2008</v>
      </c>
      <c r="AU8" s="18">
        <v>2721</v>
      </c>
      <c r="AV8" t="s">
        <v>121</v>
      </c>
      <c r="AW8">
        <v>0.45</v>
      </c>
      <c r="AX8" s="18">
        <f t="shared" ref="AX8:AX17" si="20">AU8/(1-AW8)</f>
        <v>4947.272727272727</v>
      </c>
      <c r="AY8" s="18">
        <f t="shared" ref="AY8:AY17" si="21">AX8-AU8</f>
        <v>2226.272727272727</v>
      </c>
      <c r="AZ8" s="18"/>
      <c r="BA8" s="18">
        <v>0</v>
      </c>
      <c r="BB8" s="18">
        <f>AL21</f>
        <v>136</v>
      </c>
      <c r="BC8" s="18">
        <f t="shared" ref="BC8:BC17" si="22">BB8+BA8</f>
        <v>136</v>
      </c>
      <c r="BD8" s="18"/>
      <c r="BE8" s="18">
        <f t="shared" ref="BE8:BE17" si="23">AU8+BA8</f>
        <v>2721</v>
      </c>
      <c r="BF8" s="18">
        <f t="shared" ref="BF8:BF17" si="24">AY8+BB8</f>
        <v>2362.272727272727</v>
      </c>
      <c r="BG8" s="18">
        <f t="shared" ref="BG8:BG17" si="25">AX8+BC8</f>
        <v>5083.272727272727</v>
      </c>
      <c r="BI8">
        <v>2008</v>
      </c>
      <c r="BJ8" s="18">
        <f t="shared" ref="BJ8:BJ9" si="26">ROUND(BL8*BM$20,0)</f>
        <v>60</v>
      </c>
      <c r="BK8" s="18">
        <f t="shared" ref="BK8:BK9" si="27">ROUND(BL8*BN$20,0)</f>
        <v>2918</v>
      </c>
      <c r="BL8" s="18">
        <v>2978</v>
      </c>
      <c r="BM8" s="120"/>
      <c r="BP8">
        <v>3</v>
      </c>
      <c r="BQ8" s="18">
        <v>596</v>
      </c>
      <c r="BR8" s="18">
        <v>599</v>
      </c>
      <c r="BS8" s="270">
        <f t="shared" ref="BS8:BS18" si="28">BP8/BJ8</f>
        <v>0.05</v>
      </c>
      <c r="BT8" s="419">
        <f t="shared" ref="BT8:BT18" si="29">BJ8-BP8</f>
        <v>57</v>
      </c>
      <c r="BU8" s="18">
        <f t="shared" ref="BU8:BU18" si="30">BK8-BQ8</f>
        <v>2322</v>
      </c>
      <c r="BV8" s="18">
        <f t="shared" ref="BV8:BV18" si="31">BL8-BR8</f>
        <v>2379</v>
      </c>
      <c r="BW8" s="120"/>
      <c r="BX8">
        <v>2008</v>
      </c>
      <c r="BY8" s="18">
        <f t="shared" ref="BY8:BY9" si="32">ROUND(CA8*CB$20,0)</f>
        <v>107</v>
      </c>
      <c r="BZ8" s="18">
        <f t="shared" ref="BZ8:BZ9" si="33">ROUND(CA8*CC$20,0)</f>
        <v>1516</v>
      </c>
      <c r="CA8" s="18">
        <v>1623</v>
      </c>
      <c r="CB8" s="120"/>
      <c r="CE8" s="18">
        <v>2</v>
      </c>
      <c r="CF8" s="18">
        <v>249</v>
      </c>
      <c r="CG8" s="18">
        <v>251</v>
      </c>
      <c r="CH8" s="270">
        <f t="shared" ref="CH8:CH12" si="34">CE8/BY8</f>
        <v>1.8691588785046728E-2</v>
      </c>
      <c r="CI8" s="18">
        <f t="shared" ref="CI8:CI18" si="35">BY8-CE8</f>
        <v>105</v>
      </c>
      <c r="CJ8" s="18">
        <f t="shared" ref="CJ8:CJ18" si="36">BZ8-CF8</f>
        <v>1267</v>
      </c>
      <c r="CK8" s="18">
        <f t="shared" ref="CK8:CK18" si="37">CA8-CG8</f>
        <v>1372</v>
      </c>
      <c r="CL8" s="120"/>
      <c r="CM8">
        <v>2008</v>
      </c>
      <c r="CN8" s="18">
        <f t="shared" ref="CN8:CN13" si="38">CP8*CQ$20</f>
        <v>31.678267071286136</v>
      </c>
      <c r="CO8" s="18">
        <f t="shared" ref="CO8:CO13" si="39">CP8*CR$20</f>
        <v>2183.321732928714</v>
      </c>
      <c r="CP8" s="18">
        <v>2215</v>
      </c>
      <c r="CQ8" s="120"/>
      <c r="CT8" s="18">
        <v>12</v>
      </c>
      <c r="CU8" s="18">
        <v>813</v>
      </c>
      <c r="CV8" s="18">
        <v>825</v>
      </c>
      <c r="CW8" s="270">
        <f t="shared" ref="CW8:CW17" si="40">CT8/CN8</f>
        <v>0.3788086000094702</v>
      </c>
      <c r="CX8" s="18">
        <f t="shared" si="3"/>
        <v>19.678267071286136</v>
      </c>
      <c r="CY8" s="18">
        <f t="shared" si="4"/>
        <v>1370.321732928714</v>
      </c>
      <c r="CZ8" s="18">
        <f t="shared" si="5"/>
        <v>1390</v>
      </c>
      <c r="DA8" s="18"/>
      <c r="DB8">
        <v>2008</v>
      </c>
      <c r="DC8" s="18">
        <f t="shared" ref="DC8:DC18" si="41">CX8+CI8+BT8+BE8</f>
        <v>2902.678267071286</v>
      </c>
      <c r="DD8" s="18">
        <f t="shared" ref="DD8:DD18" si="42">CY8+CJ8+BU8+BF8</f>
        <v>7321.5944602014415</v>
      </c>
      <c r="DE8" s="18">
        <f t="shared" ref="DE8:DE18" si="43">CZ8+CK8+BV8+BG8</f>
        <v>10224.272727272728</v>
      </c>
      <c r="DG8">
        <v>2008</v>
      </c>
      <c r="DH8" s="18">
        <f t="shared" si="6"/>
        <v>2919.678267071286</v>
      </c>
      <c r="DI8" s="18">
        <f t="shared" si="7"/>
        <v>8979.5944602014424</v>
      </c>
      <c r="DJ8" s="18">
        <f t="shared" si="8"/>
        <v>11899.272727272728</v>
      </c>
      <c r="DL8" s="206">
        <f t="shared" si="9"/>
        <v>9.5642898591993635E-4</v>
      </c>
      <c r="DM8" s="206">
        <f t="shared" si="10"/>
        <v>2.5177409464198033E-3</v>
      </c>
      <c r="DN8" s="206">
        <f t="shared" si="11"/>
        <v>3.4741699323397393E-3</v>
      </c>
      <c r="DP8" s="244">
        <f t="shared" si="12"/>
        <v>9.5642898591993628E-3</v>
      </c>
      <c r="DQ8" s="244">
        <f t="shared" si="13"/>
        <v>2.5177409464198032E-2</v>
      </c>
      <c r="DR8" s="244">
        <f t="shared" si="13"/>
        <v>3.4741699323397393E-2</v>
      </c>
      <c r="DT8" s="18">
        <f t="shared" ref="DT8:DT17" si="44">DL8*DH8</f>
        <v>2.7924649241874673</v>
      </c>
      <c r="DU8" s="18">
        <f t="shared" ref="DU8:DU17" si="45">DM8*DH8</f>
        <v>7.3509935233773911</v>
      </c>
      <c r="DV8" s="18">
        <f t="shared" ref="DV8:DV17" si="46">DN8*DH8</f>
        <v>10.143458447564857</v>
      </c>
      <c r="DX8" s="18">
        <f t="shared" ref="DX8:DX17" si="47">DP8*DI8</f>
        <v>85.883444235427433</v>
      </c>
      <c r="DY8" s="18">
        <f t="shared" ref="DY8:DY17" si="48">DQ8*DI8</f>
        <v>226.08292654693602</v>
      </c>
      <c r="DZ8" s="18">
        <f t="shared" ref="DZ8:DZ17" si="49">DR8*DI8</f>
        <v>311.96637078236341</v>
      </c>
      <c r="EB8" s="18">
        <f t="shared" si="14"/>
        <v>2929.8217255188511</v>
      </c>
      <c r="EC8" s="18">
        <f t="shared" si="15"/>
        <v>9291.5608309838062</v>
      </c>
      <c r="ED8" s="18">
        <f t="shared" si="16"/>
        <v>12221.382556502656</v>
      </c>
      <c r="EF8" t="s">
        <v>376</v>
      </c>
      <c r="EG8">
        <v>4861</v>
      </c>
      <c r="EH8" t="s">
        <v>362</v>
      </c>
      <c r="EI8" s="77">
        <v>7.2</v>
      </c>
      <c r="EJ8" s="29">
        <v>0.3</v>
      </c>
      <c r="EK8" s="222">
        <v>0.2</v>
      </c>
      <c r="EL8" s="77">
        <v>6.1</v>
      </c>
      <c r="EM8" s="29">
        <v>0</v>
      </c>
      <c r="EN8" s="29">
        <v>2.2999999999999998</v>
      </c>
      <c r="EO8" s="29">
        <v>0</v>
      </c>
      <c r="EP8" s="29">
        <v>0.2</v>
      </c>
      <c r="EQ8" s="29">
        <v>0.2</v>
      </c>
      <c r="ER8" s="29">
        <v>0</v>
      </c>
      <c r="ES8" s="29">
        <v>0.1</v>
      </c>
      <c r="ET8" s="29">
        <v>0</v>
      </c>
      <c r="EU8" s="222">
        <v>0.1</v>
      </c>
      <c r="EV8" s="77">
        <v>0.9</v>
      </c>
      <c r="EW8" s="29">
        <v>0.5</v>
      </c>
      <c r="EX8" s="29">
        <v>0.1</v>
      </c>
      <c r="EY8" s="29">
        <v>0</v>
      </c>
      <c r="EZ8" s="29">
        <v>0</v>
      </c>
      <c r="FA8" s="29">
        <v>0</v>
      </c>
      <c r="FB8" s="222">
        <v>0.2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4.2</v>
      </c>
      <c r="FJ8">
        <v>18.3</v>
      </c>
      <c r="FK8">
        <v>0</v>
      </c>
      <c r="FL8">
        <v>59.2</v>
      </c>
      <c r="FZ8" s="201" t="s">
        <v>4</v>
      </c>
      <c r="GA8" s="163" t="s">
        <v>399</v>
      </c>
      <c r="GB8" s="163" t="s">
        <v>350</v>
      </c>
      <c r="GC8" s="163" t="s">
        <v>396</v>
      </c>
      <c r="GD8" s="163" t="s">
        <v>350</v>
      </c>
      <c r="GE8" s="163" t="s">
        <v>208</v>
      </c>
      <c r="GF8" s="163"/>
      <c r="GG8" s="163" t="s">
        <v>350</v>
      </c>
      <c r="GH8" s="163" t="s">
        <v>396</v>
      </c>
      <c r="GI8" s="163" t="s">
        <v>350</v>
      </c>
      <c r="GJ8" s="163" t="s">
        <v>208</v>
      </c>
      <c r="GK8" s="30"/>
      <c r="GL8" s="163" t="s">
        <v>350</v>
      </c>
      <c r="GM8" s="163" t="s">
        <v>347</v>
      </c>
      <c r="GN8" s="163" t="s">
        <v>348</v>
      </c>
      <c r="GP8" s="201" t="s">
        <v>4</v>
      </c>
      <c r="GQ8" s="163" t="s">
        <v>407</v>
      </c>
      <c r="GR8" s="163" t="s">
        <v>40</v>
      </c>
      <c r="GS8" s="163" t="s">
        <v>346</v>
      </c>
      <c r="GT8" s="163" t="s">
        <v>408</v>
      </c>
      <c r="GU8" s="163"/>
      <c r="GV8" s="163" t="s">
        <v>350</v>
      </c>
      <c r="GW8" s="163" t="s">
        <v>208</v>
      </c>
      <c r="GY8" s="201" t="s">
        <v>4</v>
      </c>
      <c r="GZ8" s="163" t="s">
        <v>407</v>
      </c>
      <c r="HA8" s="163" t="s">
        <v>40</v>
      </c>
      <c r="HB8" s="163" t="s">
        <v>412</v>
      </c>
      <c r="HC8" s="163" t="s">
        <v>346</v>
      </c>
      <c r="HD8" s="163" t="s">
        <v>408</v>
      </c>
      <c r="HE8" s="163"/>
      <c r="HF8" s="163" t="s">
        <v>350</v>
      </c>
      <c r="HG8" s="163" t="s">
        <v>208</v>
      </c>
      <c r="HH8" s="164"/>
      <c r="HI8" s="201" t="s">
        <v>4</v>
      </c>
      <c r="HJ8" s="163" t="s">
        <v>407</v>
      </c>
      <c r="HK8" s="163" t="s">
        <v>425</v>
      </c>
      <c r="HL8" s="163" t="s">
        <v>347</v>
      </c>
      <c r="HM8" s="163"/>
      <c r="HN8" s="163" t="s">
        <v>428</v>
      </c>
      <c r="HO8" s="163" t="s">
        <v>347</v>
      </c>
      <c r="HQ8" s="201" t="s">
        <v>4</v>
      </c>
      <c r="HR8" s="30" t="s">
        <v>128</v>
      </c>
      <c r="HS8" s="30" t="s">
        <v>413</v>
      </c>
      <c r="HT8" s="30"/>
      <c r="HU8" s="201" t="s">
        <v>13</v>
      </c>
      <c r="HV8" s="201" t="s">
        <v>128</v>
      </c>
      <c r="HW8" s="201" t="s">
        <v>413</v>
      </c>
      <c r="HX8" s="30"/>
      <c r="HY8" s="201" t="s">
        <v>128</v>
      </c>
      <c r="HZ8" s="201" t="s">
        <v>413</v>
      </c>
    </row>
    <row r="9" spans="1:234" x14ac:dyDescent="0.3">
      <c r="A9" s="140">
        <v>1995</v>
      </c>
      <c r="B9" s="141">
        <v>187</v>
      </c>
      <c r="C9" s="137">
        <v>2102</v>
      </c>
      <c r="D9" s="142">
        <v>697</v>
      </c>
      <c r="E9" s="137">
        <v>3726</v>
      </c>
      <c r="F9" s="137">
        <v>2529</v>
      </c>
      <c r="G9" s="137">
        <v>40854</v>
      </c>
      <c r="H9" s="138">
        <v>12792</v>
      </c>
      <c r="I9" s="139">
        <v>62887</v>
      </c>
      <c r="K9" s="18">
        <f t="shared" si="0"/>
        <v>9054</v>
      </c>
      <c r="AA9">
        <v>2009</v>
      </c>
      <c r="AB9" t="s">
        <v>438</v>
      </c>
      <c r="AC9" t="s">
        <v>437</v>
      </c>
      <c r="AD9" t="s">
        <v>430</v>
      </c>
      <c r="AE9">
        <v>15</v>
      </c>
      <c r="AF9" s="18">
        <v>11</v>
      </c>
      <c r="AG9" s="18">
        <v>8</v>
      </c>
      <c r="AH9" s="18">
        <v>44</v>
      </c>
      <c r="AI9" s="18">
        <v>63</v>
      </c>
      <c r="AJ9" s="18">
        <f t="shared" si="17"/>
        <v>19</v>
      </c>
      <c r="AK9" s="83">
        <v>2009</v>
      </c>
      <c r="AL9" s="258">
        <f>AJ9</f>
        <v>19</v>
      </c>
      <c r="AN9" s="44">
        <v>2009</v>
      </c>
      <c r="AO9" s="18">
        <f t="shared" si="1"/>
        <v>2429</v>
      </c>
      <c r="AP9" s="18">
        <f t="shared" si="2"/>
        <v>2623</v>
      </c>
      <c r="AQ9" s="18">
        <f t="shared" si="18"/>
        <v>-194</v>
      </c>
      <c r="AR9" s="205">
        <f t="shared" si="19"/>
        <v>1.07986825854261</v>
      </c>
      <c r="AT9">
        <v>2009</v>
      </c>
      <c r="AU9">
        <v>856</v>
      </c>
      <c r="AV9" t="s">
        <v>121</v>
      </c>
      <c r="AW9">
        <v>0.53</v>
      </c>
      <c r="AX9" s="18">
        <f t="shared" si="20"/>
        <v>1821.2765957446809</v>
      </c>
      <c r="AY9" s="18">
        <f t="shared" si="21"/>
        <v>965.27659574468089</v>
      </c>
      <c r="AZ9" s="18"/>
      <c r="BA9" s="18">
        <v>0</v>
      </c>
      <c r="BB9" s="18">
        <f>AL22</f>
        <v>203</v>
      </c>
      <c r="BC9" s="18">
        <f t="shared" si="22"/>
        <v>203</v>
      </c>
      <c r="BD9" s="18"/>
      <c r="BE9" s="18">
        <f t="shared" si="23"/>
        <v>856</v>
      </c>
      <c r="BF9" s="18">
        <f t="shared" si="24"/>
        <v>1168.2765957446809</v>
      </c>
      <c r="BG9" s="18">
        <f t="shared" si="25"/>
        <v>2024.2765957446809</v>
      </c>
      <c r="BI9">
        <v>2009</v>
      </c>
      <c r="BJ9" s="18">
        <f t="shared" si="26"/>
        <v>122</v>
      </c>
      <c r="BK9" s="18">
        <f t="shared" si="27"/>
        <v>5932</v>
      </c>
      <c r="BL9" s="18">
        <v>6054</v>
      </c>
      <c r="BM9" s="120"/>
      <c r="BP9">
        <v>3</v>
      </c>
      <c r="BQ9" s="18">
        <v>1897.0000000000002</v>
      </c>
      <c r="BR9" s="18">
        <v>1900.0000000000002</v>
      </c>
      <c r="BS9" s="270">
        <f t="shared" si="28"/>
        <v>2.4590163934426229E-2</v>
      </c>
      <c r="BT9" s="419">
        <f t="shared" si="29"/>
        <v>119</v>
      </c>
      <c r="BU9" s="18">
        <f t="shared" si="30"/>
        <v>4035</v>
      </c>
      <c r="BV9" s="18">
        <f t="shared" si="31"/>
        <v>4154</v>
      </c>
      <c r="BW9" s="120"/>
      <c r="BX9">
        <v>2009</v>
      </c>
      <c r="BY9" s="18">
        <f t="shared" si="32"/>
        <v>27</v>
      </c>
      <c r="BZ9" s="18">
        <f t="shared" si="33"/>
        <v>377</v>
      </c>
      <c r="CA9" s="18">
        <v>404</v>
      </c>
      <c r="CB9" s="120"/>
      <c r="CE9" s="18">
        <v>2</v>
      </c>
      <c r="CF9" s="18">
        <v>115</v>
      </c>
      <c r="CG9" s="18">
        <v>117</v>
      </c>
      <c r="CH9" s="270">
        <f t="shared" si="34"/>
        <v>7.407407407407407E-2</v>
      </c>
      <c r="CI9" s="18">
        <f t="shared" si="35"/>
        <v>25</v>
      </c>
      <c r="CJ9" s="18">
        <f t="shared" si="36"/>
        <v>262</v>
      </c>
      <c r="CK9" s="18">
        <f t="shared" si="37"/>
        <v>287</v>
      </c>
      <c r="CL9" s="120"/>
      <c r="CM9">
        <v>2009</v>
      </c>
      <c r="CN9" s="18">
        <f t="shared" si="38"/>
        <v>21.352439159110702</v>
      </c>
      <c r="CO9" s="18">
        <f t="shared" si="39"/>
        <v>1471.6475608408894</v>
      </c>
      <c r="CP9" s="18">
        <v>1493</v>
      </c>
      <c r="CQ9" s="120"/>
      <c r="CT9" s="18">
        <v>14</v>
      </c>
      <c r="CU9" s="18">
        <v>402</v>
      </c>
      <c r="CV9" s="18">
        <v>416</v>
      </c>
      <c r="CW9" s="270">
        <f t="shared" si="40"/>
        <v>0.65566279785072945</v>
      </c>
      <c r="CX9" s="18">
        <f t="shared" si="3"/>
        <v>7.3524391591107019</v>
      </c>
      <c r="CY9" s="18">
        <f t="shared" si="4"/>
        <v>1069.6475608408894</v>
      </c>
      <c r="CZ9" s="18">
        <f t="shared" si="5"/>
        <v>1077</v>
      </c>
      <c r="DA9" s="18"/>
      <c r="DB9">
        <v>2009</v>
      </c>
      <c r="DC9" s="18">
        <f t="shared" si="41"/>
        <v>1007.3524391591106</v>
      </c>
      <c r="DD9" s="18">
        <f t="shared" si="42"/>
        <v>6534.92415658557</v>
      </c>
      <c r="DE9" s="18">
        <f t="shared" si="43"/>
        <v>7542.2765957446809</v>
      </c>
      <c r="DG9">
        <v>2009</v>
      </c>
      <c r="DH9" s="18">
        <f t="shared" si="6"/>
        <v>1026.3524391591106</v>
      </c>
      <c r="DI9" s="18">
        <f t="shared" si="7"/>
        <v>8948.92415658557</v>
      </c>
      <c r="DJ9" s="18">
        <f t="shared" si="8"/>
        <v>9975.2765957446809</v>
      </c>
      <c r="DL9" s="206">
        <f t="shared" si="9"/>
        <v>9.5642898591993635E-4</v>
      </c>
      <c r="DM9" s="206">
        <f t="shared" si="10"/>
        <v>2.5177409464198033E-3</v>
      </c>
      <c r="DN9" s="206">
        <f t="shared" si="11"/>
        <v>3.4741699323397393E-3</v>
      </c>
      <c r="DP9" s="244">
        <f t="shared" si="12"/>
        <v>9.5642898591993628E-3</v>
      </c>
      <c r="DQ9" s="244">
        <f t="shared" si="13"/>
        <v>2.5177409464198032E-2</v>
      </c>
      <c r="DR9" s="244">
        <f t="shared" si="13"/>
        <v>3.4741699323397393E-2</v>
      </c>
      <c r="DT9" s="18">
        <f t="shared" si="44"/>
        <v>0.9816332225814014</v>
      </c>
      <c r="DU9" s="18">
        <f t="shared" si="45"/>
        <v>2.5840895615287329</v>
      </c>
      <c r="DV9" s="18">
        <f t="shared" si="46"/>
        <v>3.5657227841101338</v>
      </c>
      <c r="DX9" s="18">
        <f t="shared" si="47"/>
        <v>85.590104561575572</v>
      </c>
      <c r="DY9" s="18">
        <f t="shared" si="48"/>
        <v>225.31072775440794</v>
      </c>
      <c r="DZ9" s="18">
        <f t="shared" si="49"/>
        <v>310.90083231598351</v>
      </c>
      <c r="EB9" s="18">
        <f t="shared" si="14"/>
        <v>1029.9181619432209</v>
      </c>
      <c r="EC9" s="18">
        <f t="shared" si="15"/>
        <v>9259.8249889015533</v>
      </c>
      <c r="ED9" s="18">
        <f t="shared" si="16"/>
        <v>10289.743150844775</v>
      </c>
      <c r="EF9">
        <v>1985</v>
      </c>
      <c r="EG9">
        <v>2549</v>
      </c>
      <c r="EH9" t="s">
        <v>377</v>
      </c>
      <c r="EI9" s="20">
        <v>7</v>
      </c>
      <c r="EJ9">
        <v>0.2</v>
      </c>
      <c r="EK9" s="223">
        <v>0</v>
      </c>
      <c r="EL9" s="20">
        <v>0.5</v>
      </c>
      <c r="EM9">
        <v>0</v>
      </c>
      <c r="EN9">
        <v>0.5</v>
      </c>
      <c r="EO9">
        <v>0</v>
      </c>
      <c r="EP9">
        <v>0.2</v>
      </c>
      <c r="EQ9">
        <v>0</v>
      </c>
      <c r="ER9">
        <v>0</v>
      </c>
      <c r="ES9">
        <v>0</v>
      </c>
      <c r="ET9">
        <v>0</v>
      </c>
      <c r="EU9" s="223">
        <v>0</v>
      </c>
      <c r="EV9" s="20">
        <v>0.3</v>
      </c>
      <c r="EW9">
        <v>0</v>
      </c>
      <c r="EX9">
        <v>0</v>
      </c>
      <c r="EY9">
        <v>0</v>
      </c>
      <c r="EZ9">
        <v>0</v>
      </c>
      <c r="FA9">
        <v>0.1</v>
      </c>
      <c r="FB9" s="223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18</v>
      </c>
      <c r="FJ9">
        <v>19.8</v>
      </c>
      <c r="FK9">
        <v>0</v>
      </c>
      <c r="FL9">
        <v>53.5</v>
      </c>
      <c r="FZ9">
        <v>2007</v>
      </c>
      <c r="GA9" s="242">
        <v>6356</v>
      </c>
      <c r="GB9" s="242">
        <v>6774</v>
      </c>
      <c r="GC9" s="244"/>
      <c r="GD9" s="242"/>
      <c r="GE9" s="242"/>
      <c r="GF9" s="242"/>
      <c r="GG9" s="242">
        <v>194</v>
      </c>
      <c r="GH9" s="241"/>
      <c r="GI9" s="243"/>
      <c r="GJ9" s="243"/>
      <c r="GL9" s="243"/>
      <c r="GP9">
        <v>2007</v>
      </c>
      <c r="GQ9" s="18">
        <v>6977</v>
      </c>
      <c r="GR9" s="18">
        <v>3056</v>
      </c>
      <c r="GS9" s="18">
        <v>1603</v>
      </c>
      <c r="GT9" s="175">
        <f>GS9/GQ9</f>
        <v>0.22975490898667048</v>
      </c>
      <c r="GV9" s="18">
        <v>2318</v>
      </c>
      <c r="GW9" s="175">
        <f>GV9/GQ9</f>
        <v>0.33223448473555972</v>
      </c>
      <c r="GY9">
        <v>2007</v>
      </c>
      <c r="GZ9">
        <v>3288</v>
      </c>
      <c r="HA9">
        <v>1567</v>
      </c>
      <c r="HB9">
        <v>103</v>
      </c>
      <c r="HC9">
        <v>1456</v>
      </c>
      <c r="HD9" s="175">
        <f>HC9/GZ9</f>
        <v>0.44282238442822386</v>
      </c>
      <c r="HF9">
        <v>162</v>
      </c>
      <c r="HG9" s="175">
        <f>HF9/GZ9</f>
        <v>4.9270072992700732E-2</v>
      </c>
      <c r="HH9" s="175"/>
      <c r="HI9">
        <v>2007</v>
      </c>
      <c r="HJ9" s="18">
        <f>GZ9+GQ9</f>
        <v>10265</v>
      </c>
      <c r="HK9" s="18">
        <f>HC9+GS9</f>
        <v>3059</v>
      </c>
      <c r="HL9" s="175">
        <f>HK9/HJ9</f>
        <v>0.29800292255236238</v>
      </c>
      <c r="HM9" s="175"/>
      <c r="HN9" s="18">
        <f>HF9+GV9</f>
        <v>2480</v>
      </c>
      <c r="HO9" s="175">
        <f>HN9/HJ9</f>
        <v>0.24159766195811008</v>
      </c>
      <c r="HQ9">
        <v>2007</v>
      </c>
      <c r="HR9" s="175">
        <v>4.0752700144750027E-2</v>
      </c>
      <c r="HS9" s="175">
        <v>8.6466490987145705E-2</v>
      </c>
      <c r="HT9" s="175"/>
      <c r="HU9" s="18">
        <v>80829</v>
      </c>
      <c r="HV9" s="18">
        <f>HU9*HR9</f>
        <v>3294</v>
      </c>
      <c r="HW9" s="18">
        <f>HU9*HS9</f>
        <v>6989</v>
      </c>
      <c r="HY9" s="18">
        <f t="shared" ref="HY9:HY20" si="50">HV9-GZ9</f>
        <v>6</v>
      </c>
      <c r="HZ9" s="18">
        <f t="shared" ref="HZ9:HZ20" si="51">HW9-GQ9</f>
        <v>12</v>
      </c>
    </row>
    <row r="10" spans="1:234" x14ac:dyDescent="0.3">
      <c r="A10" s="140">
        <v>1996</v>
      </c>
      <c r="B10" s="141">
        <v>705</v>
      </c>
      <c r="C10" s="137">
        <v>1787</v>
      </c>
      <c r="D10" s="142">
        <v>627</v>
      </c>
      <c r="E10" s="137">
        <v>1730</v>
      </c>
      <c r="F10" s="137">
        <v>3801</v>
      </c>
      <c r="G10" s="137">
        <v>33358</v>
      </c>
      <c r="H10" s="138">
        <v>55552</v>
      </c>
      <c r="I10" s="139">
        <v>97560</v>
      </c>
      <c r="K10" s="18">
        <f t="shared" si="0"/>
        <v>7945</v>
      </c>
      <c r="AA10">
        <v>2010</v>
      </c>
      <c r="AB10" t="s">
        <v>438</v>
      </c>
      <c r="AC10" t="s">
        <v>437</v>
      </c>
      <c r="AD10" t="s">
        <v>430</v>
      </c>
      <c r="AE10">
        <v>15</v>
      </c>
      <c r="AF10" s="18">
        <v>10</v>
      </c>
      <c r="AG10" s="18">
        <v>4</v>
      </c>
      <c r="AH10" s="18">
        <v>9</v>
      </c>
      <c r="AI10" s="18">
        <v>23</v>
      </c>
      <c r="AJ10" s="18">
        <f t="shared" si="17"/>
        <v>14</v>
      </c>
      <c r="AK10" s="83">
        <v>2010</v>
      </c>
      <c r="AL10" s="258"/>
      <c r="AN10" s="44">
        <v>2010</v>
      </c>
      <c r="AO10" s="18">
        <f t="shared" si="1"/>
        <v>7652</v>
      </c>
      <c r="AP10" s="18">
        <f t="shared" si="2"/>
        <v>8215</v>
      </c>
      <c r="AQ10" s="18">
        <f t="shared" si="18"/>
        <v>-563</v>
      </c>
      <c r="AR10" s="205">
        <f t="shared" si="19"/>
        <v>1.073575535807632</v>
      </c>
      <c r="AT10">
        <v>2010</v>
      </c>
      <c r="AU10" s="18">
        <v>1391</v>
      </c>
      <c r="AV10" t="s">
        <v>121</v>
      </c>
      <c r="AW10">
        <v>0.77</v>
      </c>
      <c r="AX10" s="18">
        <f t="shared" si="20"/>
        <v>6047.826086956522</v>
      </c>
      <c r="AY10" s="18">
        <f t="shared" si="21"/>
        <v>4656.826086956522</v>
      </c>
      <c r="AZ10" s="18"/>
      <c r="BA10" s="18">
        <v>0</v>
      </c>
      <c r="BB10" s="18">
        <f>AL23</f>
        <v>535</v>
      </c>
      <c r="BC10" s="18">
        <f t="shared" si="22"/>
        <v>535</v>
      </c>
      <c r="BD10" s="18"/>
      <c r="BE10" s="18">
        <f t="shared" si="23"/>
        <v>1391</v>
      </c>
      <c r="BF10" s="18">
        <f t="shared" si="24"/>
        <v>5191.826086956522</v>
      </c>
      <c r="BG10" s="18">
        <f t="shared" si="25"/>
        <v>6582.826086956522</v>
      </c>
      <c r="BI10">
        <v>2010</v>
      </c>
      <c r="BJ10" s="18">
        <v>131</v>
      </c>
      <c r="BK10" s="18">
        <v>8484</v>
      </c>
      <c r="BL10" s="18">
        <v>8615</v>
      </c>
      <c r="BM10" s="175">
        <f>BJ10/BL10</f>
        <v>1.5206035983749274E-2</v>
      </c>
      <c r="BN10" s="175">
        <f>BK10/BL10</f>
        <v>0.98479396401625074</v>
      </c>
      <c r="BP10" s="120">
        <v>16</v>
      </c>
      <c r="BQ10" s="18">
        <v>2168</v>
      </c>
      <c r="BR10" s="18">
        <v>2184</v>
      </c>
      <c r="BS10" s="270">
        <f t="shared" si="28"/>
        <v>0.12213740458015267</v>
      </c>
      <c r="BT10" s="419">
        <f t="shared" si="29"/>
        <v>115</v>
      </c>
      <c r="BU10" s="18">
        <f t="shared" si="30"/>
        <v>6316</v>
      </c>
      <c r="BV10" s="18">
        <f t="shared" si="31"/>
        <v>6431</v>
      </c>
      <c r="BW10" s="120"/>
      <c r="BX10">
        <v>2010</v>
      </c>
      <c r="BY10" s="18">
        <v>68</v>
      </c>
      <c r="BZ10" s="18">
        <v>909</v>
      </c>
      <c r="CA10" s="18">
        <v>977</v>
      </c>
      <c r="CB10" s="175">
        <f>BY10/CA10</f>
        <v>6.9600818833162742E-2</v>
      </c>
      <c r="CC10" s="175">
        <f>BZ10/CA10</f>
        <v>0.93039918116683729</v>
      </c>
      <c r="CE10" s="18">
        <v>8</v>
      </c>
      <c r="CF10" s="18">
        <v>409</v>
      </c>
      <c r="CG10" s="18">
        <v>417</v>
      </c>
      <c r="CH10" s="270">
        <f t="shared" si="34"/>
        <v>0.11764705882352941</v>
      </c>
      <c r="CI10" s="18">
        <f t="shared" si="35"/>
        <v>60</v>
      </c>
      <c r="CJ10" s="18">
        <f t="shared" si="36"/>
        <v>500</v>
      </c>
      <c r="CK10" s="18">
        <f t="shared" si="37"/>
        <v>560</v>
      </c>
      <c r="CL10" s="120"/>
      <c r="CM10">
        <v>2010</v>
      </c>
      <c r="CN10" s="18">
        <f t="shared" si="38"/>
        <v>33.566091564924861</v>
      </c>
      <c r="CO10" s="18">
        <f t="shared" si="39"/>
        <v>2313.4339084350754</v>
      </c>
      <c r="CP10" s="18">
        <v>2347</v>
      </c>
      <c r="CQ10" s="175"/>
      <c r="CR10" s="175"/>
      <c r="CT10" s="18">
        <v>11</v>
      </c>
      <c r="CU10" s="18">
        <v>509</v>
      </c>
      <c r="CV10" s="18">
        <v>520</v>
      </c>
      <c r="CW10" s="270">
        <f t="shared" si="40"/>
        <v>0.3277116723203643</v>
      </c>
      <c r="CX10" s="18">
        <f t="shared" si="3"/>
        <v>22.566091564924861</v>
      </c>
      <c r="CY10" s="18">
        <f t="shared" si="4"/>
        <v>1804.4339084350754</v>
      </c>
      <c r="CZ10" s="18">
        <f t="shared" si="5"/>
        <v>1827</v>
      </c>
      <c r="DA10" s="18"/>
      <c r="DB10">
        <v>2010</v>
      </c>
      <c r="DC10" s="18">
        <f t="shared" si="41"/>
        <v>1588.5660915649248</v>
      </c>
      <c r="DD10" s="18">
        <f t="shared" si="42"/>
        <v>13812.259995391598</v>
      </c>
      <c r="DE10" s="18">
        <f t="shared" si="43"/>
        <v>15400.826086956522</v>
      </c>
      <c r="DG10">
        <v>2010</v>
      </c>
      <c r="DH10" s="18">
        <f t="shared" si="6"/>
        <v>1623.5660915649248</v>
      </c>
      <c r="DI10" s="18">
        <f t="shared" si="7"/>
        <v>16898.2599953916</v>
      </c>
      <c r="DJ10" s="18">
        <f t="shared" si="8"/>
        <v>18521.82608695652</v>
      </c>
      <c r="DL10" s="206">
        <f t="shared" si="9"/>
        <v>9.5642898591993635E-4</v>
      </c>
      <c r="DM10" s="206">
        <f t="shared" si="10"/>
        <v>2.5177409464198033E-3</v>
      </c>
      <c r="DN10" s="206">
        <f t="shared" si="11"/>
        <v>3.4741699323397393E-3</v>
      </c>
      <c r="DP10" s="244">
        <f t="shared" si="12"/>
        <v>9.5642898591993628E-3</v>
      </c>
      <c r="DQ10" s="244">
        <f t="shared" si="13"/>
        <v>2.5177409464198032E-2</v>
      </c>
      <c r="DR10" s="244">
        <f t="shared" si="13"/>
        <v>3.4741699323397393E-2</v>
      </c>
      <c r="DT10" s="18">
        <f t="shared" si="44"/>
        <v>1.5528256705294357</v>
      </c>
      <c r="DU10" s="18">
        <f t="shared" si="45"/>
        <v>4.0877188279517744</v>
      </c>
      <c r="DV10" s="18">
        <f t="shared" si="46"/>
        <v>5.6405444984812094</v>
      </c>
      <c r="DX10" s="18">
        <f t="shared" si="47"/>
        <v>161.61985671203814</v>
      </c>
      <c r="DY10" s="18">
        <f t="shared" si="48"/>
        <v>425.45441113645143</v>
      </c>
      <c r="DZ10" s="18">
        <f t="shared" si="49"/>
        <v>587.07426784848963</v>
      </c>
      <c r="EB10" s="18">
        <f t="shared" si="14"/>
        <v>1629.206636063406</v>
      </c>
      <c r="EC10" s="18">
        <f t="shared" si="15"/>
        <v>17485.334263240089</v>
      </c>
      <c r="ED10" s="18">
        <f t="shared" si="16"/>
        <v>19114.540899303491</v>
      </c>
      <c r="EF10">
        <v>1986</v>
      </c>
      <c r="EG10">
        <v>629</v>
      </c>
      <c r="EH10" t="s">
        <v>377</v>
      </c>
      <c r="EI10" s="20">
        <v>3.3</v>
      </c>
      <c r="EJ10">
        <v>0.3</v>
      </c>
      <c r="EK10" s="223">
        <v>0</v>
      </c>
      <c r="EL10" s="20">
        <v>6.2</v>
      </c>
      <c r="EM10">
        <v>0</v>
      </c>
      <c r="EN10">
        <v>4.5</v>
      </c>
      <c r="EO10">
        <v>0.5</v>
      </c>
      <c r="EP10">
        <v>0.5</v>
      </c>
      <c r="EQ10">
        <v>1.9</v>
      </c>
      <c r="ER10">
        <v>0</v>
      </c>
      <c r="ES10">
        <v>0</v>
      </c>
      <c r="ET10">
        <v>0</v>
      </c>
      <c r="EU10" s="223">
        <v>0</v>
      </c>
      <c r="EV10" s="20">
        <v>0</v>
      </c>
      <c r="EW10">
        <v>0.2</v>
      </c>
      <c r="EX10">
        <v>0</v>
      </c>
      <c r="EY10">
        <v>0.3</v>
      </c>
      <c r="EZ10">
        <v>0</v>
      </c>
      <c r="FA10">
        <v>0</v>
      </c>
      <c r="FB10" s="223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9.9</v>
      </c>
      <c r="FJ10">
        <v>17.8</v>
      </c>
      <c r="FK10">
        <v>0</v>
      </c>
      <c r="FL10">
        <v>54.7</v>
      </c>
      <c r="FZ10">
        <v>2008</v>
      </c>
      <c r="GA10" s="242">
        <v>3289</v>
      </c>
      <c r="GB10" s="242">
        <v>4486</v>
      </c>
      <c r="GC10" s="244"/>
      <c r="GD10" s="242"/>
      <c r="GE10" s="242"/>
      <c r="GF10" s="242"/>
      <c r="GG10" s="242">
        <v>232</v>
      </c>
      <c r="GH10" s="241"/>
      <c r="GI10" s="243"/>
      <c r="GJ10" s="243"/>
      <c r="GL10" s="243"/>
      <c r="GP10">
        <v>2008</v>
      </c>
      <c r="GQ10" s="18">
        <v>6902</v>
      </c>
      <c r="GR10" s="18">
        <v>3557</v>
      </c>
      <c r="GS10" s="18">
        <v>1117</v>
      </c>
      <c r="GT10" s="175">
        <f t="shared" ref="GT10:GT20" si="52">GS10/GQ10</f>
        <v>0.16183714865256446</v>
      </c>
      <c r="GV10" s="18">
        <v>2228</v>
      </c>
      <c r="GW10" s="175">
        <f t="shared" ref="GW10:GW20" si="53">GV10/GQ10</f>
        <v>0.32280498406259056</v>
      </c>
      <c r="GY10">
        <v>2008</v>
      </c>
      <c r="GZ10">
        <v>3436</v>
      </c>
      <c r="HA10">
        <v>1330</v>
      </c>
      <c r="HB10">
        <v>71</v>
      </c>
      <c r="HC10">
        <v>1940</v>
      </c>
      <c r="HD10" s="175">
        <f t="shared" ref="HD10:HD20" si="54">HC10/GZ10</f>
        <v>0.56461001164144353</v>
      </c>
      <c r="HF10">
        <v>95</v>
      </c>
      <c r="HG10" s="175">
        <f t="shared" ref="HG10:HG20" si="55">HF10/GZ10</f>
        <v>2.7648428405122234E-2</v>
      </c>
      <c r="HH10" s="175"/>
      <c r="HI10">
        <v>2008</v>
      </c>
      <c r="HJ10" s="18">
        <f t="shared" ref="HJ10:HJ20" si="56">GZ10+GQ10</f>
        <v>10338</v>
      </c>
      <c r="HK10" s="18">
        <f t="shared" ref="HK10:HK20" si="57">HC10+GS10</f>
        <v>3057</v>
      </c>
      <c r="HL10" s="175">
        <f t="shared" ref="HL10:HL20" si="58">HK10/HJ10</f>
        <v>0.29570516540917008</v>
      </c>
      <c r="HM10" s="175"/>
      <c r="HN10" s="18">
        <f t="shared" ref="HN10:HN20" si="59">HF10+GV10</f>
        <v>2323</v>
      </c>
      <c r="HO10" s="175">
        <f t="shared" ref="HO10:HO20" si="60">HN10/HJ10</f>
        <v>0.22470497194815245</v>
      </c>
      <c r="HQ10">
        <v>2008</v>
      </c>
      <c r="HR10" s="175">
        <v>2.2660688774334563E-2</v>
      </c>
      <c r="HS10" s="175">
        <v>4.547279993153075E-2</v>
      </c>
      <c r="HT10" s="175"/>
      <c r="HU10" s="18">
        <v>151893</v>
      </c>
      <c r="HV10" s="18">
        <f t="shared" ref="HV10:HV20" si="61">HU10*HR10</f>
        <v>3442</v>
      </c>
      <c r="HW10" s="18">
        <f t="shared" ref="HW10:HW20" si="62">HU10*HS10</f>
        <v>6907</v>
      </c>
      <c r="HY10" s="18">
        <f t="shared" si="50"/>
        <v>6</v>
      </c>
      <c r="HZ10" s="18">
        <f t="shared" si="51"/>
        <v>5</v>
      </c>
    </row>
    <row r="11" spans="1:234" x14ac:dyDescent="0.3">
      <c r="A11" s="140">
        <v>1997</v>
      </c>
      <c r="B11" s="143">
        <v>1597</v>
      </c>
      <c r="C11" s="137">
        <v>1877</v>
      </c>
      <c r="D11" s="142">
        <v>505</v>
      </c>
      <c r="E11" s="137">
        <v>2196</v>
      </c>
      <c r="F11" s="137">
        <v>4410</v>
      </c>
      <c r="G11" s="137">
        <v>34540</v>
      </c>
      <c r="H11" s="138">
        <v>124321</v>
      </c>
      <c r="I11" s="139">
        <v>169446</v>
      </c>
      <c r="K11" s="18">
        <f t="shared" si="0"/>
        <v>8988</v>
      </c>
      <c r="M11" s="122">
        <v>1997</v>
      </c>
      <c r="N11" s="121">
        <v>1877</v>
      </c>
      <c r="O11" s="121">
        <v>1298</v>
      </c>
      <c r="P11" s="422">
        <v>437</v>
      </c>
      <c r="Q11" s="122">
        <v>505</v>
      </c>
      <c r="R11" s="122">
        <v>576</v>
      </c>
      <c r="S11" s="422">
        <v>39</v>
      </c>
      <c r="T11" s="121">
        <v>2196</v>
      </c>
      <c r="U11" s="121">
        <v>2245</v>
      </c>
      <c r="V11" s="418">
        <v>410</v>
      </c>
      <c r="W11" s="121">
        <v>4410</v>
      </c>
      <c r="X11" s="123" t="s">
        <v>8</v>
      </c>
      <c r="Y11" s="123" t="s">
        <v>9</v>
      </c>
      <c r="AA11">
        <v>2010</v>
      </c>
      <c r="AB11" t="s">
        <v>436</v>
      </c>
      <c r="AC11" t="s">
        <v>435</v>
      </c>
      <c r="AD11" t="s">
        <v>430</v>
      </c>
      <c r="AE11">
        <v>15</v>
      </c>
      <c r="AF11" s="18">
        <v>171</v>
      </c>
      <c r="AG11" s="18">
        <v>137</v>
      </c>
      <c r="AH11" s="18">
        <v>8</v>
      </c>
      <c r="AI11" s="18">
        <v>316</v>
      </c>
      <c r="AJ11" s="18">
        <f t="shared" si="17"/>
        <v>308</v>
      </c>
      <c r="AK11" s="83">
        <v>2010</v>
      </c>
      <c r="AL11" s="258">
        <f>AJ10:AJ11</f>
        <v>308</v>
      </c>
      <c r="AN11" s="44">
        <v>2011</v>
      </c>
      <c r="AO11" s="18">
        <f t="shared" si="1"/>
        <v>5721</v>
      </c>
      <c r="AP11" s="18">
        <f t="shared" si="2"/>
        <v>2640</v>
      </c>
      <c r="AQ11" s="18">
        <f t="shared" si="18"/>
        <v>3081</v>
      </c>
      <c r="AR11" s="205">
        <f t="shared" si="19"/>
        <v>0.46145778710015734</v>
      </c>
      <c r="AT11">
        <v>2011</v>
      </c>
      <c r="AU11" s="18">
        <v>1150</v>
      </c>
      <c r="AV11" t="s">
        <v>121</v>
      </c>
      <c r="AW11">
        <v>0.67</v>
      </c>
      <c r="AX11" s="18">
        <f t="shared" si="20"/>
        <v>3484.8484848484854</v>
      </c>
      <c r="AY11" s="18">
        <f t="shared" si="21"/>
        <v>2334.8484848484854</v>
      </c>
      <c r="AZ11" s="18"/>
      <c r="BA11" s="18">
        <v>0</v>
      </c>
      <c r="BB11" s="18">
        <v>307</v>
      </c>
      <c r="BC11" s="18">
        <f t="shared" si="22"/>
        <v>307</v>
      </c>
      <c r="BD11" s="18"/>
      <c r="BE11" s="18">
        <f t="shared" si="23"/>
        <v>1150</v>
      </c>
      <c r="BF11" s="18">
        <f t="shared" si="24"/>
        <v>2641.8484848484854</v>
      </c>
      <c r="BG11" s="18">
        <f t="shared" si="25"/>
        <v>3791.8484848484854</v>
      </c>
      <c r="BI11">
        <v>2011</v>
      </c>
      <c r="BJ11" s="18">
        <v>107</v>
      </c>
      <c r="BK11" s="18">
        <v>5272</v>
      </c>
      <c r="BL11" s="18">
        <v>5379</v>
      </c>
      <c r="BM11" s="175">
        <f t="shared" ref="BM11:BM18" si="63">BJ11/BL11</f>
        <v>1.9892173266406396E-2</v>
      </c>
      <c r="BN11" s="175">
        <f t="shared" ref="BN11:BN18" si="64">BK11/BL11</f>
        <v>0.98010782673359365</v>
      </c>
      <c r="BP11" s="120">
        <v>37</v>
      </c>
      <c r="BQ11" s="18">
        <v>2592</v>
      </c>
      <c r="BR11" s="18">
        <v>2629</v>
      </c>
      <c r="BS11" s="270">
        <f t="shared" si="28"/>
        <v>0.34579439252336447</v>
      </c>
      <c r="BT11" s="419">
        <f t="shared" si="29"/>
        <v>70</v>
      </c>
      <c r="BU11" s="18">
        <f t="shared" si="30"/>
        <v>2680</v>
      </c>
      <c r="BV11" s="18">
        <f t="shared" si="31"/>
        <v>2750</v>
      </c>
      <c r="BW11" s="120"/>
      <c r="BX11">
        <v>2011</v>
      </c>
      <c r="BY11" s="18">
        <v>182</v>
      </c>
      <c r="BZ11" s="18">
        <v>594</v>
      </c>
      <c r="CA11" s="18">
        <v>776</v>
      </c>
      <c r="CB11" s="175">
        <f t="shared" ref="CB11:CB18" si="65">BY11/CA11</f>
        <v>0.2345360824742268</v>
      </c>
      <c r="CC11" s="175">
        <f t="shared" ref="CC11:CC18" si="66">BZ11/CA11</f>
        <v>0.76546391752577314</v>
      </c>
      <c r="CE11" s="18">
        <v>11</v>
      </c>
      <c r="CF11" s="18">
        <v>211</v>
      </c>
      <c r="CG11" s="18">
        <v>222</v>
      </c>
      <c r="CH11" s="270">
        <f t="shared" si="34"/>
        <v>6.043956043956044E-2</v>
      </c>
      <c r="CI11" s="18">
        <f t="shared" si="35"/>
        <v>171</v>
      </c>
      <c r="CJ11" s="18">
        <f t="shared" si="36"/>
        <v>383</v>
      </c>
      <c r="CK11" s="18">
        <f t="shared" si="37"/>
        <v>554</v>
      </c>
      <c r="CL11" s="120"/>
      <c r="CM11">
        <v>2011</v>
      </c>
      <c r="CN11" s="18">
        <f t="shared" si="38"/>
        <v>18.73522792929338</v>
      </c>
      <c r="CO11" s="18">
        <f t="shared" si="39"/>
        <v>1291.2647720707066</v>
      </c>
      <c r="CP11" s="18">
        <v>1310</v>
      </c>
      <c r="CQ11" s="175"/>
      <c r="CR11" s="175"/>
      <c r="CT11" s="18">
        <v>2</v>
      </c>
      <c r="CU11" s="18">
        <v>251</v>
      </c>
      <c r="CV11" s="18">
        <v>253</v>
      </c>
      <c r="CW11" s="270">
        <f t="shared" si="40"/>
        <v>0.10675076959554408</v>
      </c>
      <c r="CX11" s="18">
        <f t="shared" si="3"/>
        <v>16.73522792929338</v>
      </c>
      <c r="CY11" s="18">
        <f t="shared" si="4"/>
        <v>1040.2647720707066</v>
      </c>
      <c r="CZ11" s="18">
        <f t="shared" si="5"/>
        <v>1057</v>
      </c>
      <c r="DA11" s="18"/>
      <c r="DB11">
        <v>2011</v>
      </c>
      <c r="DC11" s="18">
        <f t="shared" si="41"/>
        <v>1407.7352279292934</v>
      </c>
      <c r="DD11" s="18">
        <f t="shared" si="42"/>
        <v>6745.1132569191923</v>
      </c>
      <c r="DE11" s="18">
        <f t="shared" si="43"/>
        <v>8152.8484848484859</v>
      </c>
      <c r="DG11">
        <v>2011</v>
      </c>
      <c r="DH11" s="18">
        <f t="shared" si="6"/>
        <v>1457.7352279292934</v>
      </c>
      <c r="DI11" s="18">
        <f t="shared" si="7"/>
        <v>9799.1132569191923</v>
      </c>
      <c r="DJ11" s="18">
        <f t="shared" si="8"/>
        <v>11256.848484848486</v>
      </c>
      <c r="DL11" s="206">
        <f t="shared" si="9"/>
        <v>9.5642898591993635E-4</v>
      </c>
      <c r="DM11" s="206">
        <f t="shared" si="10"/>
        <v>2.5177409464198033E-3</v>
      </c>
      <c r="DN11" s="206">
        <f t="shared" si="11"/>
        <v>3.4741699323397393E-3</v>
      </c>
      <c r="DP11" s="244">
        <f t="shared" si="12"/>
        <v>9.5642898591993628E-3</v>
      </c>
      <c r="DQ11" s="244">
        <f t="shared" si="13"/>
        <v>2.5177409464198032E-2</v>
      </c>
      <c r="DR11" s="244">
        <f t="shared" si="13"/>
        <v>3.4741699323397393E-2</v>
      </c>
      <c r="DT11" s="18">
        <f t="shared" si="44"/>
        <v>1.3942202257881813</v>
      </c>
      <c r="DU11" s="18">
        <f t="shared" si="45"/>
        <v>3.6701996723961869</v>
      </c>
      <c r="DV11" s="18">
        <f t="shared" si="46"/>
        <v>5.0644198981843678</v>
      </c>
      <c r="DX11" s="18">
        <f t="shared" si="47"/>
        <v>93.721559552298274</v>
      </c>
      <c r="DY11" s="18">
        <f t="shared" si="48"/>
        <v>246.71628685550567</v>
      </c>
      <c r="DZ11" s="18">
        <f t="shared" si="49"/>
        <v>340.43784640780393</v>
      </c>
      <c r="EB11" s="18">
        <f t="shared" si="14"/>
        <v>1462.7996478274777</v>
      </c>
      <c r="EC11" s="18">
        <f t="shared" si="15"/>
        <v>10139.551103326996</v>
      </c>
      <c r="ED11" s="18">
        <f t="shared" si="16"/>
        <v>11602.350751154474</v>
      </c>
      <c r="EF11">
        <v>1987</v>
      </c>
      <c r="EG11">
        <v>686</v>
      </c>
      <c r="EH11" t="s">
        <v>377</v>
      </c>
      <c r="EI11" s="20">
        <v>15.9</v>
      </c>
      <c r="EJ11">
        <v>0</v>
      </c>
      <c r="EK11" s="223">
        <v>0.6</v>
      </c>
      <c r="EL11" s="20">
        <v>12</v>
      </c>
      <c r="EM11">
        <v>0</v>
      </c>
      <c r="EN11">
        <v>1.3</v>
      </c>
      <c r="EO11">
        <v>0.9</v>
      </c>
      <c r="EP11">
        <v>1</v>
      </c>
      <c r="EQ11">
        <v>0.7</v>
      </c>
      <c r="ER11">
        <v>0</v>
      </c>
      <c r="ES11">
        <v>0</v>
      </c>
      <c r="ET11">
        <v>0</v>
      </c>
      <c r="EU11" s="223">
        <v>0</v>
      </c>
      <c r="EV11" s="20">
        <v>1.7</v>
      </c>
      <c r="EW11">
        <v>0</v>
      </c>
      <c r="EX11">
        <v>1.2</v>
      </c>
      <c r="EY11">
        <v>0</v>
      </c>
      <c r="EZ11">
        <v>0</v>
      </c>
      <c r="FA11">
        <v>0</v>
      </c>
      <c r="FB11" s="223">
        <v>0.6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4.7</v>
      </c>
      <c r="FJ11">
        <v>26.2</v>
      </c>
      <c r="FK11">
        <v>0</v>
      </c>
      <c r="FL11">
        <v>33.200000000000003</v>
      </c>
      <c r="FZ11">
        <v>2009</v>
      </c>
      <c r="GA11" s="242">
        <v>2830</v>
      </c>
      <c r="GB11" s="242">
        <v>4175</v>
      </c>
      <c r="GC11" s="244"/>
      <c r="GD11" s="242"/>
      <c r="GE11" s="242"/>
      <c r="GF11" s="242"/>
      <c r="GG11" s="242">
        <v>274</v>
      </c>
      <c r="GH11" s="241"/>
      <c r="GI11" s="243"/>
      <c r="GJ11" s="243"/>
      <c r="GL11" s="243"/>
      <c r="GP11">
        <v>2009</v>
      </c>
      <c r="GQ11" s="18">
        <v>10779</v>
      </c>
      <c r="GR11" s="18">
        <v>3996</v>
      </c>
      <c r="GS11" s="18">
        <v>1771</v>
      </c>
      <c r="GT11" s="175">
        <f t="shared" si="52"/>
        <v>0.16430095556174043</v>
      </c>
      <c r="GV11" s="18">
        <v>5012</v>
      </c>
      <c r="GW11" s="175">
        <f t="shared" si="53"/>
        <v>0.4649781983486409</v>
      </c>
      <c r="GY11">
        <v>2009</v>
      </c>
      <c r="GZ11">
        <v>5060</v>
      </c>
      <c r="HA11">
        <v>2039</v>
      </c>
      <c r="HB11">
        <v>27</v>
      </c>
      <c r="HC11">
        <v>2909</v>
      </c>
      <c r="HD11" s="175">
        <f t="shared" si="54"/>
        <v>0.574901185770751</v>
      </c>
      <c r="HF11">
        <v>85</v>
      </c>
      <c r="HG11" s="175">
        <f t="shared" si="55"/>
        <v>1.6798418972332016E-2</v>
      </c>
      <c r="HH11" s="175"/>
      <c r="HI11">
        <v>2009</v>
      </c>
      <c r="HJ11" s="18">
        <f t="shared" si="56"/>
        <v>15839</v>
      </c>
      <c r="HK11" s="18">
        <f t="shared" si="57"/>
        <v>4680</v>
      </c>
      <c r="HL11" s="175">
        <f t="shared" si="58"/>
        <v>0.2954731990655976</v>
      </c>
      <c r="HM11" s="175"/>
      <c r="HN11" s="18">
        <f t="shared" si="59"/>
        <v>5097</v>
      </c>
      <c r="HO11" s="175">
        <f t="shared" si="60"/>
        <v>0.32180061872592969</v>
      </c>
      <c r="HQ11">
        <v>2009</v>
      </c>
      <c r="HR11" s="175">
        <v>3.4395785448406324E-2</v>
      </c>
      <c r="HS11" s="175">
        <v>9.8698886018618343E-2</v>
      </c>
      <c r="HT11" s="175"/>
      <c r="HU11" s="18">
        <v>147489</v>
      </c>
      <c r="HV11" s="18">
        <f t="shared" si="61"/>
        <v>5073</v>
      </c>
      <c r="HW11" s="18">
        <f t="shared" si="62"/>
        <v>14557</v>
      </c>
      <c r="HY11" s="18">
        <f t="shared" si="50"/>
        <v>13</v>
      </c>
      <c r="HZ11" s="18">
        <f t="shared" si="51"/>
        <v>3778</v>
      </c>
    </row>
    <row r="12" spans="1:234" x14ac:dyDescent="0.3">
      <c r="A12" s="140">
        <v>1998</v>
      </c>
      <c r="B12" s="143">
        <v>2034</v>
      </c>
      <c r="C12" s="137">
        <v>1055</v>
      </c>
      <c r="D12" s="142">
        <v>407</v>
      </c>
      <c r="E12" s="137">
        <v>1611</v>
      </c>
      <c r="F12" s="137">
        <v>3577</v>
      </c>
      <c r="G12" s="137">
        <v>43497</v>
      </c>
      <c r="H12" s="138">
        <v>44308</v>
      </c>
      <c r="I12" s="139">
        <v>96489</v>
      </c>
      <c r="K12" s="18">
        <f t="shared" si="0"/>
        <v>6650</v>
      </c>
      <c r="M12" s="122">
        <v>1998</v>
      </c>
      <c r="N12" s="121">
        <v>1055</v>
      </c>
      <c r="O12" s="122">
        <v>812</v>
      </c>
      <c r="P12" s="422">
        <v>262</v>
      </c>
      <c r="Q12" s="122">
        <v>407</v>
      </c>
      <c r="R12" s="122">
        <v>408</v>
      </c>
      <c r="S12" s="422">
        <v>42</v>
      </c>
      <c r="T12" s="121">
        <v>1611</v>
      </c>
      <c r="U12" s="121">
        <v>1148</v>
      </c>
      <c r="V12" s="418">
        <v>211</v>
      </c>
      <c r="W12" s="121">
        <v>3577</v>
      </c>
      <c r="X12" s="123" t="s">
        <v>8</v>
      </c>
      <c r="Y12" s="123" t="s">
        <v>9</v>
      </c>
      <c r="AK12" s="83"/>
      <c r="AL12" s="258">
        <v>0</v>
      </c>
      <c r="AN12" s="44">
        <v>2012</v>
      </c>
      <c r="AO12" s="18">
        <f t="shared" si="1"/>
        <v>5038</v>
      </c>
      <c r="AP12" s="18">
        <f t="shared" si="2"/>
        <v>2735</v>
      </c>
      <c r="AQ12" s="18">
        <f t="shared" si="18"/>
        <v>2303</v>
      </c>
      <c r="AR12" s="205">
        <f t="shared" si="19"/>
        <v>0.54287415641127434</v>
      </c>
      <c r="AT12">
        <v>2012</v>
      </c>
      <c r="AU12" s="18">
        <v>3070</v>
      </c>
      <c r="AV12" t="s">
        <v>121</v>
      </c>
      <c r="AW12">
        <v>0.24</v>
      </c>
      <c r="AX12" s="18">
        <f t="shared" si="20"/>
        <v>4039.4736842105262</v>
      </c>
      <c r="AY12" s="18">
        <f t="shared" si="21"/>
        <v>969.47368421052624</v>
      </c>
      <c r="AZ12" s="18"/>
      <c r="BA12" s="18">
        <v>0</v>
      </c>
      <c r="BB12" s="18">
        <v>191</v>
      </c>
      <c r="BC12" s="18">
        <f t="shared" si="22"/>
        <v>191</v>
      </c>
      <c r="BD12" s="18"/>
      <c r="BE12" s="18">
        <f t="shared" si="23"/>
        <v>3070</v>
      </c>
      <c r="BF12" s="18">
        <f t="shared" si="24"/>
        <v>1160.4736842105262</v>
      </c>
      <c r="BG12" s="18">
        <f t="shared" si="25"/>
        <v>4230.4736842105267</v>
      </c>
      <c r="BI12">
        <v>2012</v>
      </c>
      <c r="BJ12" s="18">
        <v>221.852</v>
      </c>
      <c r="BK12" s="18">
        <v>11991.000000000002</v>
      </c>
      <c r="BL12" s="18">
        <v>12212.851999999999</v>
      </c>
      <c r="BM12" s="175">
        <f t="shared" si="63"/>
        <v>1.816545390053036E-2</v>
      </c>
      <c r="BN12" s="175">
        <f t="shared" si="64"/>
        <v>0.98183454609946985</v>
      </c>
      <c r="BP12" s="120">
        <v>10.852</v>
      </c>
      <c r="BQ12" s="18">
        <v>5523</v>
      </c>
      <c r="BR12" s="18">
        <v>5533.8519999999999</v>
      </c>
      <c r="BS12" s="270">
        <f t="shared" si="28"/>
        <v>4.8915493211690676E-2</v>
      </c>
      <c r="BT12" s="419">
        <f t="shared" si="29"/>
        <v>211</v>
      </c>
      <c r="BU12" s="18">
        <f t="shared" si="30"/>
        <v>6468.0000000000018</v>
      </c>
      <c r="BV12" s="18">
        <f t="shared" si="31"/>
        <v>6678.9999999999991</v>
      </c>
      <c r="BW12" s="120"/>
      <c r="BX12">
        <v>2012</v>
      </c>
      <c r="BY12" s="18">
        <v>103.02629999999999</v>
      </c>
      <c r="BZ12" s="18">
        <v>786</v>
      </c>
      <c r="CA12" s="18">
        <v>889.02629999999999</v>
      </c>
      <c r="CB12" s="175">
        <f t="shared" si="65"/>
        <v>0.11588667286895786</v>
      </c>
      <c r="CC12" s="175">
        <f t="shared" si="66"/>
        <v>0.88411332713104218</v>
      </c>
      <c r="CE12" s="18">
        <v>23.026300000000003</v>
      </c>
      <c r="CF12" s="18">
        <v>498</v>
      </c>
      <c r="CG12" s="18">
        <v>521.02629999999999</v>
      </c>
      <c r="CH12" s="270">
        <f t="shared" si="34"/>
        <v>0.22349924242644845</v>
      </c>
      <c r="CI12" s="18">
        <f t="shared" si="35"/>
        <v>79.999999999999986</v>
      </c>
      <c r="CJ12" s="18">
        <f t="shared" si="36"/>
        <v>288</v>
      </c>
      <c r="CK12" s="18">
        <f t="shared" si="37"/>
        <v>368</v>
      </c>
      <c r="CL12" s="120"/>
      <c r="CM12">
        <v>2012</v>
      </c>
      <c r="CN12" s="18">
        <f t="shared" si="38"/>
        <v>27.101722844283174</v>
      </c>
      <c r="CO12" s="18">
        <f t="shared" si="39"/>
        <v>1867.8982771557169</v>
      </c>
      <c r="CP12" s="18">
        <v>1895</v>
      </c>
      <c r="CQ12" s="175"/>
      <c r="CR12" s="175"/>
      <c r="CT12" s="18">
        <v>0</v>
      </c>
      <c r="CU12" s="18">
        <v>381</v>
      </c>
      <c r="CV12" s="18">
        <v>381</v>
      </c>
      <c r="CW12" s="270">
        <f t="shared" si="40"/>
        <v>0</v>
      </c>
      <c r="CX12" s="18">
        <f t="shared" si="3"/>
        <v>27.101722844283174</v>
      </c>
      <c r="CY12" s="18">
        <f t="shared" si="4"/>
        <v>1486.8982771557169</v>
      </c>
      <c r="CZ12" s="18">
        <f t="shared" si="5"/>
        <v>1514</v>
      </c>
      <c r="DA12" s="18"/>
      <c r="DB12">
        <v>2012</v>
      </c>
      <c r="DC12" s="18">
        <f t="shared" si="41"/>
        <v>3388.1017228442834</v>
      </c>
      <c r="DD12" s="18">
        <f t="shared" si="42"/>
        <v>9403.3719613662452</v>
      </c>
      <c r="DE12" s="18">
        <f t="shared" si="43"/>
        <v>12791.473684210527</v>
      </c>
      <c r="DG12">
        <v>2012</v>
      </c>
      <c r="DH12" s="18">
        <f t="shared" si="6"/>
        <v>3421.9800228442832</v>
      </c>
      <c r="DI12" s="18">
        <f t="shared" si="7"/>
        <v>15805.371961366245</v>
      </c>
      <c r="DJ12" s="18">
        <f t="shared" si="8"/>
        <v>19227.351984210523</v>
      </c>
      <c r="DL12" s="206">
        <f t="shared" si="9"/>
        <v>9.5642898591993635E-4</v>
      </c>
      <c r="DM12" s="206">
        <f t="shared" si="10"/>
        <v>2.5177409464198033E-3</v>
      </c>
      <c r="DN12" s="206">
        <f t="shared" si="11"/>
        <v>3.4741699323397393E-3</v>
      </c>
      <c r="DP12" s="244">
        <f>DP$20</f>
        <v>9.5642898591993628E-3</v>
      </c>
      <c r="DQ12" s="244">
        <f>DQ$20</f>
        <v>2.5177409464198032E-2</v>
      </c>
      <c r="DR12" s="244">
        <f>DR$20</f>
        <v>3.4741699323397393E-2</v>
      </c>
      <c r="DT12" s="18">
        <f t="shared" si="44"/>
        <v>3.2728808830872382</v>
      </c>
      <c r="DU12" s="18">
        <f t="shared" si="45"/>
        <v>8.6156592213456253</v>
      </c>
      <c r="DV12" s="18">
        <f t="shared" si="46"/>
        <v>11.888540104432863</v>
      </c>
      <c r="DX12" s="18">
        <f t="shared" si="47"/>
        <v>151.16715877096911</v>
      </c>
      <c r="DY12" s="18">
        <f t="shared" si="48"/>
        <v>397.93832160527273</v>
      </c>
      <c r="DZ12" s="18">
        <f t="shared" si="49"/>
        <v>549.10548037624176</v>
      </c>
      <c r="EB12" s="18">
        <f t="shared" si="14"/>
        <v>3433.8685629487159</v>
      </c>
      <c r="EC12" s="18">
        <f t="shared" si="15"/>
        <v>16354.477441742487</v>
      </c>
      <c r="ED12" s="18">
        <f t="shared" si="16"/>
        <v>19788.346004691197</v>
      </c>
      <c r="EF12">
        <v>1988</v>
      </c>
      <c r="EG12">
        <v>2014</v>
      </c>
      <c r="EH12" t="s">
        <v>377</v>
      </c>
      <c r="EI12" s="20">
        <v>10.7</v>
      </c>
      <c r="EJ12">
        <v>0.3</v>
      </c>
      <c r="EK12" s="223">
        <v>0.5</v>
      </c>
      <c r="EL12" s="20">
        <v>6.7</v>
      </c>
      <c r="EM12">
        <v>0</v>
      </c>
      <c r="EN12">
        <v>3.5</v>
      </c>
      <c r="EO12">
        <v>0</v>
      </c>
      <c r="EP12">
        <v>0.7</v>
      </c>
      <c r="EQ12">
        <v>0</v>
      </c>
      <c r="ER12">
        <v>0</v>
      </c>
      <c r="ES12">
        <v>0</v>
      </c>
      <c r="ET12">
        <v>0</v>
      </c>
      <c r="EU12" s="223">
        <v>0</v>
      </c>
      <c r="EV12" s="20">
        <v>1.7</v>
      </c>
      <c r="EW12">
        <v>0</v>
      </c>
      <c r="EX12">
        <v>0.3</v>
      </c>
      <c r="EY12">
        <v>0.1</v>
      </c>
      <c r="EZ12">
        <v>0</v>
      </c>
      <c r="FA12">
        <v>0</v>
      </c>
      <c r="FB12" s="223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6.5</v>
      </c>
      <c r="FJ12">
        <v>28</v>
      </c>
      <c r="FK12">
        <v>0.1</v>
      </c>
      <c r="FL12">
        <v>40.799999999999997</v>
      </c>
      <c r="FZ12">
        <v>2010</v>
      </c>
      <c r="GA12" s="242">
        <v>22955</v>
      </c>
      <c r="GB12" s="242">
        <v>24892</v>
      </c>
      <c r="GC12" s="175">
        <v>0.84922866784509077</v>
      </c>
      <c r="GD12" s="242">
        <f t="shared" ref="GD12:GD19" si="67">GB12*GC12</f>
        <v>21139</v>
      </c>
      <c r="GE12" s="245">
        <f>GD12/GA12</f>
        <v>0.92088869527336092</v>
      </c>
      <c r="GF12" s="242"/>
      <c r="GG12" s="242">
        <v>1999</v>
      </c>
      <c r="GH12" s="241">
        <v>0.84922866784509077</v>
      </c>
      <c r="GI12" s="243">
        <f t="shared" ref="GI12:GI19" si="68">GG12*GH12</f>
        <v>1697.6081070223365</v>
      </c>
      <c r="GJ12" s="246">
        <f>GI12/GA12</f>
        <v>7.3953740231859577E-2</v>
      </c>
      <c r="GL12" s="243">
        <f t="shared" ref="GL12:GL19" si="69">GD12+GI12</f>
        <v>22836.608107022337</v>
      </c>
      <c r="GM12" s="244">
        <f t="shared" ref="GM12:GM19" si="70">GL12/GA12</f>
        <v>0.99484243550522056</v>
      </c>
      <c r="GN12" s="244">
        <v>0.84922866784509077</v>
      </c>
      <c r="GP12">
        <v>2010</v>
      </c>
      <c r="GQ12" s="18">
        <v>25657</v>
      </c>
      <c r="GR12" s="18">
        <v>6898</v>
      </c>
      <c r="GS12" s="18">
        <v>4322</v>
      </c>
      <c r="GT12" s="175">
        <f t="shared" si="52"/>
        <v>0.16845305374751529</v>
      </c>
      <c r="GV12" s="18">
        <v>14437</v>
      </c>
      <c r="GW12" s="175">
        <f t="shared" si="53"/>
        <v>0.56269244260825502</v>
      </c>
      <c r="GY12">
        <v>2010</v>
      </c>
      <c r="GZ12">
        <v>11778</v>
      </c>
      <c r="HA12">
        <v>4176</v>
      </c>
      <c r="HB12">
        <v>55</v>
      </c>
      <c r="HC12">
        <v>7494</v>
      </c>
      <c r="HD12" s="175">
        <f t="shared" si="54"/>
        <v>0.63627101375445749</v>
      </c>
      <c r="HF12">
        <v>53</v>
      </c>
      <c r="HG12" s="175">
        <f t="shared" si="55"/>
        <v>4.4999150959415864E-3</v>
      </c>
      <c r="HH12" s="175"/>
      <c r="HI12">
        <v>2010</v>
      </c>
      <c r="HJ12" s="18">
        <f t="shared" si="56"/>
        <v>37435</v>
      </c>
      <c r="HK12" s="18">
        <f t="shared" si="57"/>
        <v>11816</v>
      </c>
      <c r="HL12" s="175">
        <f t="shared" si="58"/>
        <v>0.31564044343528785</v>
      </c>
      <c r="HM12" s="175"/>
      <c r="HN12" s="18">
        <f t="shared" si="59"/>
        <v>14490</v>
      </c>
      <c r="HO12" s="175">
        <f t="shared" si="60"/>
        <v>0.38707092293308404</v>
      </c>
      <c r="HQ12">
        <v>2010</v>
      </c>
      <c r="HR12" s="175">
        <v>4.2499729622553085E-2</v>
      </c>
      <c r="HS12" s="175">
        <v>9.3291034283860264E-2</v>
      </c>
      <c r="HT12" s="175"/>
      <c r="HU12" s="18">
        <v>277390</v>
      </c>
      <c r="HV12" s="18">
        <f t="shared" si="61"/>
        <v>11789</v>
      </c>
      <c r="HW12" s="18">
        <f t="shared" si="62"/>
        <v>25878</v>
      </c>
      <c r="HY12" s="18">
        <f t="shared" si="50"/>
        <v>11</v>
      </c>
      <c r="HZ12" s="18">
        <f t="shared" si="51"/>
        <v>221</v>
      </c>
    </row>
    <row r="13" spans="1:234" x14ac:dyDescent="0.3">
      <c r="A13" s="140">
        <v>1999</v>
      </c>
      <c r="B13" s="143">
        <v>1346</v>
      </c>
      <c r="C13" s="137">
        <v>2069</v>
      </c>
      <c r="D13" s="142">
        <v>977</v>
      </c>
      <c r="E13" s="137">
        <v>1753</v>
      </c>
      <c r="F13" s="137">
        <v>3585</v>
      </c>
      <c r="G13" s="137">
        <v>52584</v>
      </c>
      <c r="H13" s="138">
        <v>43067</v>
      </c>
      <c r="I13" s="139">
        <v>105381</v>
      </c>
      <c r="K13" s="18">
        <f t="shared" si="0"/>
        <v>8384</v>
      </c>
      <c r="M13" s="122">
        <v>1999</v>
      </c>
      <c r="N13" s="121">
        <v>2069</v>
      </c>
      <c r="O13" s="121">
        <v>1321</v>
      </c>
      <c r="P13" s="422">
        <v>235</v>
      </c>
      <c r="Q13" s="122">
        <v>977</v>
      </c>
      <c r="R13" s="122">
        <v>794</v>
      </c>
      <c r="S13" s="422">
        <v>215</v>
      </c>
      <c r="T13" s="121">
        <v>1753</v>
      </c>
      <c r="U13" s="122">
        <v>845</v>
      </c>
      <c r="V13" s="418">
        <v>241</v>
      </c>
      <c r="W13" s="121">
        <v>3585</v>
      </c>
      <c r="X13" s="123" t="s">
        <v>8</v>
      </c>
      <c r="Y13" s="123" t="s">
        <v>9</v>
      </c>
      <c r="AK13" s="83"/>
      <c r="AL13" s="258">
        <v>0</v>
      </c>
      <c r="AN13" s="44">
        <v>2013</v>
      </c>
      <c r="AO13" s="18">
        <f t="shared" si="1"/>
        <v>5700</v>
      </c>
      <c r="AP13" s="18">
        <f t="shared" si="2"/>
        <v>2413</v>
      </c>
      <c r="AQ13" s="18">
        <f t="shared" si="18"/>
        <v>3287</v>
      </c>
      <c r="AR13" s="205">
        <f t="shared" si="19"/>
        <v>0.42333333333333334</v>
      </c>
      <c r="AT13">
        <v>2013</v>
      </c>
      <c r="AU13" s="18">
        <v>2188</v>
      </c>
      <c r="AV13" t="s">
        <v>121</v>
      </c>
      <c r="AW13">
        <v>0.09</v>
      </c>
      <c r="AX13" s="18">
        <f t="shared" si="20"/>
        <v>2404.3956043956041</v>
      </c>
      <c r="AY13" s="18">
        <f t="shared" si="21"/>
        <v>216.3956043956041</v>
      </c>
      <c r="AZ13" s="18"/>
      <c r="BA13" s="18">
        <v>0</v>
      </c>
      <c r="BB13" s="18">
        <v>591</v>
      </c>
      <c r="BC13" s="18">
        <f t="shared" si="22"/>
        <v>591</v>
      </c>
      <c r="BD13" s="18"/>
      <c r="BE13" s="18">
        <f t="shared" si="23"/>
        <v>2188</v>
      </c>
      <c r="BF13" s="18">
        <f t="shared" si="24"/>
        <v>807.3956043956041</v>
      </c>
      <c r="BG13" s="18">
        <f t="shared" si="25"/>
        <v>2995.3956043956041</v>
      </c>
      <c r="BI13">
        <v>2013</v>
      </c>
      <c r="BJ13" s="18">
        <v>351</v>
      </c>
      <c r="BK13" s="18">
        <v>7781</v>
      </c>
      <c r="BL13" s="18">
        <v>8132</v>
      </c>
      <c r="BM13" s="175">
        <f t="shared" si="63"/>
        <v>4.3162813575996065E-2</v>
      </c>
      <c r="BN13" s="175">
        <f t="shared" si="64"/>
        <v>0.95683718642400395</v>
      </c>
      <c r="BP13" s="120">
        <v>53</v>
      </c>
      <c r="BQ13" s="18">
        <v>3298.9999999999995</v>
      </c>
      <c r="BR13" s="18">
        <v>3351.9999999999995</v>
      </c>
      <c r="BS13" s="270">
        <f t="shared" si="28"/>
        <v>0.150997150997151</v>
      </c>
      <c r="BT13" s="419">
        <f t="shared" si="29"/>
        <v>298</v>
      </c>
      <c r="BU13" s="18">
        <f t="shared" si="30"/>
        <v>4482</v>
      </c>
      <c r="BV13" s="18">
        <f t="shared" si="31"/>
        <v>4780</v>
      </c>
      <c r="BW13" s="120"/>
      <c r="BX13">
        <v>2013</v>
      </c>
      <c r="BY13" s="18">
        <v>83</v>
      </c>
      <c r="BZ13" s="18">
        <v>931</v>
      </c>
      <c r="CA13" s="18">
        <v>1014</v>
      </c>
      <c r="CB13" s="175">
        <f t="shared" si="65"/>
        <v>8.1854043392504933E-2</v>
      </c>
      <c r="CC13" s="175">
        <f t="shared" si="66"/>
        <v>0.9181459566074951</v>
      </c>
      <c r="CE13" s="18">
        <v>0</v>
      </c>
      <c r="CF13" s="18">
        <v>0</v>
      </c>
      <c r="CG13" s="18">
        <v>0</v>
      </c>
      <c r="CH13" s="270"/>
      <c r="CI13" s="18">
        <f t="shared" si="35"/>
        <v>83</v>
      </c>
      <c r="CJ13" s="18">
        <f t="shared" si="36"/>
        <v>931</v>
      </c>
      <c r="CK13" s="18">
        <f t="shared" si="37"/>
        <v>1014</v>
      </c>
      <c r="CL13" s="120"/>
      <c r="CM13">
        <v>2013</v>
      </c>
      <c r="CN13" s="18">
        <f t="shared" si="38"/>
        <v>22.453670113733288</v>
      </c>
      <c r="CO13" s="18">
        <f t="shared" si="39"/>
        <v>1547.5463298862669</v>
      </c>
      <c r="CP13" s="18">
        <v>1570</v>
      </c>
      <c r="CQ13" s="175"/>
      <c r="CR13" s="175"/>
      <c r="CT13" s="18">
        <v>0</v>
      </c>
      <c r="CU13" s="18">
        <v>103</v>
      </c>
      <c r="CV13" s="18">
        <v>103</v>
      </c>
      <c r="CW13" s="270">
        <f t="shared" si="40"/>
        <v>0</v>
      </c>
      <c r="CX13" s="18">
        <f t="shared" si="3"/>
        <v>22.453670113733288</v>
      </c>
      <c r="CY13" s="18">
        <f t="shared" si="4"/>
        <v>1444.5463298862669</v>
      </c>
      <c r="CZ13" s="18">
        <f t="shared" si="5"/>
        <v>1467</v>
      </c>
      <c r="DA13" s="18"/>
      <c r="DB13">
        <v>2013</v>
      </c>
      <c r="DC13" s="18">
        <f t="shared" si="41"/>
        <v>2591.4536701137331</v>
      </c>
      <c r="DD13" s="18">
        <f t="shared" si="42"/>
        <v>7664.941934281871</v>
      </c>
      <c r="DE13" s="18">
        <f t="shared" si="43"/>
        <v>10256.395604395604</v>
      </c>
      <c r="DG13">
        <v>2013</v>
      </c>
      <c r="DH13" s="18">
        <f t="shared" si="6"/>
        <v>2644.4536701137331</v>
      </c>
      <c r="DI13" s="18">
        <f t="shared" si="7"/>
        <v>11066.941934281871</v>
      </c>
      <c r="DJ13" s="18">
        <f t="shared" si="8"/>
        <v>13711.395604395604</v>
      </c>
      <c r="DL13" s="206">
        <f t="shared" si="9"/>
        <v>1.548632500349458E-4</v>
      </c>
      <c r="DM13" s="206">
        <f t="shared" si="10"/>
        <v>9.2959265249967476E-4</v>
      </c>
      <c r="DN13" s="206">
        <f t="shared" si="11"/>
        <v>1.0844559025346204E-3</v>
      </c>
      <c r="DP13" s="244">
        <v>1.5486325003494579E-3</v>
      </c>
      <c r="DQ13" s="244">
        <v>9.295926524996747E-3</v>
      </c>
      <c r="DR13" s="244">
        <v>1.0844559025346204E-2</v>
      </c>
      <c r="DT13" s="18">
        <f t="shared" si="44"/>
        <v>0.40952868992065311</v>
      </c>
      <c r="DU13" s="18">
        <f t="shared" si="45"/>
        <v>2.4582647016135248</v>
      </c>
      <c r="DV13" s="18">
        <f t="shared" si="46"/>
        <v>2.8677933915341778</v>
      </c>
      <c r="DX13" s="18">
        <f t="shared" si="47"/>
        <v>17.138625958909198</v>
      </c>
      <c r="DY13" s="18">
        <f t="shared" si="48"/>
        <v>102.87747907748965</v>
      </c>
      <c r="DZ13" s="18">
        <f t="shared" si="49"/>
        <v>120.01610503639884</v>
      </c>
      <c r="EB13" s="18">
        <f t="shared" si="14"/>
        <v>2647.3214635052673</v>
      </c>
      <c r="EC13" s="18">
        <f t="shared" si="15"/>
        <v>11186.95803931827</v>
      </c>
      <c r="ED13" s="18">
        <f t="shared" si="16"/>
        <v>13834.279502823538</v>
      </c>
      <c r="EF13">
        <v>1989</v>
      </c>
      <c r="EG13">
        <v>2681</v>
      </c>
      <c r="EH13" t="s">
        <v>377</v>
      </c>
      <c r="EI13" s="20">
        <v>5.2</v>
      </c>
      <c r="EJ13">
        <v>0</v>
      </c>
      <c r="EK13" s="223">
        <v>0.2</v>
      </c>
      <c r="EL13" s="20">
        <v>1.8</v>
      </c>
      <c r="EM13">
        <v>0</v>
      </c>
      <c r="EN13">
        <v>1.5</v>
      </c>
      <c r="EO13">
        <v>0.3</v>
      </c>
      <c r="EP13">
        <v>0</v>
      </c>
      <c r="EQ13">
        <v>0.1</v>
      </c>
      <c r="ER13">
        <v>0</v>
      </c>
      <c r="ES13">
        <v>0</v>
      </c>
      <c r="ET13">
        <v>0.1</v>
      </c>
      <c r="EU13" s="223">
        <v>0.4</v>
      </c>
      <c r="EV13" s="20">
        <v>1.6</v>
      </c>
      <c r="EW13">
        <v>0.1</v>
      </c>
      <c r="EX13">
        <v>0</v>
      </c>
      <c r="EY13">
        <v>0</v>
      </c>
      <c r="EZ13">
        <v>0</v>
      </c>
      <c r="FA13">
        <v>0</v>
      </c>
      <c r="FB13" s="223">
        <v>0.1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12.3</v>
      </c>
      <c r="FJ13">
        <v>20.399999999999999</v>
      </c>
      <c r="FK13">
        <v>0</v>
      </c>
      <c r="FL13">
        <v>55.7</v>
      </c>
      <c r="FZ13">
        <v>2011</v>
      </c>
      <c r="GA13" s="242">
        <v>8850</v>
      </c>
      <c r="GB13" s="242">
        <v>11118</v>
      </c>
      <c r="GC13" s="175">
        <v>0.76776866948923517</v>
      </c>
      <c r="GD13" s="242">
        <f t="shared" si="67"/>
        <v>8536.0520673813171</v>
      </c>
      <c r="GE13" s="245">
        <f t="shared" ref="GE13:GE19" si="71">GD13/GA13</f>
        <v>0.96452565733122231</v>
      </c>
      <c r="GF13" s="242"/>
      <c r="GG13" s="242">
        <v>418</v>
      </c>
      <c r="GH13" s="241">
        <v>0.76776866948923517</v>
      </c>
      <c r="GI13" s="243">
        <f t="shared" si="68"/>
        <v>320.92730384650031</v>
      </c>
      <c r="GJ13" s="246">
        <f t="shared" ref="GJ13:GJ19" si="72">GI13/GA13</f>
        <v>3.6262972186045232E-2</v>
      </c>
      <c r="GL13" s="243">
        <f t="shared" si="69"/>
        <v>8856.979371227817</v>
      </c>
      <c r="GM13" s="244">
        <f t="shared" si="70"/>
        <v>1.0007886295172674</v>
      </c>
      <c r="GN13" s="244">
        <v>0.76776866948923517</v>
      </c>
      <c r="GP13">
        <v>2011</v>
      </c>
      <c r="GQ13" s="18">
        <v>14475</v>
      </c>
      <c r="GR13" s="18">
        <v>3830</v>
      </c>
      <c r="GS13" s="18">
        <v>4219</v>
      </c>
      <c r="GT13" s="175">
        <f t="shared" si="52"/>
        <v>0.29146804835924006</v>
      </c>
      <c r="GV13" s="18">
        <v>6426</v>
      </c>
      <c r="GW13" s="175">
        <f t="shared" si="53"/>
        <v>0.44393782383419689</v>
      </c>
      <c r="GY13">
        <v>2011</v>
      </c>
      <c r="GZ13">
        <v>11154</v>
      </c>
      <c r="HA13">
        <v>2919</v>
      </c>
      <c r="HB13">
        <v>55</v>
      </c>
      <c r="HC13">
        <v>7908</v>
      </c>
      <c r="HD13" s="175">
        <f t="shared" si="54"/>
        <v>0.70898332436793976</v>
      </c>
      <c r="HF13">
        <v>272</v>
      </c>
      <c r="HG13" s="175">
        <f t="shared" si="55"/>
        <v>2.4385870539716692E-2</v>
      </c>
      <c r="HH13" s="175"/>
      <c r="HI13">
        <v>2011</v>
      </c>
      <c r="HJ13" s="18">
        <f t="shared" si="56"/>
        <v>25629</v>
      </c>
      <c r="HK13" s="18">
        <f t="shared" si="57"/>
        <v>12127</v>
      </c>
      <c r="HL13" s="175">
        <f t="shared" si="58"/>
        <v>0.47317491903702835</v>
      </c>
      <c r="HM13" s="175"/>
      <c r="HN13" s="18">
        <f t="shared" si="59"/>
        <v>6698</v>
      </c>
      <c r="HO13" s="175">
        <f t="shared" si="60"/>
        <v>0.2613445706036131</v>
      </c>
      <c r="HQ13">
        <v>2011</v>
      </c>
      <c r="HR13" s="175">
        <v>5.437348793512177E-2</v>
      </c>
      <c r="HS13" s="175">
        <v>7.0992206628989779E-2</v>
      </c>
      <c r="HT13" s="175"/>
      <c r="HU13" s="18">
        <v>205431</v>
      </c>
      <c r="HV13" s="18">
        <f t="shared" si="61"/>
        <v>11170</v>
      </c>
      <c r="HW13" s="18">
        <f t="shared" si="62"/>
        <v>14584</v>
      </c>
      <c r="HY13" s="18">
        <f t="shared" si="50"/>
        <v>16</v>
      </c>
      <c r="HZ13" s="18">
        <f t="shared" si="51"/>
        <v>109</v>
      </c>
    </row>
    <row r="14" spans="1:234" x14ac:dyDescent="0.3">
      <c r="A14" s="140">
        <v>2000</v>
      </c>
      <c r="B14" s="143">
        <v>5619</v>
      </c>
      <c r="C14" s="137">
        <v>2199</v>
      </c>
      <c r="D14" s="137">
        <v>1418</v>
      </c>
      <c r="E14" s="137">
        <v>2515</v>
      </c>
      <c r="F14" s="137">
        <v>3641</v>
      </c>
      <c r="G14" s="137">
        <v>55740</v>
      </c>
      <c r="H14" s="138">
        <v>186715</v>
      </c>
      <c r="I14" s="139">
        <v>257847</v>
      </c>
      <c r="K14" s="18">
        <f t="shared" si="0"/>
        <v>9773</v>
      </c>
      <c r="M14" s="122">
        <v>2000</v>
      </c>
      <c r="N14" s="121">
        <v>2199</v>
      </c>
      <c r="O14" s="121">
        <v>1408</v>
      </c>
      <c r="P14" s="422">
        <v>264</v>
      </c>
      <c r="Q14" s="121">
        <v>1418</v>
      </c>
      <c r="R14" s="121">
        <v>1256</v>
      </c>
      <c r="S14" s="422">
        <v>33</v>
      </c>
      <c r="T14" s="121">
        <v>2515</v>
      </c>
      <c r="U14" s="122">
        <v>776</v>
      </c>
      <c r="V14" s="418">
        <v>473</v>
      </c>
      <c r="W14" s="121">
        <v>3641</v>
      </c>
      <c r="X14" s="123" t="s">
        <v>8</v>
      </c>
      <c r="Y14" s="123" t="s">
        <v>9</v>
      </c>
      <c r="AA14">
        <v>2013</v>
      </c>
      <c r="AB14" t="s">
        <v>436</v>
      </c>
      <c r="AC14" t="s">
        <v>435</v>
      </c>
      <c r="AD14" t="s">
        <v>430</v>
      </c>
      <c r="AE14">
        <v>15</v>
      </c>
      <c r="AF14" s="18">
        <v>23</v>
      </c>
      <c r="AG14" s="18">
        <v>26</v>
      </c>
      <c r="AH14" s="18">
        <v>2</v>
      </c>
      <c r="AI14" s="18">
        <v>51</v>
      </c>
      <c r="AJ14" s="18">
        <f t="shared" si="17"/>
        <v>49</v>
      </c>
      <c r="AK14" s="83">
        <v>2013</v>
      </c>
      <c r="AL14" s="258">
        <f>AJ14</f>
        <v>49</v>
      </c>
      <c r="AN14" s="44">
        <v>2014</v>
      </c>
      <c r="AO14" s="18">
        <f t="shared" si="1"/>
        <v>5971</v>
      </c>
      <c r="AP14" s="18">
        <f t="shared" si="2"/>
        <v>1658</v>
      </c>
      <c r="AQ14" s="18">
        <f t="shared" si="18"/>
        <v>4313</v>
      </c>
      <c r="AR14" s="205">
        <f t="shared" si="19"/>
        <v>0.27767543125104671</v>
      </c>
      <c r="AT14">
        <v>2014</v>
      </c>
      <c r="AU14" s="18">
        <v>1444</v>
      </c>
      <c r="AV14" t="s">
        <v>121</v>
      </c>
      <c r="AW14">
        <v>0.13</v>
      </c>
      <c r="AX14" s="18">
        <f t="shared" si="20"/>
        <v>1659.7701149425288</v>
      </c>
      <c r="AY14" s="18">
        <f t="shared" si="21"/>
        <v>215.77011494252883</v>
      </c>
      <c r="AZ14" s="18"/>
      <c r="BA14" s="18">
        <v>0</v>
      </c>
      <c r="BB14" s="18">
        <v>701</v>
      </c>
      <c r="BC14" s="18">
        <f t="shared" si="22"/>
        <v>701</v>
      </c>
      <c r="BD14" s="18"/>
      <c r="BE14" s="18">
        <f t="shared" si="23"/>
        <v>1444</v>
      </c>
      <c r="BF14" s="18">
        <f t="shared" si="24"/>
        <v>916.77011494252883</v>
      </c>
      <c r="BG14" s="18">
        <f t="shared" si="25"/>
        <v>2360.7701149425288</v>
      </c>
      <c r="BI14">
        <v>2014</v>
      </c>
      <c r="BJ14" s="18">
        <v>257</v>
      </c>
      <c r="BK14" s="18">
        <v>8037</v>
      </c>
      <c r="BL14" s="18">
        <v>8294</v>
      </c>
      <c r="BM14" s="175">
        <f t="shared" si="63"/>
        <v>3.0986255124186159E-2</v>
      </c>
      <c r="BN14" s="175">
        <f t="shared" si="64"/>
        <v>0.96901374487581382</v>
      </c>
      <c r="BP14" s="120">
        <v>33</v>
      </c>
      <c r="BQ14" s="18">
        <v>2768</v>
      </c>
      <c r="BR14" s="18">
        <v>2801</v>
      </c>
      <c r="BS14" s="270">
        <f t="shared" si="28"/>
        <v>0.12840466926070038</v>
      </c>
      <c r="BT14" s="419">
        <f t="shared" si="29"/>
        <v>224</v>
      </c>
      <c r="BU14" s="18">
        <f t="shared" si="30"/>
        <v>5269</v>
      </c>
      <c r="BV14" s="18">
        <f t="shared" si="31"/>
        <v>5493</v>
      </c>
      <c r="BW14" s="120"/>
      <c r="BX14">
        <v>2014</v>
      </c>
      <c r="BY14" s="18">
        <v>34</v>
      </c>
      <c r="BZ14" s="18">
        <v>979</v>
      </c>
      <c r="CA14" s="18">
        <v>1013</v>
      </c>
      <c r="CB14" s="175">
        <f t="shared" si="65"/>
        <v>3.3563672260612042E-2</v>
      </c>
      <c r="CC14" s="175">
        <f t="shared" si="66"/>
        <v>0.96643632773938792</v>
      </c>
      <c r="CE14" s="18">
        <v>0</v>
      </c>
      <c r="CF14" s="18">
        <v>0</v>
      </c>
      <c r="CG14" s="18">
        <v>0</v>
      </c>
      <c r="CH14" s="270"/>
      <c r="CI14" s="18">
        <f t="shared" si="35"/>
        <v>34</v>
      </c>
      <c r="CJ14" s="18">
        <f t="shared" si="36"/>
        <v>979</v>
      </c>
      <c r="CK14" s="18">
        <f t="shared" si="37"/>
        <v>1013</v>
      </c>
      <c r="CL14" s="120"/>
      <c r="CM14">
        <v>2014</v>
      </c>
      <c r="CN14" s="18">
        <v>10</v>
      </c>
      <c r="CO14" s="18">
        <v>1386</v>
      </c>
      <c r="CP14" s="18">
        <v>1396</v>
      </c>
      <c r="CQ14" s="175">
        <f t="shared" ref="CQ14:CQ18" si="73">CN14/CP14</f>
        <v>7.1633237822349575E-3</v>
      </c>
      <c r="CR14" s="175">
        <f t="shared" ref="CR14:CR18" si="74">CO14/CP14</f>
        <v>0.99283667621776506</v>
      </c>
      <c r="CT14" s="18">
        <v>0</v>
      </c>
      <c r="CU14" s="18">
        <v>14</v>
      </c>
      <c r="CV14" s="18">
        <v>14</v>
      </c>
      <c r="CW14" s="270">
        <f t="shared" si="40"/>
        <v>0</v>
      </c>
      <c r="CX14" s="18">
        <f t="shared" si="3"/>
        <v>10</v>
      </c>
      <c r="CY14" s="18">
        <f t="shared" si="4"/>
        <v>1372</v>
      </c>
      <c r="CZ14" s="18">
        <f t="shared" si="5"/>
        <v>1382</v>
      </c>
      <c r="DA14" s="18"/>
      <c r="DB14">
        <v>2014</v>
      </c>
      <c r="DC14" s="18">
        <f t="shared" si="41"/>
        <v>1712</v>
      </c>
      <c r="DD14" s="18">
        <f t="shared" si="42"/>
        <v>8536.7701149425284</v>
      </c>
      <c r="DE14" s="18">
        <f t="shared" si="43"/>
        <v>10248.770114942528</v>
      </c>
      <c r="DG14">
        <v>2014</v>
      </c>
      <c r="DH14" s="18">
        <f t="shared" si="6"/>
        <v>1745</v>
      </c>
      <c r="DI14" s="18">
        <f t="shared" si="7"/>
        <v>11318.770114942528</v>
      </c>
      <c r="DJ14" s="18">
        <f t="shared" si="8"/>
        <v>13063.770114942528</v>
      </c>
      <c r="DL14" s="206">
        <f t="shared" si="9"/>
        <v>2.1633129592747743E-3</v>
      </c>
      <c r="DM14" s="206">
        <f t="shared" si="10"/>
        <v>3.3582858320170316E-3</v>
      </c>
      <c r="DN14" s="206">
        <f t="shared" si="11"/>
        <v>5.5215987912918063E-3</v>
      </c>
      <c r="DP14" s="244">
        <v>2.1633129592747744E-2</v>
      </c>
      <c r="DQ14" s="244">
        <v>3.3582858320170314E-2</v>
      </c>
      <c r="DR14" s="244">
        <v>5.5215987912918062E-2</v>
      </c>
      <c r="DT14" s="18">
        <f t="shared" si="44"/>
        <v>3.7749811139344813</v>
      </c>
      <c r="DU14" s="18">
        <f t="shared" si="45"/>
        <v>5.8602087768697197</v>
      </c>
      <c r="DV14" s="18">
        <f t="shared" si="46"/>
        <v>9.6351898908042024</v>
      </c>
      <c r="DX14" s="18">
        <f t="shared" si="47"/>
        <v>244.86042072707198</v>
      </c>
      <c r="DY14" s="18">
        <f t="shared" si="48"/>
        <v>380.1166531286928</v>
      </c>
      <c r="DZ14" s="18">
        <f t="shared" si="49"/>
        <v>624.97707385576484</v>
      </c>
      <c r="EB14" s="18">
        <f t="shared" si="14"/>
        <v>1754.6351898908042</v>
      </c>
      <c r="EC14" s="18">
        <f t="shared" si="15"/>
        <v>11943.747188798294</v>
      </c>
      <c r="ED14" s="18">
        <f t="shared" si="16"/>
        <v>13698.382378689097</v>
      </c>
      <c r="EF14">
        <v>1990</v>
      </c>
      <c r="EG14">
        <v>2668</v>
      </c>
      <c r="EH14" t="s">
        <v>377</v>
      </c>
      <c r="EI14" s="20">
        <v>8.5</v>
      </c>
      <c r="EJ14">
        <v>0.6</v>
      </c>
      <c r="EK14" s="223">
        <v>0.2</v>
      </c>
      <c r="EL14" s="20">
        <v>1.6</v>
      </c>
      <c r="EM14">
        <v>0</v>
      </c>
      <c r="EN14">
        <v>2.2999999999999998</v>
      </c>
      <c r="EO14">
        <v>0.6</v>
      </c>
      <c r="EP14">
        <v>0.2</v>
      </c>
      <c r="EQ14">
        <v>0.3</v>
      </c>
      <c r="ER14">
        <v>0.3</v>
      </c>
      <c r="ES14">
        <v>0</v>
      </c>
      <c r="ET14">
        <v>0.1</v>
      </c>
      <c r="EU14" s="223">
        <v>0</v>
      </c>
      <c r="EV14" s="20">
        <v>1.3</v>
      </c>
      <c r="EW14">
        <v>0.1</v>
      </c>
      <c r="EX14">
        <v>0</v>
      </c>
      <c r="EY14">
        <v>0</v>
      </c>
      <c r="EZ14">
        <v>0</v>
      </c>
      <c r="FA14">
        <v>0</v>
      </c>
      <c r="FB14" s="223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16.3</v>
      </c>
      <c r="FJ14">
        <v>27.5</v>
      </c>
      <c r="FK14">
        <v>0</v>
      </c>
      <c r="FL14">
        <v>40.200000000000003</v>
      </c>
      <c r="FZ14">
        <v>2012</v>
      </c>
      <c r="GA14" s="242">
        <v>8954</v>
      </c>
      <c r="GB14" s="242">
        <v>10096</v>
      </c>
      <c r="GC14" s="175">
        <v>0.84448642736402502</v>
      </c>
      <c r="GD14" s="242">
        <f t="shared" si="67"/>
        <v>8525.9349706671965</v>
      </c>
      <c r="GE14" s="245">
        <f t="shared" si="71"/>
        <v>0.95219287141693054</v>
      </c>
      <c r="GF14" s="242"/>
      <c r="GG14" s="242">
        <v>646</v>
      </c>
      <c r="GH14" s="241">
        <v>0.84448642736402502</v>
      </c>
      <c r="GI14" s="243">
        <f t="shared" si="68"/>
        <v>545.53823207716016</v>
      </c>
      <c r="GJ14" s="246">
        <f t="shared" si="72"/>
        <v>6.0926762572834504E-2</v>
      </c>
      <c r="GL14" s="243">
        <f t="shared" si="69"/>
        <v>9071.473202744357</v>
      </c>
      <c r="GM14" s="244">
        <f t="shared" si="70"/>
        <v>1.0131196339897652</v>
      </c>
      <c r="GN14" s="244">
        <v>0.84448642736402502</v>
      </c>
      <c r="GP14">
        <v>2012</v>
      </c>
      <c r="GQ14" s="18">
        <v>8450</v>
      </c>
      <c r="GR14" s="18">
        <v>4710</v>
      </c>
      <c r="GS14" s="18">
        <v>1924</v>
      </c>
      <c r="GT14" s="175">
        <f t="shared" si="52"/>
        <v>0.22769230769230769</v>
      </c>
      <c r="GV14" s="18">
        <v>1816</v>
      </c>
      <c r="GW14" s="175">
        <f t="shared" si="53"/>
        <v>0.2149112426035503</v>
      </c>
      <c r="GY14">
        <v>2012</v>
      </c>
      <c r="GZ14">
        <v>7394</v>
      </c>
      <c r="HA14">
        <v>1586</v>
      </c>
      <c r="HB14">
        <v>29</v>
      </c>
      <c r="HC14">
        <v>5217</v>
      </c>
      <c r="HD14" s="175">
        <f t="shared" si="54"/>
        <v>0.70557208547470918</v>
      </c>
      <c r="HF14">
        <v>562</v>
      </c>
      <c r="HG14" s="175">
        <f t="shared" si="55"/>
        <v>7.6007573708412227E-2</v>
      </c>
      <c r="HH14" s="175"/>
      <c r="HI14">
        <v>2012</v>
      </c>
      <c r="HJ14" s="18">
        <f t="shared" si="56"/>
        <v>15844</v>
      </c>
      <c r="HK14" s="18">
        <f t="shared" si="57"/>
        <v>7141</v>
      </c>
      <c r="HL14" s="175">
        <f t="shared" si="58"/>
        <v>0.45070689219893967</v>
      </c>
      <c r="HM14" s="175"/>
      <c r="HN14" s="18">
        <f t="shared" si="59"/>
        <v>2378</v>
      </c>
      <c r="HO14" s="175">
        <f t="shared" si="60"/>
        <v>0.15008836152486746</v>
      </c>
      <c r="HQ14">
        <v>2012</v>
      </c>
      <c r="HR14" s="175">
        <v>3.3145970994593668E-2</v>
      </c>
      <c r="HS14" s="175">
        <v>4.6806616321977176E-2</v>
      </c>
      <c r="HT14" s="175"/>
      <c r="HU14" s="18">
        <v>186448</v>
      </c>
      <c r="HV14" s="18">
        <f t="shared" si="61"/>
        <v>6180</v>
      </c>
      <c r="HW14" s="18">
        <f t="shared" si="62"/>
        <v>8727</v>
      </c>
      <c r="HY14" s="18">
        <f t="shared" si="50"/>
        <v>-1214</v>
      </c>
      <c r="HZ14" s="18">
        <f t="shared" si="51"/>
        <v>277</v>
      </c>
    </row>
    <row r="15" spans="1:234" x14ac:dyDescent="0.3">
      <c r="A15" s="140">
        <v>2001</v>
      </c>
      <c r="B15" s="143">
        <v>8142</v>
      </c>
      <c r="C15" s="137">
        <v>1609</v>
      </c>
      <c r="D15" s="137">
        <v>1796</v>
      </c>
      <c r="E15" s="137">
        <v>3777</v>
      </c>
      <c r="F15" s="137">
        <v>5329</v>
      </c>
      <c r="G15" s="137">
        <v>78502</v>
      </c>
      <c r="H15" s="138">
        <v>440336</v>
      </c>
      <c r="I15" s="139">
        <v>539491</v>
      </c>
      <c r="K15" s="18">
        <f t="shared" si="0"/>
        <v>12511</v>
      </c>
      <c r="M15" s="122">
        <v>2001</v>
      </c>
      <c r="N15" s="121">
        <v>1609</v>
      </c>
      <c r="O15" s="121">
        <v>1306</v>
      </c>
      <c r="P15" s="422">
        <v>315</v>
      </c>
      <c r="Q15" s="121">
        <v>1796</v>
      </c>
      <c r="R15" s="122">
        <v>952</v>
      </c>
      <c r="S15" s="422">
        <v>555</v>
      </c>
      <c r="T15" s="121">
        <v>3777</v>
      </c>
      <c r="U15" s="121">
        <v>1193</v>
      </c>
      <c r="V15" s="418">
        <v>678</v>
      </c>
      <c r="W15" s="121">
        <v>5329</v>
      </c>
      <c r="X15" s="123" t="s">
        <v>8</v>
      </c>
      <c r="Y15" s="123" t="s">
        <v>9</v>
      </c>
      <c r="AA15">
        <v>2014</v>
      </c>
      <c r="AB15" t="s">
        <v>436</v>
      </c>
      <c r="AC15" t="s">
        <v>435</v>
      </c>
      <c r="AD15" t="s">
        <v>430</v>
      </c>
      <c r="AE15">
        <v>15</v>
      </c>
      <c r="AF15" s="18">
        <v>15</v>
      </c>
      <c r="AG15" s="18">
        <v>18</v>
      </c>
      <c r="AH15" s="18">
        <v>6</v>
      </c>
      <c r="AI15" s="18">
        <v>39</v>
      </c>
      <c r="AJ15" s="18">
        <f t="shared" si="17"/>
        <v>33</v>
      </c>
      <c r="AK15" s="83">
        <v>2014</v>
      </c>
      <c r="AL15" s="258">
        <f>AJ15</f>
        <v>33</v>
      </c>
      <c r="AN15" s="44">
        <v>2015</v>
      </c>
      <c r="AO15" s="18">
        <f t="shared" si="1"/>
        <v>4657</v>
      </c>
      <c r="AP15" s="18">
        <f t="shared" si="2"/>
        <v>2023</v>
      </c>
      <c r="AQ15" s="18">
        <f t="shared" si="18"/>
        <v>2634</v>
      </c>
      <c r="AR15" s="205">
        <f t="shared" si="19"/>
        <v>0.43439982821558942</v>
      </c>
      <c r="AT15">
        <v>2015</v>
      </c>
      <c r="AU15" s="18">
        <v>2772</v>
      </c>
      <c r="AV15" t="s">
        <v>121</v>
      </c>
      <c r="AW15">
        <v>0.08</v>
      </c>
      <c r="AX15" s="18">
        <f t="shared" si="20"/>
        <v>3013.0434782608695</v>
      </c>
      <c r="AY15" s="18">
        <f t="shared" si="21"/>
        <v>241.04347826086951</v>
      </c>
      <c r="AZ15" s="18"/>
      <c r="BA15" s="18">
        <v>0</v>
      </c>
      <c r="BB15" s="18">
        <v>218</v>
      </c>
      <c r="BC15" s="18">
        <f t="shared" si="22"/>
        <v>218</v>
      </c>
      <c r="BD15" s="18"/>
      <c r="BE15" s="18">
        <f t="shared" si="23"/>
        <v>2772</v>
      </c>
      <c r="BF15" s="18">
        <f t="shared" si="24"/>
        <v>459.04347826086951</v>
      </c>
      <c r="BG15" s="18">
        <f t="shared" si="25"/>
        <v>3231.0434782608695</v>
      </c>
      <c r="BI15">
        <v>2015</v>
      </c>
      <c r="BJ15" s="18">
        <f>BL15*0.01</f>
        <v>265.04000000000002</v>
      </c>
      <c r="BK15" s="18">
        <f>BL15*0.99</f>
        <v>26238.959999999999</v>
      </c>
      <c r="BL15" s="18">
        <v>26504</v>
      </c>
      <c r="BM15" s="175">
        <f t="shared" si="63"/>
        <v>0.01</v>
      </c>
      <c r="BN15" s="175">
        <f t="shared" si="64"/>
        <v>0.99</v>
      </c>
      <c r="BP15" s="120">
        <v>3</v>
      </c>
      <c r="BQ15" s="18">
        <v>8408</v>
      </c>
      <c r="BR15" s="18">
        <v>8411</v>
      </c>
      <c r="BS15" s="270">
        <f t="shared" si="28"/>
        <v>1.131904618170842E-2</v>
      </c>
      <c r="BT15" s="419">
        <f t="shared" si="29"/>
        <v>262.04000000000002</v>
      </c>
      <c r="BU15" s="18">
        <f t="shared" si="30"/>
        <v>17830.96</v>
      </c>
      <c r="BV15" s="18">
        <f t="shared" si="31"/>
        <v>18093</v>
      </c>
      <c r="BW15" s="120"/>
      <c r="BX15">
        <v>2015</v>
      </c>
      <c r="BY15" s="18">
        <v>44</v>
      </c>
      <c r="BZ15" s="18">
        <v>3187</v>
      </c>
      <c r="CA15" s="18">
        <v>3231</v>
      </c>
      <c r="CB15" s="175">
        <f t="shared" si="65"/>
        <v>1.3618074899411947E-2</v>
      </c>
      <c r="CC15" s="175">
        <f t="shared" si="66"/>
        <v>0.98638192510058809</v>
      </c>
      <c r="CE15" s="18">
        <v>0</v>
      </c>
      <c r="CF15" s="18">
        <v>1088</v>
      </c>
      <c r="CG15" s="18">
        <v>1088</v>
      </c>
      <c r="CH15" s="270">
        <f t="shared" ref="CH15:CH18" si="75">CE15/BY15</f>
        <v>0</v>
      </c>
      <c r="CI15" s="18">
        <f t="shared" si="35"/>
        <v>44</v>
      </c>
      <c r="CJ15" s="18">
        <f t="shared" si="36"/>
        <v>2099</v>
      </c>
      <c r="CK15" s="18">
        <f t="shared" si="37"/>
        <v>2143</v>
      </c>
      <c r="CL15" s="120"/>
      <c r="CM15">
        <v>2015</v>
      </c>
      <c r="CN15" s="18">
        <v>26</v>
      </c>
      <c r="CO15" s="18">
        <v>1082</v>
      </c>
      <c r="CP15" s="18">
        <v>1108</v>
      </c>
      <c r="CQ15" s="175">
        <f t="shared" si="73"/>
        <v>2.3465703971119134E-2</v>
      </c>
      <c r="CR15" s="175">
        <f t="shared" si="74"/>
        <v>0.97653429602888087</v>
      </c>
      <c r="CT15" s="18">
        <v>0</v>
      </c>
      <c r="CU15" s="18">
        <v>104</v>
      </c>
      <c r="CV15" s="18">
        <v>104</v>
      </c>
      <c r="CW15" s="270">
        <f t="shared" si="40"/>
        <v>0</v>
      </c>
      <c r="CX15" s="18">
        <f t="shared" si="3"/>
        <v>26</v>
      </c>
      <c r="CY15" s="18">
        <f t="shared" si="4"/>
        <v>978</v>
      </c>
      <c r="CZ15" s="18">
        <f t="shared" si="5"/>
        <v>1004</v>
      </c>
      <c r="DA15" s="18"/>
      <c r="DB15">
        <v>2015</v>
      </c>
      <c r="DC15" s="18">
        <f t="shared" si="41"/>
        <v>3104.04</v>
      </c>
      <c r="DD15" s="18">
        <f t="shared" si="42"/>
        <v>21367.003478260867</v>
      </c>
      <c r="DE15" s="18">
        <f t="shared" si="43"/>
        <v>24471.043478260868</v>
      </c>
      <c r="DG15">
        <v>2015</v>
      </c>
      <c r="DH15" s="18">
        <f t="shared" si="6"/>
        <v>3107.04</v>
      </c>
      <c r="DI15" s="18">
        <f t="shared" si="7"/>
        <v>30967.003478260867</v>
      </c>
      <c r="DJ15" s="18">
        <f t="shared" si="8"/>
        <v>34074.043478260872</v>
      </c>
      <c r="DL15" s="206">
        <f t="shared" si="9"/>
        <v>1.4555594283722551E-3</v>
      </c>
      <c r="DM15" s="206">
        <f t="shared" si="10"/>
        <v>2.5416521436040433E-3</v>
      </c>
      <c r="DN15" s="206">
        <f t="shared" si="11"/>
        <v>3.9972115719762984E-3</v>
      </c>
      <c r="DP15" s="244">
        <v>1.455559428372255E-2</v>
      </c>
      <c r="DQ15" s="244">
        <v>2.541652143604043E-2</v>
      </c>
      <c r="DR15" s="244">
        <v>3.9972115719762981E-2</v>
      </c>
      <c r="DT15" s="18">
        <f t="shared" si="44"/>
        <v>4.5224813663297319</v>
      </c>
      <c r="DU15" s="18">
        <f t="shared" si="45"/>
        <v>7.8970148762635066</v>
      </c>
      <c r="DV15" s="18">
        <f t="shared" si="46"/>
        <v>12.419496242593238</v>
      </c>
      <c r="DX15" s="18">
        <f t="shared" si="47"/>
        <v>450.74313881219024</v>
      </c>
      <c r="DY15" s="18">
        <f t="shared" si="48"/>
        <v>787.07350771515587</v>
      </c>
      <c r="DZ15" s="18">
        <f t="shared" si="49"/>
        <v>1237.8166465273462</v>
      </c>
      <c r="EB15" s="18">
        <f t="shared" si="14"/>
        <v>3119.4594962425931</v>
      </c>
      <c r="EC15" s="18">
        <f t="shared" si="15"/>
        <v>32204.820124788213</v>
      </c>
      <c r="ED15" s="18">
        <f t="shared" si="16"/>
        <v>35324.279621030808</v>
      </c>
      <c r="EF15">
        <v>1991</v>
      </c>
      <c r="EG15">
        <v>2895</v>
      </c>
      <c r="EH15" t="s">
        <v>377</v>
      </c>
      <c r="EI15" s="20">
        <v>3.7</v>
      </c>
      <c r="EJ15">
        <v>1.5</v>
      </c>
      <c r="EK15" s="223">
        <v>0.6</v>
      </c>
      <c r="EL15" s="20">
        <v>1.7</v>
      </c>
      <c r="EM15">
        <v>0</v>
      </c>
      <c r="EN15">
        <v>0.3</v>
      </c>
      <c r="EO15">
        <v>0.1</v>
      </c>
      <c r="EP15">
        <v>0</v>
      </c>
      <c r="EQ15">
        <v>0.1</v>
      </c>
      <c r="ER15">
        <v>0</v>
      </c>
      <c r="ES15">
        <v>0</v>
      </c>
      <c r="ET15">
        <v>0</v>
      </c>
      <c r="EU15" s="223">
        <v>0.2</v>
      </c>
      <c r="EV15" s="20">
        <v>0.5</v>
      </c>
      <c r="EW15">
        <v>0.1</v>
      </c>
      <c r="EX15">
        <v>0</v>
      </c>
      <c r="EY15">
        <v>0</v>
      </c>
      <c r="EZ15">
        <v>0</v>
      </c>
      <c r="FA15">
        <v>0</v>
      </c>
      <c r="FB15" s="223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5.8</v>
      </c>
      <c r="FJ15">
        <v>43</v>
      </c>
      <c r="FK15">
        <v>0</v>
      </c>
      <c r="FL15">
        <v>42.1</v>
      </c>
      <c r="FZ15">
        <v>2013</v>
      </c>
      <c r="GA15" s="242">
        <v>5383</v>
      </c>
      <c r="GB15" s="242">
        <v>8082</v>
      </c>
      <c r="GC15" s="175">
        <v>0.6283482142857143</v>
      </c>
      <c r="GD15" s="242">
        <f t="shared" si="67"/>
        <v>5078.3102678571431</v>
      </c>
      <c r="GE15" s="245">
        <f t="shared" si="71"/>
        <v>0.94339778336562197</v>
      </c>
      <c r="GF15" s="242"/>
      <c r="GG15" s="242">
        <v>341</v>
      </c>
      <c r="GH15" s="241">
        <v>0.6283482142857143</v>
      </c>
      <c r="GI15" s="243">
        <f t="shared" si="68"/>
        <v>214.26674107142858</v>
      </c>
      <c r="GJ15" s="246">
        <f t="shared" si="72"/>
        <v>3.9804336071229532E-2</v>
      </c>
      <c r="GL15" s="243">
        <f t="shared" si="69"/>
        <v>5292.5770089285716</v>
      </c>
      <c r="GM15" s="244">
        <f t="shared" si="70"/>
        <v>0.98320211943685154</v>
      </c>
      <c r="GN15" s="244">
        <v>0.6283482142857143</v>
      </c>
      <c r="GP15">
        <v>2013</v>
      </c>
      <c r="GQ15" s="18">
        <v>6427</v>
      </c>
      <c r="GR15" s="18">
        <v>4589</v>
      </c>
      <c r="GS15" s="18">
        <v>995</v>
      </c>
      <c r="GT15" s="175">
        <f t="shared" si="52"/>
        <v>0.15481562159639023</v>
      </c>
      <c r="GV15" s="18">
        <v>843</v>
      </c>
      <c r="GW15" s="175">
        <f t="shared" si="53"/>
        <v>0.13116539598568538</v>
      </c>
      <c r="GY15">
        <v>2013</v>
      </c>
      <c r="GZ15">
        <v>3065</v>
      </c>
      <c r="HA15">
        <v>1746</v>
      </c>
      <c r="HB15">
        <v>47</v>
      </c>
      <c r="HC15">
        <v>1180</v>
      </c>
      <c r="HD15" s="175">
        <f t="shared" si="54"/>
        <v>0.38499184339314846</v>
      </c>
      <c r="HF15">
        <v>92</v>
      </c>
      <c r="HG15" s="175">
        <f t="shared" si="55"/>
        <v>3.00163132137031E-2</v>
      </c>
      <c r="HH15" s="175"/>
      <c r="HI15">
        <v>2013</v>
      </c>
      <c r="HJ15" s="18">
        <f t="shared" si="56"/>
        <v>9492</v>
      </c>
      <c r="HK15" s="18">
        <f t="shared" si="57"/>
        <v>2175</v>
      </c>
      <c r="HL15" s="175">
        <f t="shared" si="58"/>
        <v>0.22914032869785081</v>
      </c>
      <c r="HM15" s="175"/>
      <c r="HN15" s="18">
        <f t="shared" si="59"/>
        <v>935</v>
      </c>
      <c r="HO15" s="175">
        <f t="shared" si="60"/>
        <v>9.8504003371260002E-2</v>
      </c>
      <c r="HQ15">
        <v>2013</v>
      </c>
      <c r="HR15" s="175">
        <v>2.6909522375900968E-2</v>
      </c>
      <c r="HS15" s="175">
        <v>5.6935909469247523E-2</v>
      </c>
      <c r="HT15" s="175"/>
      <c r="HU15" s="18">
        <v>112934</v>
      </c>
      <c r="HV15" s="18">
        <f t="shared" si="61"/>
        <v>3039</v>
      </c>
      <c r="HW15" s="18">
        <f t="shared" si="62"/>
        <v>6430</v>
      </c>
      <c r="HY15" s="18">
        <f t="shared" si="50"/>
        <v>-26</v>
      </c>
      <c r="HZ15" s="18">
        <f t="shared" si="51"/>
        <v>3</v>
      </c>
    </row>
    <row r="16" spans="1:234" x14ac:dyDescent="0.3">
      <c r="A16" s="140">
        <v>2002</v>
      </c>
      <c r="B16" s="143">
        <v>8661</v>
      </c>
      <c r="C16" s="137">
        <v>5152</v>
      </c>
      <c r="D16" s="137">
        <v>2912</v>
      </c>
      <c r="E16" s="137">
        <v>3514</v>
      </c>
      <c r="F16" s="137">
        <v>5905</v>
      </c>
      <c r="G16" s="137">
        <v>120161</v>
      </c>
      <c r="H16" s="138">
        <v>335214</v>
      </c>
      <c r="I16" s="139">
        <v>481519</v>
      </c>
      <c r="K16" s="18">
        <f t="shared" si="0"/>
        <v>17483</v>
      </c>
      <c r="M16" s="122">
        <v>2002</v>
      </c>
      <c r="N16" s="121">
        <v>5152</v>
      </c>
      <c r="O16" s="121">
        <v>2713</v>
      </c>
      <c r="P16" s="422">
        <v>781</v>
      </c>
      <c r="Q16" s="121">
        <v>2912</v>
      </c>
      <c r="R16" s="121">
        <v>1374</v>
      </c>
      <c r="S16" s="422">
        <v>886</v>
      </c>
      <c r="T16" s="121">
        <v>3514</v>
      </c>
      <c r="U16" s="121">
        <v>1865</v>
      </c>
      <c r="V16" s="418">
        <v>493</v>
      </c>
      <c r="W16" s="121">
        <v>5905</v>
      </c>
      <c r="X16" s="123" t="s">
        <v>8</v>
      </c>
      <c r="Y16" s="121">
        <v>1445</v>
      </c>
      <c r="AK16" s="83">
        <v>2015</v>
      </c>
      <c r="AL16" s="258">
        <v>0</v>
      </c>
      <c r="AN16" s="44">
        <v>2016</v>
      </c>
      <c r="AO16" s="18">
        <f t="shared" si="1"/>
        <v>4151</v>
      </c>
      <c r="AP16" s="18">
        <f t="shared" si="2"/>
        <v>3590</v>
      </c>
      <c r="AQ16" s="18">
        <f t="shared" si="18"/>
        <v>561</v>
      </c>
      <c r="AR16" s="205">
        <f t="shared" si="19"/>
        <v>0.86485184292941464</v>
      </c>
      <c r="AT16">
        <v>2016</v>
      </c>
      <c r="AU16" s="18">
        <v>3490</v>
      </c>
      <c r="AV16" t="s">
        <v>121</v>
      </c>
      <c r="AW16">
        <v>0.05</v>
      </c>
      <c r="AX16" s="18">
        <f t="shared" si="20"/>
        <v>3673.6842105263158</v>
      </c>
      <c r="AY16" s="18">
        <f t="shared" si="21"/>
        <v>183.68421052631584</v>
      </c>
      <c r="AZ16" s="18"/>
      <c r="BA16" s="18">
        <v>0</v>
      </c>
      <c r="BB16" s="18">
        <v>79</v>
      </c>
      <c r="BC16" s="18">
        <f t="shared" si="22"/>
        <v>79</v>
      </c>
      <c r="BD16" s="18"/>
      <c r="BE16" s="18">
        <f t="shared" si="23"/>
        <v>3490</v>
      </c>
      <c r="BF16" s="18">
        <f t="shared" si="24"/>
        <v>262.68421052631584</v>
      </c>
      <c r="BG16" s="18">
        <f t="shared" si="25"/>
        <v>3752.6842105263158</v>
      </c>
      <c r="BI16">
        <v>2016</v>
      </c>
      <c r="BJ16" s="18">
        <v>224</v>
      </c>
      <c r="BK16" s="18">
        <v>24330</v>
      </c>
      <c r="BL16" s="18">
        <v>24554</v>
      </c>
      <c r="BM16" s="175">
        <f t="shared" si="63"/>
        <v>9.1227498574570336E-3</v>
      </c>
      <c r="BN16" s="175">
        <f t="shared" si="64"/>
        <v>0.99087725014254302</v>
      </c>
      <c r="BP16" s="120">
        <v>26</v>
      </c>
      <c r="BQ16" s="18">
        <v>9360</v>
      </c>
      <c r="BR16" s="18">
        <v>9386</v>
      </c>
      <c r="BS16" s="270">
        <f t="shared" si="28"/>
        <v>0.11607142857142858</v>
      </c>
      <c r="BT16" s="419">
        <f t="shared" si="29"/>
        <v>198</v>
      </c>
      <c r="BU16" s="18">
        <f t="shared" si="30"/>
        <v>14970</v>
      </c>
      <c r="BV16" s="18">
        <f t="shared" si="31"/>
        <v>15168</v>
      </c>
      <c r="BW16" s="120"/>
      <c r="BX16">
        <v>2016</v>
      </c>
      <c r="BY16" s="18">
        <v>32</v>
      </c>
      <c r="BZ16" s="18">
        <v>4430</v>
      </c>
      <c r="CA16" s="18">
        <v>4462</v>
      </c>
      <c r="CB16" s="175">
        <f t="shared" si="65"/>
        <v>7.1716718960107579E-3</v>
      </c>
      <c r="CC16" s="175">
        <f t="shared" si="66"/>
        <v>0.99282832810398924</v>
      </c>
      <c r="CE16" s="18">
        <v>0</v>
      </c>
      <c r="CF16" s="18">
        <v>1587.9999999999998</v>
      </c>
      <c r="CG16" s="18">
        <v>1587.9999999999998</v>
      </c>
      <c r="CH16" s="270">
        <f t="shared" si="75"/>
        <v>0</v>
      </c>
      <c r="CI16" s="18">
        <f t="shared" si="35"/>
        <v>32</v>
      </c>
      <c r="CJ16" s="18">
        <f t="shared" si="36"/>
        <v>2842</v>
      </c>
      <c r="CK16" s="18">
        <f t="shared" si="37"/>
        <v>2874</v>
      </c>
      <c r="CL16" s="120"/>
      <c r="CM16">
        <v>2016</v>
      </c>
      <c r="CN16" s="18">
        <v>17</v>
      </c>
      <c r="CO16" s="18">
        <v>580</v>
      </c>
      <c r="CP16" s="18">
        <v>597</v>
      </c>
      <c r="CQ16" s="175">
        <f t="shared" si="73"/>
        <v>2.8475711892797319E-2</v>
      </c>
      <c r="CR16" s="175">
        <f t="shared" si="74"/>
        <v>0.9715242881072027</v>
      </c>
      <c r="CT16" s="18">
        <v>0</v>
      </c>
      <c r="CU16" s="18">
        <v>124.00000000000001</v>
      </c>
      <c r="CV16" s="18">
        <v>124.00000000000001</v>
      </c>
      <c r="CW16" s="270">
        <f t="shared" si="40"/>
        <v>0</v>
      </c>
      <c r="CX16" s="18">
        <f t="shared" si="3"/>
        <v>17</v>
      </c>
      <c r="CY16" s="18">
        <f t="shared" si="4"/>
        <v>456</v>
      </c>
      <c r="CZ16" s="18">
        <f t="shared" si="5"/>
        <v>473</v>
      </c>
      <c r="DA16" s="18"/>
      <c r="DB16">
        <v>2016</v>
      </c>
      <c r="DC16" s="18">
        <f t="shared" si="41"/>
        <v>3737</v>
      </c>
      <c r="DD16" s="18">
        <f t="shared" si="42"/>
        <v>18530.684210526317</v>
      </c>
      <c r="DE16" s="18">
        <f t="shared" si="43"/>
        <v>22267.684210526317</v>
      </c>
      <c r="DG16">
        <v>2016</v>
      </c>
      <c r="DH16" s="18">
        <f t="shared" si="6"/>
        <v>3763</v>
      </c>
      <c r="DI16" s="18">
        <f t="shared" si="7"/>
        <v>29602.684210526317</v>
      </c>
      <c r="DJ16" s="18">
        <f t="shared" si="8"/>
        <v>33365.684210526313</v>
      </c>
      <c r="DL16" s="206">
        <f t="shared" si="9"/>
        <v>1.0084092919177055E-3</v>
      </c>
      <c r="DM16" s="206">
        <f t="shared" si="10"/>
        <v>3.8781996855746788E-3</v>
      </c>
      <c r="DN16" s="206">
        <f t="shared" si="11"/>
        <v>4.8866089774923845E-3</v>
      </c>
      <c r="DP16" s="244">
        <v>1.0084092919177055E-2</v>
      </c>
      <c r="DQ16" s="244">
        <v>3.8781996855746785E-2</v>
      </c>
      <c r="DR16" s="244">
        <v>4.8866089774923842E-2</v>
      </c>
      <c r="DT16" s="18">
        <f t="shared" si="44"/>
        <v>3.7946441654863259</v>
      </c>
      <c r="DU16" s="18">
        <f t="shared" si="45"/>
        <v>14.593665416817517</v>
      </c>
      <c r="DV16" s="18">
        <f t="shared" si="46"/>
        <v>18.388309582303844</v>
      </c>
      <c r="DX16" s="18">
        <f t="shared" si="47"/>
        <v>298.51621823600283</v>
      </c>
      <c r="DY16" s="18">
        <f t="shared" si="48"/>
        <v>1148.0512059742966</v>
      </c>
      <c r="DZ16" s="18">
        <f t="shared" si="49"/>
        <v>1446.5674242102996</v>
      </c>
      <c r="EB16" s="18">
        <f t="shared" si="14"/>
        <v>3781.3883095823039</v>
      </c>
      <c r="EC16" s="18">
        <f t="shared" si="15"/>
        <v>31049.251634736618</v>
      </c>
      <c r="ED16" s="18">
        <f t="shared" si="16"/>
        <v>34830.639944318915</v>
      </c>
      <c r="EF16">
        <v>1992</v>
      </c>
      <c r="EG16">
        <v>2722</v>
      </c>
      <c r="EH16" t="s">
        <v>377</v>
      </c>
      <c r="EI16" s="20">
        <v>6</v>
      </c>
      <c r="EJ16">
        <v>4.5999999999999996</v>
      </c>
      <c r="EK16" s="223">
        <v>0.2</v>
      </c>
      <c r="EL16" s="20">
        <v>1.4</v>
      </c>
      <c r="EM16">
        <v>0</v>
      </c>
      <c r="EN16">
        <v>2.2999999999999998</v>
      </c>
      <c r="EO16">
        <v>0.1</v>
      </c>
      <c r="EP16">
        <v>0</v>
      </c>
      <c r="EQ16">
        <v>0.1</v>
      </c>
      <c r="ER16">
        <v>0.1</v>
      </c>
      <c r="ES16">
        <v>0</v>
      </c>
      <c r="ET16">
        <v>0</v>
      </c>
      <c r="EU16" s="223">
        <v>0</v>
      </c>
      <c r="EV16" s="20">
        <v>2.2000000000000002</v>
      </c>
      <c r="EW16">
        <v>0.2</v>
      </c>
      <c r="EX16">
        <v>0</v>
      </c>
      <c r="EY16">
        <v>0.1</v>
      </c>
      <c r="EZ16">
        <v>0</v>
      </c>
      <c r="FA16">
        <v>0</v>
      </c>
      <c r="FB16" s="223">
        <v>0.5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5.3</v>
      </c>
      <c r="FJ16">
        <v>28.8</v>
      </c>
      <c r="FK16">
        <v>0</v>
      </c>
      <c r="FL16">
        <v>48.1</v>
      </c>
      <c r="FZ16">
        <v>2014</v>
      </c>
      <c r="GA16" s="242">
        <v>2479</v>
      </c>
      <c r="GB16" s="242">
        <v>4638</v>
      </c>
      <c r="GC16" s="175">
        <v>0.48158518199440015</v>
      </c>
      <c r="GD16" s="242">
        <f t="shared" si="67"/>
        <v>2233.5920740900278</v>
      </c>
      <c r="GE16" s="245">
        <f t="shared" si="71"/>
        <v>0.90100527393708263</v>
      </c>
      <c r="GF16" s="242"/>
      <c r="GG16" s="242">
        <v>315</v>
      </c>
      <c r="GH16" s="241">
        <v>0.48158518199440015</v>
      </c>
      <c r="GI16" s="243">
        <f t="shared" si="68"/>
        <v>151.69933232823604</v>
      </c>
      <c r="GJ16" s="246">
        <f t="shared" si="72"/>
        <v>6.1193760519659558E-2</v>
      </c>
      <c r="GL16" s="243">
        <f t="shared" si="69"/>
        <v>2385.2914064182637</v>
      </c>
      <c r="GM16" s="244">
        <f t="shared" si="70"/>
        <v>0.96219903445674215</v>
      </c>
      <c r="GN16" s="244">
        <v>0.48158518199440015</v>
      </c>
      <c r="GP16">
        <v>2014</v>
      </c>
      <c r="GQ16" s="18">
        <v>9044</v>
      </c>
      <c r="GR16" s="18">
        <v>4538</v>
      </c>
      <c r="GS16" s="18">
        <v>1326</v>
      </c>
      <c r="GT16" s="175">
        <f t="shared" si="52"/>
        <v>0.14661654135338345</v>
      </c>
      <c r="GV16" s="18">
        <v>3180</v>
      </c>
      <c r="GW16" s="175">
        <f t="shared" si="53"/>
        <v>0.3516143299425033</v>
      </c>
      <c r="GY16">
        <v>2014</v>
      </c>
      <c r="GZ16">
        <v>5919</v>
      </c>
      <c r="HA16">
        <v>2217</v>
      </c>
      <c r="HB16">
        <v>33</v>
      </c>
      <c r="HC16">
        <v>3249</v>
      </c>
      <c r="HD16" s="175">
        <f t="shared" si="54"/>
        <v>0.54891028890015203</v>
      </c>
      <c r="HF16">
        <v>420</v>
      </c>
      <c r="HG16" s="175">
        <f t="shared" si="55"/>
        <v>7.0957932083122149E-2</v>
      </c>
      <c r="HH16" s="175"/>
      <c r="HI16">
        <v>2014</v>
      </c>
      <c r="HJ16" s="18">
        <f t="shared" si="56"/>
        <v>14963</v>
      </c>
      <c r="HK16" s="18">
        <f t="shared" si="57"/>
        <v>4575</v>
      </c>
      <c r="HL16" s="175">
        <f t="shared" si="58"/>
        <v>0.30575419367773843</v>
      </c>
      <c r="HM16" s="175"/>
      <c r="HN16" s="18">
        <f t="shared" si="59"/>
        <v>3600</v>
      </c>
      <c r="HO16" s="175">
        <f t="shared" si="60"/>
        <v>0.24059346387756467</v>
      </c>
      <c r="HQ16">
        <v>2014</v>
      </c>
      <c r="HR16" s="175">
        <v>2.640633752100504E-2</v>
      </c>
      <c r="HS16" s="175">
        <v>4.0214095827443029E-2</v>
      </c>
      <c r="HT16" s="175"/>
      <c r="HU16" s="18">
        <v>224946</v>
      </c>
      <c r="HV16" s="18">
        <f t="shared" si="61"/>
        <v>5940</v>
      </c>
      <c r="HW16" s="18">
        <f t="shared" si="62"/>
        <v>9046</v>
      </c>
      <c r="HY16" s="18">
        <f t="shared" si="50"/>
        <v>21</v>
      </c>
      <c r="HZ16" s="18">
        <f t="shared" si="51"/>
        <v>2</v>
      </c>
    </row>
    <row r="17" spans="1:234" x14ac:dyDescent="0.3">
      <c r="A17" s="140">
        <v>2003</v>
      </c>
      <c r="B17" s="143">
        <v>6857</v>
      </c>
      <c r="C17" s="137">
        <v>15954</v>
      </c>
      <c r="D17" s="137">
        <v>4556</v>
      </c>
      <c r="E17" s="137">
        <v>5040</v>
      </c>
      <c r="F17" s="137">
        <v>5615</v>
      </c>
      <c r="G17" s="137">
        <v>123355</v>
      </c>
      <c r="H17" s="138">
        <v>242605</v>
      </c>
      <c r="I17" s="139">
        <v>403982</v>
      </c>
      <c r="K17" s="18">
        <f t="shared" si="0"/>
        <v>31165</v>
      </c>
      <c r="M17" s="122">
        <v>2003</v>
      </c>
      <c r="N17" s="121">
        <v>15954</v>
      </c>
      <c r="O17" s="121">
        <v>10481</v>
      </c>
      <c r="P17" s="423">
        <v>2485</v>
      </c>
      <c r="Q17" s="121">
        <v>4556</v>
      </c>
      <c r="R17" s="121">
        <v>3802</v>
      </c>
      <c r="S17" s="422">
        <v>766</v>
      </c>
      <c r="T17" s="121">
        <v>5040</v>
      </c>
      <c r="U17" s="121">
        <v>3056</v>
      </c>
      <c r="V17" s="418">
        <v>679</v>
      </c>
      <c r="W17" s="121">
        <v>5615</v>
      </c>
      <c r="X17" s="123" t="s">
        <v>8</v>
      </c>
      <c r="Y17" s="122">
        <v>968</v>
      </c>
      <c r="AK17" s="83">
        <v>2016</v>
      </c>
      <c r="AL17" s="258">
        <v>0</v>
      </c>
      <c r="AN17" s="44">
        <v>2017</v>
      </c>
      <c r="AO17" s="18"/>
      <c r="AP17" s="18"/>
      <c r="AT17">
        <v>2017</v>
      </c>
      <c r="AU17" s="18">
        <v>5219</v>
      </c>
      <c r="AV17" t="s">
        <v>121</v>
      </c>
      <c r="AW17">
        <v>0.09</v>
      </c>
      <c r="AX17" s="18">
        <f t="shared" si="20"/>
        <v>5735.1648351648346</v>
      </c>
      <c r="AY17" s="18">
        <f t="shared" si="21"/>
        <v>516.16483516483459</v>
      </c>
      <c r="AZ17" s="18"/>
      <c r="BA17" s="18">
        <v>0</v>
      </c>
      <c r="BB17" s="18">
        <v>1376</v>
      </c>
      <c r="BC17" s="18">
        <f t="shared" si="22"/>
        <v>1376</v>
      </c>
      <c r="BD17" s="18"/>
      <c r="BE17" s="18">
        <f t="shared" si="23"/>
        <v>5219</v>
      </c>
      <c r="BF17" s="18">
        <f t="shared" si="24"/>
        <v>1892.1648351648346</v>
      </c>
      <c r="BG17" s="18">
        <f t="shared" si="25"/>
        <v>7111.1648351648346</v>
      </c>
      <c r="BI17">
        <v>2017</v>
      </c>
      <c r="BJ17" s="18">
        <v>83</v>
      </c>
      <c r="BK17" s="18">
        <v>14556</v>
      </c>
      <c r="BL17" s="18">
        <v>14639</v>
      </c>
      <c r="BM17" s="175">
        <f t="shared" si="63"/>
        <v>5.6697861875811186E-3</v>
      </c>
      <c r="BN17" s="175">
        <f t="shared" si="64"/>
        <v>0.99433021381241893</v>
      </c>
      <c r="BP17" s="120">
        <v>2</v>
      </c>
      <c r="BQ17" s="18">
        <v>5612.9999999999991</v>
      </c>
      <c r="BR17" s="18">
        <v>5614.9999999999991</v>
      </c>
      <c r="BS17" s="270">
        <f t="shared" si="28"/>
        <v>2.4096385542168676E-2</v>
      </c>
      <c r="BT17" s="419">
        <f t="shared" si="29"/>
        <v>81</v>
      </c>
      <c r="BU17" s="18">
        <f t="shared" si="30"/>
        <v>8943</v>
      </c>
      <c r="BV17" s="18">
        <f t="shared" si="31"/>
        <v>9024</v>
      </c>
      <c r="BW17" s="120"/>
      <c r="BX17">
        <v>2017</v>
      </c>
      <c r="BY17" s="18">
        <v>65</v>
      </c>
      <c r="BZ17" s="18">
        <v>3450</v>
      </c>
      <c r="CA17" s="18">
        <v>3515</v>
      </c>
      <c r="CB17" s="175">
        <f t="shared" si="65"/>
        <v>1.849217638691323E-2</v>
      </c>
      <c r="CC17" s="175">
        <f t="shared" si="66"/>
        <v>0.98150782361308675</v>
      </c>
      <c r="CE17" s="18">
        <v>7</v>
      </c>
      <c r="CF17" s="18">
        <v>1618</v>
      </c>
      <c r="CG17" s="18">
        <v>1625</v>
      </c>
      <c r="CH17" s="270">
        <f t="shared" si="75"/>
        <v>0.1076923076923077</v>
      </c>
      <c r="CI17" s="18">
        <f t="shared" si="35"/>
        <v>58</v>
      </c>
      <c r="CJ17" s="18">
        <f t="shared" si="36"/>
        <v>1832</v>
      </c>
      <c r="CK17" s="18">
        <f t="shared" si="37"/>
        <v>1890</v>
      </c>
      <c r="CL17" s="120"/>
      <c r="CM17">
        <v>2017</v>
      </c>
      <c r="CN17" s="18">
        <v>29</v>
      </c>
      <c r="CO17" s="18">
        <v>2309</v>
      </c>
      <c r="CP17" s="18">
        <v>2338</v>
      </c>
      <c r="CQ17" s="175">
        <f t="shared" si="73"/>
        <v>1.2403763900769889E-2</v>
      </c>
      <c r="CR17" s="175">
        <f t="shared" si="74"/>
        <v>0.98759623609923008</v>
      </c>
      <c r="CT17" s="18">
        <v>0</v>
      </c>
      <c r="CU17" s="18">
        <v>244</v>
      </c>
      <c r="CV17" s="18">
        <v>244</v>
      </c>
      <c r="CW17" s="270">
        <f t="shared" si="40"/>
        <v>0</v>
      </c>
      <c r="CX17" s="18">
        <f t="shared" si="3"/>
        <v>29</v>
      </c>
      <c r="CY17" s="18">
        <f t="shared" si="4"/>
        <v>2065</v>
      </c>
      <c r="CZ17" s="18">
        <f t="shared" si="5"/>
        <v>2094</v>
      </c>
      <c r="DA17" s="18"/>
      <c r="DB17">
        <v>2017</v>
      </c>
      <c r="DC17" s="18">
        <f t="shared" si="41"/>
        <v>5387</v>
      </c>
      <c r="DD17" s="18">
        <f t="shared" si="42"/>
        <v>14732.164835164835</v>
      </c>
      <c r="DE17" s="18">
        <f t="shared" si="43"/>
        <v>20119.164835164833</v>
      </c>
      <c r="DG17">
        <v>2017</v>
      </c>
      <c r="DH17" s="18">
        <f t="shared" si="6"/>
        <v>5396</v>
      </c>
      <c r="DI17" s="18">
        <f t="shared" si="7"/>
        <v>22207.164835164833</v>
      </c>
      <c r="DJ17" s="18">
        <f t="shared" si="8"/>
        <v>27603.164835164833</v>
      </c>
      <c r="DL17" s="206">
        <f t="shared" si="9"/>
        <v>0</v>
      </c>
      <c r="DM17" s="206">
        <f t="shared" si="10"/>
        <v>1.880974418403586E-3</v>
      </c>
      <c r="DN17" s="206">
        <f t="shared" si="11"/>
        <v>1.880974418403586E-3</v>
      </c>
      <c r="DP17" s="244">
        <v>0</v>
      </c>
      <c r="DQ17" s="244">
        <v>1.8809744184035859E-2</v>
      </c>
      <c r="DR17" s="244">
        <v>1.8809744184035859E-2</v>
      </c>
      <c r="DT17" s="18">
        <f t="shared" si="44"/>
        <v>0</v>
      </c>
      <c r="DU17" s="18">
        <f t="shared" si="45"/>
        <v>10.14973796170575</v>
      </c>
      <c r="DV17" s="18">
        <f t="shared" si="46"/>
        <v>10.14973796170575</v>
      </c>
      <c r="DX17" s="18">
        <f t="shared" si="47"/>
        <v>0</v>
      </c>
      <c r="DY17" s="18">
        <f t="shared" si="48"/>
        <v>417.71108960216736</v>
      </c>
      <c r="DZ17" s="18">
        <f t="shared" si="49"/>
        <v>417.71108960216736</v>
      </c>
      <c r="EB17" s="18">
        <f t="shared" si="14"/>
        <v>5406.1497379617058</v>
      </c>
      <c r="EC17" s="18">
        <f t="shared" si="15"/>
        <v>22624.875924766999</v>
      </c>
      <c r="ED17" s="18">
        <f t="shared" si="16"/>
        <v>28031.025662728705</v>
      </c>
      <c r="EF17">
        <v>1993</v>
      </c>
      <c r="EG17">
        <v>5080</v>
      </c>
      <c r="EH17" t="s">
        <v>377</v>
      </c>
      <c r="EI17" s="20">
        <v>11.2</v>
      </c>
      <c r="EJ17">
        <v>0</v>
      </c>
      <c r="EK17" s="223">
        <v>0</v>
      </c>
      <c r="EL17" s="20">
        <v>1.3</v>
      </c>
      <c r="EM17">
        <v>0.1</v>
      </c>
      <c r="EN17">
        <v>1.4</v>
      </c>
      <c r="EO17">
        <v>0.2</v>
      </c>
      <c r="EP17">
        <v>0</v>
      </c>
      <c r="EQ17">
        <v>0</v>
      </c>
      <c r="ER17">
        <v>0</v>
      </c>
      <c r="ES17">
        <v>0</v>
      </c>
      <c r="ET17">
        <v>0</v>
      </c>
      <c r="EU17" s="223">
        <v>0</v>
      </c>
      <c r="EV17" s="20">
        <v>1.6</v>
      </c>
      <c r="EW17">
        <v>0.1</v>
      </c>
      <c r="EX17">
        <v>0</v>
      </c>
      <c r="EY17">
        <v>0</v>
      </c>
      <c r="EZ17">
        <v>0</v>
      </c>
      <c r="FA17">
        <v>0</v>
      </c>
      <c r="FB17" s="223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0.8</v>
      </c>
      <c r="FJ17">
        <v>42</v>
      </c>
      <c r="FK17">
        <v>0</v>
      </c>
      <c r="FL17">
        <v>41.3</v>
      </c>
      <c r="FZ17">
        <v>2015</v>
      </c>
      <c r="GA17" s="242">
        <v>13562</v>
      </c>
      <c r="GB17" s="242">
        <v>13703</v>
      </c>
      <c r="GC17" s="175">
        <v>0.81371186068632473</v>
      </c>
      <c r="GD17" s="242">
        <f t="shared" si="67"/>
        <v>11150.293626984707</v>
      </c>
      <c r="GE17" s="245">
        <f t="shared" si="71"/>
        <v>0.82217177606434944</v>
      </c>
      <c r="GF17" s="242"/>
      <c r="GG17" s="242">
        <v>2507</v>
      </c>
      <c r="GH17" s="241">
        <v>0.81371186068632473</v>
      </c>
      <c r="GI17" s="243">
        <f t="shared" si="68"/>
        <v>2039.975634740616</v>
      </c>
      <c r="GJ17" s="246">
        <f t="shared" si="72"/>
        <v>0.1504184954092771</v>
      </c>
      <c r="GL17" s="243">
        <f t="shared" si="69"/>
        <v>13190.269261725323</v>
      </c>
      <c r="GM17" s="244">
        <f t="shared" si="70"/>
        <v>0.97259027147362653</v>
      </c>
      <c r="GN17" s="244">
        <v>0.81371186068632473</v>
      </c>
      <c r="GP17">
        <v>2015</v>
      </c>
      <c r="GQ17" s="18">
        <v>17218</v>
      </c>
      <c r="GR17" s="18">
        <v>8254</v>
      </c>
      <c r="GS17" s="18">
        <v>2599</v>
      </c>
      <c r="GT17" s="175">
        <f t="shared" si="52"/>
        <v>0.15094668370310141</v>
      </c>
      <c r="GV17" s="18">
        <v>6365</v>
      </c>
      <c r="GW17" s="175">
        <f t="shared" si="53"/>
        <v>0.3696712742478801</v>
      </c>
      <c r="GY17">
        <v>2015</v>
      </c>
      <c r="GZ17">
        <v>6902</v>
      </c>
      <c r="HA17">
        <v>2703</v>
      </c>
      <c r="HB17">
        <v>97</v>
      </c>
      <c r="HC17">
        <v>3667</v>
      </c>
      <c r="HD17" s="175">
        <f t="shared" si="54"/>
        <v>0.53129527673138222</v>
      </c>
      <c r="HF17">
        <v>435</v>
      </c>
      <c r="HG17" s="175">
        <f t="shared" si="55"/>
        <v>6.3025210084033612E-2</v>
      </c>
      <c r="HH17" s="175"/>
      <c r="HI17">
        <v>2015</v>
      </c>
      <c r="HJ17" s="18">
        <f t="shared" si="56"/>
        <v>24120</v>
      </c>
      <c r="HK17" s="18">
        <f t="shared" si="57"/>
        <v>6266</v>
      </c>
      <c r="HL17" s="175">
        <f t="shared" si="58"/>
        <v>0.25978441127694857</v>
      </c>
      <c r="HM17" s="175"/>
      <c r="HN17" s="18">
        <f t="shared" si="59"/>
        <v>6800</v>
      </c>
      <c r="HO17" s="175">
        <f t="shared" si="60"/>
        <v>0.28192371475953565</v>
      </c>
      <c r="HQ17">
        <v>2015</v>
      </c>
      <c r="HR17" s="175">
        <v>2.6069634505456435E-2</v>
      </c>
      <c r="HS17" s="175">
        <v>6.4991451961530056E-2</v>
      </c>
      <c r="HT17" s="175"/>
      <c r="HU17" s="18">
        <v>265558</v>
      </c>
      <c r="HV17" s="18">
        <f t="shared" si="61"/>
        <v>6923</v>
      </c>
      <c r="HW17" s="18">
        <f t="shared" si="62"/>
        <v>17259</v>
      </c>
      <c r="HY17" s="18">
        <f t="shared" si="50"/>
        <v>21</v>
      </c>
      <c r="HZ17" s="18">
        <f t="shared" si="51"/>
        <v>41</v>
      </c>
    </row>
    <row r="18" spans="1:234" x14ac:dyDescent="0.3">
      <c r="A18" s="140">
        <v>2004</v>
      </c>
      <c r="B18" s="143">
        <v>10175</v>
      </c>
      <c r="C18" s="137">
        <v>16511</v>
      </c>
      <c r="D18" s="137">
        <v>4286</v>
      </c>
      <c r="E18" s="137">
        <v>7475</v>
      </c>
      <c r="F18" s="137">
        <v>12680</v>
      </c>
      <c r="G18" s="137">
        <v>143240</v>
      </c>
      <c r="H18" s="138">
        <v>221675</v>
      </c>
      <c r="I18" s="139">
        <v>416042</v>
      </c>
      <c r="K18" s="18">
        <f t="shared" si="0"/>
        <v>40952</v>
      </c>
      <c r="M18" s="122">
        <v>2004</v>
      </c>
      <c r="N18" s="121">
        <v>16511</v>
      </c>
      <c r="O18" s="121">
        <v>12596</v>
      </c>
      <c r="P18" s="423">
        <v>2048</v>
      </c>
      <c r="Q18" s="121">
        <v>4286</v>
      </c>
      <c r="R18" s="121">
        <v>3421</v>
      </c>
      <c r="S18" s="422">
        <v>352</v>
      </c>
      <c r="T18" s="121">
        <v>7475</v>
      </c>
      <c r="U18" s="121">
        <v>4235</v>
      </c>
      <c r="V18" s="418">
        <v>494</v>
      </c>
      <c r="W18" s="121">
        <v>12680</v>
      </c>
      <c r="X18" s="121">
        <v>2950</v>
      </c>
      <c r="Y18" s="121">
        <v>4010</v>
      </c>
      <c r="AK18" s="83">
        <v>2017</v>
      </c>
      <c r="AL18" s="258">
        <v>0</v>
      </c>
      <c r="AT18">
        <v>2018</v>
      </c>
      <c r="AU18" t="s">
        <v>121</v>
      </c>
      <c r="AV18" t="s">
        <v>121</v>
      </c>
      <c r="AW18" t="s">
        <v>121</v>
      </c>
      <c r="BI18">
        <v>2018</v>
      </c>
      <c r="BJ18" s="18">
        <v>116</v>
      </c>
      <c r="BK18" s="18">
        <v>3858</v>
      </c>
      <c r="BL18" s="18">
        <v>3974</v>
      </c>
      <c r="BM18" s="175">
        <f t="shared" si="63"/>
        <v>2.9189733266230498E-2</v>
      </c>
      <c r="BN18" s="175">
        <f t="shared" si="64"/>
        <v>0.97081026673376947</v>
      </c>
      <c r="BP18" s="120">
        <v>1</v>
      </c>
      <c r="BQ18" s="18">
        <v>850</v>
      </c>
      <c r="BR18" s="18">
        <v>851</v>
      </c>
      <c r="BS18" s="270">
        <f t="shared" si="28"/>
        <v>8.6206896551724137E-3</v>
      </c>
      <c r="BT18" s="419">
        <f t="shared" si="29"/>
        <v>115</v>
      </c>
      <c r="BU18" s="18">
        <f t="shared" si="30"/>
        <v>3008</v>
      </c>
      <c r="BV18" s="18">
        <f t="shared" si="31"/>
        <v>3123</v>
      </c>
      <c r="BW18" s="120"/>
      <c r="BX18">
        <v>2018</v>
      </c>
      <c r="BY18" s="18">
        <v>45</v>
      </c>
      <c r="BZ18" s="18">
        <v>2249</v>
      </c>
      <c r="CA18" s="18">
        <v>2294</v>
      </c>
      <c r="CB18" s="175">
        <f t="shared" si="65"/>
        <v>1.9616390584132521E-2</v>
      </c>
      <c r="CC18" s="175">
        <f t="shared" si="66"/>
        <v>0.98038360941586744</v>
      </c>
      <c r="CE18" s="18">
        <v>0</v>
      </c>
      <c r="CF18" s="18">
        <v>1000</v>
      </c>
      <c r="CG18" s="18">
        <v>1000</v>
      </c>
      <c r="CH18" s="270">
        <f t="shared" si="75"/>
        <v>0</v>
      </c>
      <c r="CI18" s="18">
        <f t="shared" si="35"/>
        <v>45</v>
      </c>
      <c r="CJ18" s="18">
        <f t="shared" si="36"/>
        <v>1249</v>
      </c>
      <c r="CK18" s="18">
        <f t="shared" si="37"/>
        <v>1294</v>
      </c>
      <c r="CL18" s="120"/>
      <c r="CM18">
        <v>2018</v>
      </c>
      <c r="CN18" s="18">
        <v>0</v>
      </c>
      <c r="CO18" s="18">
        <v>3151</v>
      </c>
      <c r="CP18" s="18">
        <v>3151</v>
      </c>
      <c r="CQ18" s="175">
        <f t="shared" si="73"/>
        <v>0</v>
      </c>
      <c r="CR18" s="175">
        <f t="shared" si="74"/>
        <v>1</v>
      </c>
      <c r="CT18" s="18">
        <v>0</v>
      </c>
      <c r="CU18" s="18">
        <v>549</v>
      </c>
      <c r="CV18" s="18">
        <v>549</v>
      </c>
      <c r="CW18" s="270"/>
      <c r="CX18" s="18">
        <f t="shared" si="3"/>
        <v>0</v>
      </c>
      <c r="CY18" s="18">
        <f t="shared" si="4"/>
        <v>2602</v>
      </c>
      <c r="CZ18" s="18">
        <f t="shared" si="5"/>
        <v>2602</v>
      </c>
      <c r="DA18" s="18"/>
      <c r="DB18">
        <v>2018</v>
      </c>
      <c r="DC18" s="18">
        <f t="shared" si="41"/>
        <v>160</v>
      </c>
      <c r="DD18" s="18">
        <f t="shared" si="42"/>
        <v>6859</v>
      </c>
      <c r="DE18" s="18">
        <f t="shared" si="43"/>
        <v>7019</v>
      </c>
      <c r="DG18">
        <v>2018</v>
      </c>
      <c r="DH18" s="18">
        <f t="shared" si="6"/>
        <v>161</v>
      </c>
      <c r="DI18" s="18">
        <f t="shared" si="7"/>
        <v>9258</v>
      </c>
      <c r="DJ18" s="18">
        <f t="shared" si="8"/>
        <v>9419</v>
      </c>
      <c r="DP18" s="175"/>
      <c r="DQ18" s="175"/>
      <c r="DR18" s="175"/>
      <c r="EF18">
        <v>1994</v>
      </c>
      <c r="EG18">
        <v>4910</v>
      </c>
      <c r="EH18" t="s">
        <v>377</v>
      </c>
      <c r="EI18" s="20">
        <v>5.4</v>
      </c>
      <c r="EJ18">
        <v>0.7</v>
      </c>
      <c r="EK18" s="223">
        <v>0.7</v>
      </c>
      <c r="EL18" s="20">
        <v>0.8</v>
      </c>
      <c r="EM18">
        <v>0.1</v>
      </c>
      <c r="EN18">
        <v>0.8</v>
      </c>
      <c r="EO18">
        <v>0</v>
      </c>
      <c r="EP18">
        <v>0.2</v>
      </c>
      <c r="EQ18">
        <v>0.1</v>
      </c>
      <c r="ER18">
        <v>0</v>
      </c>
      <c r="ES18">
        <v>0</v>
      </c>
      <c r="ET18">
        <v>0</v>
      </c>
      <c r="EU18" s="223">
        <v>0</v>
      </c>
      <c r="EV18" s="20">
        <v>0.1</v>
      </c>
      <c r="EW18">
        <v>0</v>
      </c>
      <c r="EX18">
        <v>0.1</v>
      </c>
      <c r="EY18">
        <v>0.1</v>
      </c>
      <c r="EZ18">
        <v>0</v>
      </c>
      <c r="FA18">
        <v>0</v>
      </c>
      <c r="FB18" s="223">
        <v>0.1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4.9000000000000004</v>
      </c>
      <c r="FJ18">
        <v>38.4</v>
      </c>
      <c r="FK18">
        <v>0.5</v>
      </c>
      <c r="FL18">
        <v>47.1</v>
      </c>
      <c r="FZ18">
        <v>2016</v>
      </c>
      <c r="GA18" s="242">
        <v>9920</v>
      </c>
      <c r="GB18" s="242">
        <v>10496</v>
      </c>
      <c r="GC18" s="175">
        <v>0.82831554878048785</v>
      </c>
      <c r="GD18" s="242">
        <f t="shared" si="67"/>
        <v>8694</v>
      </c>
      <c r="GE18" s="245">
        <f t="shared" si="71"/>
        <v>0.87641129032258069</v>
      </c>
      <c r="GF18" s="242"/>
      <c r="GG18" s="242">
        <v>1315</v>
      </c>
      <c r="GH18" s="241">
        <v>0.82831554878048785</v>
      </c>
      <c r="GI18" s="243">
        <f t="shared" si="68"/>
        <v>1089.2349466463415</v>
      </c>
      <c r="GJ18" s="246">
        <f t="shared" si="72"/>
        <v>0.10980190994418766</v>
      </c>
      <c r="GL18" s="243">
        <f t="shared" si="69"/>
        <v>9783.234946646342</v>
      </c>
      <c r="GM18" s="244">
        <f t="shared" si="70"/>
        <v>0.9862132002667684</v>
      </c>
      <c r="GN18" s="244">
        <v>0.82831554878048785</v>
      </c>
      <c r="GP18">
        <v>2016</v>
      </c>
      <c r="GQ18" s="18">
        <v>7277</v>
      </c>
      <c r="GR18" s="18">
        <v>4883</v>
      </c>
      <c r="GS18" s="18">
        <v>2264</v>
      </c>
      <c r="GT18" s="175">
        <f t="shared" si="52"/>
        <v>0.31111721863405251</v>
      </c>
      <c r="GV18" s="18">
        <v>130</v>
      </c>
      <c r="GW18" s="175">
        <f t="shared" si="53"/>
        <v>1.7864504603545418E-2</v>
      </c>
      <c r="GY18">
        <v>2016</v>
      </c>
      <c r="GZ18">
        <v>5026</v>
      </c>
      <c r="HA18">
        <v>1278</v>
      </c>
      <c r="HB18">
        <v>35</v>
      </c>
      <c r="HC18">
        <v>3583</v>
      </c>
      <c r="HD18" s="175">
        <f t="shared" si="54"/>
        <v>0.71289295662554719</v>
      </c>
      <c r="HF18">
        <v>130</v>
      </c>
      <c r="HG18" s="175">
        <f t="shared" si="55"/>
        <v>2.5865499403103859E-2</v>
      </c>
      <c r="HH18" s="175"/>
      <c r="HI18">
        <v>2016</v>
      </c>
      <c r="HJ18" s="18">
        <f t="shared" si="56"/>
        <v>12303</v>
      </c>
      <c r="HK18" s="18">
        <f t="shared" si="57"/>
        <v>5847</v>
      </c>
      <c r="HL18" s="175">
        <f t="shared" si="58"/>
        <v>0.47524993903925872</v>
      </c>
      <c r="HM18" s="175"/>
      <c r="HN18" s="18">
        <f t="shared" si="59"/>
        <v>260</v>
      </c>
      <c r="HO18" s="175">
        <f t="shared" si="60"/>
        <v>2.1133056977972853E-2</v>
      </c>
      <c r="HQ18">
        <v>2016</v>
      </c>
      <c r="HR18" s="175">
        <v>2.9099609533409804E-2</v>
      </c>
      <c r="HS18" s="175">
        <v>5.2747749313497169E-2</v>
      </c>
      <c r="HT18" s="175"/>
      <c r="HU18" s="18">
        <v>172614</v>
      </c>
      <c r="HV18" s="18">
        <f t="shared" si="61"/>
        <v>5023</v>
      </c>
      <c r="HW18" s="18">
        <f t="shared" si="62"/>
        <v>9105</v>
      </c>
      <c r="HY18" s="18">
        <f t="shared" si="50"/>
        <v>-3</v>
      </c>
      <c r="HZ18" s="18">
        <f t="shared" si="51"/>
        <v>1828</v>
      </c>
    </row>
    <row r="19" spans="1:234" x14ac:dyDescent="0.3">
      <c r="A19" s="140">
        <v>2005</v>
      </c>
      <c r="B19" s="143">
        <v>2379</v>
      </c>
      <c r="C19" s="137">
        <v>9379</v>
      </c>
      <c r="D19" s="137">
        <v>3367</v>
      </c>
      <c r="E19" s="137">
        <v>3512</v>
      </c>
      <c r="F19" s="137">
        <v>7668</v>
      </c>
      <c r="G19" s="137">
        <v>59471</v>
      </c>
      <c r="H19" s="138">
        <v>106900</v>
      </c>
      <c r="I19" s="139">
        <v>192676</v>
      </c>
      <c r="K19" s="18">
        <f t="shared" si="0"/>
        <v>23926</v>
      </c>
      <c r="M19" s="122">
        <v>2005</v>
      </c>
      <c r="N19" s="121">
        <v>9379</v>
      </c>
      <c r="O19" s="121">
        <v>7503</v>
      </c>
      <c r="P19" s="422">
        <v>539</v>
      </c>
      <c r="Q19" s="121">
        <v>3367</v>
      </c>
      <c r="R19" s="121">
        <v>2825</v>
      </c>
      <c r="S19" s="422">
        <v>380</v>
      </c>
      <c r="T19" s="121">
        <v>3512</v>
      </c>
      <c r="U19" s="121">
        <v>2219</v>
      </c>
      <c r="V19" s="418">
        <v>116</v>
      </c>
      <c r="W19" s="121">
        <v>7668</v>
      </c>
      <c r="X19" s="121">
        <v>1830</v>
      </c>
      <c r="Y19" s="121">
        <v>2305</v>
      </c>
      <c r="EF19">
        <v>1995</v>
      </c>
      <c r="EG19">
        <v>4367</v>
      </c>
      <c r="EH19" t="s">
        <v>377</v>
      </c>
      <c r="EI19" s="20">
        <v>4.5</v>
      </c>
      <c r="EJ19">
        <v>0.1</v>
      </c>
      <c r="EK19" s="223">
        <v>0.3</v>
      </c>
      <c r="EL19" s="20">
        <v>1.2</v>
      </c>
      <c r="EM19">
        <v>0</v>
      </c>
      <c r="EN19">
        <v>0.5</v>
      </c>
      <c r="EO19">
        <v>0.1</v>
      </c>
      <c r="EP19">
        <v>0</v>
      </c>
      <c r="EQ19">
        <v>0.3</v>
      </c>
      <c r="ER19">
        <v>0</v>
      </c>
      <c r="ES19">
        <v>0</v>
      </c>
      <c r="ET19">
        <v>0</v>
      </c>
      <c r="EU19" s="223">
        <v>0</v>
      </c>
      <c r="EV19" s="20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 s="223">
        <v>0.3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0.3</v>
      </c>
      <c r="FJ19">
        <v>42.6</v>
      </c>
      <c r="FK19">
        <v>0.1</v>
      </c>
      <c r="FL19">
        <v>49.8</v>
      </c>
      <c r="FZ19">
        <v>2017</v>
      </c>
      <c r="GA19" s="242">
        <v>16991</v>
      </c>
      <c r="GB19" s="242">
        <v>17598</v>
      </c>
      <c r="GC19" s="175">
        <v>0.87457376676517395</v>
      </c>
      <c r="GD19" s="242">
        <f t="shared" si="67"/>
        <v>15390.749147533532</v>
      </c>
      <c r="GE19" s="245">
        <f t="shared" si="71"/>
        <v>0.90581773571499802</v>
      </c>
      <c r="GF19" s="242"/>
      <c r="GG19" s="242">
        <v>1781</v>
      </c>
      <c r="GH19" s="241">
        <v>0.87457376676517395</v>
      </c>
      <c r="GI19" s="243">
        <f t="shared" si="68"/>
        <v>1557.6158786087749</v>
      </c>
      <c r="GJ19" s="246">
        <f t="shared" si="72"/>
        <v>9.1672996210274554E-2</v>
      </c>
      <c r="GL19" s="243">
        <f t="shared" si="69"/>
        <v>16948.365026142306</v>
      </c>
      <c r="GM19" s="244">
        <f t="shared" si="70"/>
        <v>0.9974907319252726</v>
      </c>
      <c r="GN19" s="244">
        <v>0.87457376676517395</v>
      </c>
      <c r="GP19">
        <v>2017</v>
      </c>
      <c r="GQ19" s="18">
        <v>8108</v>
      </c>
      <c r="GR19" s="18">
        <v>6248</v>
      </c>
      <c r="GS19" s="18">
        <v>1609</v>
      </c>
      <c r="GT19" s="175">
        <f t="shared" si="52"/>
        <v>0.19844597927972374</v>
      </c>
      <c r="GV19" s="18">
        <v>251</v>
      </c>
      <c r="GW19" s="175">
        <f t="shared" si="53"/>
        <v>3.0957079427725704E-2</v>
      </c>
      <c r="GY19">
        <v>2017</v>
      </c>
      <c r="GZ19">
        <v>3567</v>
      </c>
      <c r="HA19">
        <v>1518</v>
      </c>
      <c r="HB19">
        <v>57</v>
      </c>
      <c r="HC19">
        <v>1706</v>
      </c>
      <c r="HD19" s="175">
        <f t="shared" si="54"/>
        <v>0.4782730585926549</v>
      </c>
      <c r="HF19">
        <v>286</v>
      </c>
      <c r="HG19" s="175">
        <f t="shared" si="55"/>
        <v>8.0179422483880006E-2</v>
      </c>
      <c r="HH19" s="175"/>
      <c r="HI19">
        <v>2017</v>
      </c>
      <c r="HJ19" s="18">
        <f t="shared" si="56"/>
        <v>11675</v>
      </c>
      <c r="HK19" s="18">
        <f t="shared" si="57"/>
        <v>3315</v>
      </c>
      <c r="HL19" s="175">
        <f t="shared" si="58"/>
        <v>0.28394004282655244</v>
      </c>
      <c r="HM19" s="175"/>
      <c r="HN19" s="18">
        <f t="shared" si="59"/>
        <v>537</v>
      </c>
      <c r="HO19" s="175">
        <f t="shared" si="60"/>
        <v>4.5995717344753745E-2</v>
      </c>
      <c r="HQ19">
        <v>2017</v>
      </c>
      <c r="HR19" s="175">
        <v>3.2708976600572898E-2</v>
      </c>
      <c r="HS19" s="175">
        <v>7.5657527621740259E-2</v>
      </c>
      <c r="HT19" s="175"/>
      <c r="HU19" s="18">
        <v>107524</v>
      </c>
      <c r="HV19" s="18">
        <f t="shared" si="61"/>
        <v>3517.0000000000005</v>
      </c>
      <c r="HW19" s="18">
        <f t="shared" si="62"/>
        <v>8135</v>
      </c>
      <c r="HY19" s="18">
        <f t="shared" si="50"/>
        <v>-49.999999999999545</v>
      </c>
      <c r="HZ19" s="18">
        <f t="shared" si="51"/>
        <v>27</v>
      </c>
    </row>
    <row r="20" spans="1:234" x14ac:dyDescent="0.3">
      <c r="A20" s="140">
        <v>2006</v>
      </c>
      <c r="B20" s="143">
        <v>7002</v>
      </c>
      <c r="C20" s="137">
        <v>6963</v>
      </c>
      <c r="D20" s="137">
        <v>5458</v>
      </c>
      <c r="E20" s="137">
        <v>7301</v>
      </c>
      <c r="F20" s="137">
        <v>4382</v>
      </c>
      <c r="G20" s="137">
        <v>59311</v>
      </c>
      <c r="H20" s="138">
        <v>132583</v>
      </c>
      <c r="I20" s="139">
        <v>223000</v>
      </c>
      <c r="K20" s="18">
        <f t="shared" si="0"/>
        <v>24104</v>
      </c>
      <c r="M20" s="122">
        <v>2006</v>
      </c>
      <c r="N20" s="121">
        <v>6963</v>
      </c>
      <c r="O20" s="121">
        <v>5379</v>
      </c>
      <c r="P20" s="422">
        <v>816</v>
      </c>
      <c r="Q20" s="121">
        <v>5458</v>
      </c>
      <c r="R20" s="121">
        <v>4313</v>
      </c>
      <c r="S20" s="422">
        <v>292</v>
      </c>
      <c r="T20" s="121">
        <v>7301</v>
      </c>
      <c r="U20" s="121">
        <v>4130</v>
      </c>
      <c r="V20" s="418">
        <v>847</v>
      </c>
      <c r="W20" s="121">
        <v>4382</v>
      </c>
      <c r="X20" s="122">
        <v>981</v>
      </c>
      <c r="Y20" s="121">
        <v>2280</v>
      </c>
      <c r="AA20">
        <v>2007</v>
      </c>
      <c r="AB20" t="s">
        <v>433</v>
      </c>
      <c r="AC20" t="s">
        <v>161</v>
      </c>
      <c r="AD20" t="s">
        <v>430</v>
      </c>
      <c r="AE20">
        <v>11</v>
      </c>
      <c r="AF20" s="18">
        <v>3</v>
      </c>
      <c r="AG20" s="18">
        <v>0</v>
      </c>
      <c r="AH20" s="18">
        <v>25</v>
      </c>
      <c r="AI20" s="18">
        <v>28</v>
      </c>
      <c r="AJ20" s="18">
        <f t="shared" ref="AJ20:AJ41" si="76">AF20+AG20</f>
        <v>3</v>
      </c>
      <c r="AK20" s="258">
        <v>2007</v>
      </c>
      <c r="AL20" s="258">
        <f t="shared" ref="AL20:AL25" si="77">AJ20</f>
        <v>3</v>
      </c>
      <c r="AN20" t="s">
        <v>326</v>
      </c>
      <c r="AO20" t="s">
        <v>328</v>
      </c>
      <c r="BA20" t="s">
        <v>334</v>
      </c>
      <c r="BI20" t="s">
        <v>334</v>
      </c>
      <c r="BM20" s="175">
        <f>AVERAGE(BM10:BM18)</f>
        <v>2.0155000129126327E-2</v>
      </c>
      <c r="BN20" s="175">
        <f>AVERAGE(BN10:BN18)</f>
        <v>0.97984499987087381</v>
      </c>
      <c r="BS20" s="271">
        <f>AVERAGE(BS7:BS18)</f>
        <v>8.5912235371496948E-2</v>
      </c>
      <c r="BX20" t="s">
        <v>334</v>
      </c>
      <c r="CB20" s="175">
        <f>AVERAGE(CB10:CB18)</f>
        <v>6.6037733732881437E-2</v>
      </c>
      <c r="CC20" s="175">
        <f>AVERAGE(CC10:CC18)</f>
        <v>0.93396226626711865</v>
      </c>
      <c r="CH20" s="271">
        <f>AVERAGE(CH7:CH18)</f>
        <v>6.3977968129757048E-2</v>
      </c>
      <c r="CM20" t="s">
        <v>334</v>
      </c>
      <c r="CQ20" s="175">
        <f>AVERAGE(CQ10:CQ18)</f>
        <v>1.430170070938426E-2</v>
      </c>
      <c r="CR20" s="175">
        <f>AVERAGE(CR10:CR18)</f>
        <v>0.98569829929061581</v>
      </c>
      <c r="CW20" s="271">
        <f>AVERAGE(CW7:CW18)</f>
        <v>0.18960671849585628</v>
      </c>
      <c r="DB20" s="83" t="s">
        <v>334</v>
      </c>
      <c r="DC20" s="258">
        <f>AVERAGE(DC8:DC17)</f>
        <v>2682.5927418682631</v>
      </c>
      <c r="DD20" s="258">
        <f>AVERAGE(DD8:DD17)</f>
        <v>11464.882840364047</v>
      </c>
      <c r="DE20" s="258"/>
      <c r="DG20" s="83" t="s">
        <v>334</v>
      </c>
      <c r="DP20" s="244">
        <v>9.5642898591993628E-3</v>
      </c>
      <c r="DQ20" s="244">
        <v>2.5177409464198032E-2</v>
      </c>
      <c r="DR20" s="244">
        <v>3.4741699323397393E-2</v>
      </c>
      <c r="DV20" s="258">
        <f>AVERAGE(DV8:DV17)</f>
        <v>8.9763212801714651</v>
      </c>
      <c r="DZ20" s="258">
        <f>AVERAGE(DZ8:DZ17)</f>
        <v>594.65731369628588</v>
      </c>
      <c r="EF20">
        <v>1996</v>
      </c>
      <c r="EG20">
        <v>3645</v>
      </c>
      <c r="EH20" t="s">
        <v>377</v>
      </c>
      <c r="EI20" s="20">
        <v>2.2000000000000002</v>
      </c>
      <c r="EJ20">
        <v>0</v>
      </c>
      <c r="EK20" s="223">
        <v>0</v>
      </c>
      <c r="EL20" s="20">
        <v>0.2</v>
      </c>
      <c r="EM20">
        <v>0</v>
      </c>
      <c r="EN20">
        <v>0.1</v>
      </c>
      <c r="EO20">
        <v>0</v>
      </c>
      <c r="EP20">
        <v>0</v>
      </c>
      <c r="EQ20">
        <v>0.1</v>
      </c>
      <c r="ER20">
        <v>0</v>
      </c>
      <c r="ES20">
        <v>0</v>
      </c>
      <c r="ET20">
        <v>0</v>
      </c>
      <c r="EU20" s="223">
        <v>0</v>
      </c>
      <c r="EV20" s="20">
        <v>0</v>
      </c>
      <c r="EW20">
        <v>0</v>
      </c>
      <c r="EX20">
        <v>0.1</v>
      </c>
      <c r="EY20">
        <v>0</v>
      </c>
      <c r="EZ20">
        <v>0</v>
      </c>
      <c r="FA20">
        <v>0</v>
      </c>
      <c r="FB20" s="223">
        <v>0.1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0.8</v>
      </c>
      <c r="FJ20">
        <v>33.9</v>
      </c>
      <c r="FK20">
        <v>0.4</v>
      </c>
      <c r="FL20">
        <v>62.1</v>
      </c>
      <c r="FZ20">
        <v>2018</v>
      </c>
      <c r="GA20" s="242">
        <v>10805</v>
      </c>
      <c r="GB20" s="242">
        <v>10981</v>
      </c>
      <c r="GD20" s="242"/>
      <c r="GE20" s="242"/>
      <c r="GG20" s="242">
        <v>918</v>
      </c>
      <c r="GH20" s="241"/>
      <c r="GI20" s="243"/>
      <c r="GJ20" s="243"/>
      <c r="GL20" s="243"/>
      <c r="GP20">
        <v>2018</v>
      </c>
      <c r="GQ20" s="18">
        <v>7352</v>
      </c>
      <c r="GR20" s="18">
        <v>3918</v>
      </c>
      <c r="GS20" s="18">
        <v>1800</v>
      </c>
      <c r="GT20" s="175">
        <f t="shared" si="52"/>
        <v>0.24483133841131666</v>
      </c>
      <c r="GV20" s="18">
        <v>1634</v>
      </c>
      <c r="GW20" s="175">
        <f t="shared" si="53"/>
        <v>0.22225244831338412</v>
      </c>
      <c r="GY20">
        <v>2018</v>
      </c>
      <c r="GZ20">
        <v>3109</v>
      </c>
      <c r="HA20">
        <v>987</v>
      </c>
      <c r="HB20">
        <v>52</v>
      </c>
      <c r="HC20">
        <v>2050</v>
      </c>
      <c r="HD20" s="175">
        <f t="shared" si="54"/>
        <v>0.65937600514634931</v>
      </c>
      <c r="HF20">
        <v>20</v>
      </c>
      <c r="HG20" s="175">
        <f t="shared" si="55"/>
        <v>6.4329366355741395E-3</v>
      </c>
      <c r="HH20" s="175"/>
      <c r="HI20">
        <v>2018</v>
      </c>
      <c r="HJ20" s="18">
        <f t="shared" si="56"/>
        <v>10461</v>
      </c>
      <c r="HK20" s="18">
        <f t="shared" si="57"/>
        <v>3850</v>
      </c>
      <c r="HL20" s="175">
        <f t="shared" si="58"/>
        <v>0.36803364879074657</v>
      </c>
      <c r="HM20" s="175"/>
      <c r="HN20" s="18">
        <f t="shared" si="59"/>
        <v>1654</v>
      </c>
      <c r="HO20" s="175">
        <f t="shared" si="60"/>
        <v>0.15811107924672593</v>
      </c>
      <c r="HQ20">
        <v>2018</v>
      </c>
      <c r="HR20" s="175">
        <v>2.8701004211208293E-2</v>
      </c>
      <c r="HS20" s="175">
        <v>6.7351566476930913E-2</v>
      </c>
      <c r="HT20" s="175"/>
      <c r="HU20" s="18">
        <v>108045</v>
      </c>
      <c r="HV20" s="18">
        <f t="shared" si="61"/>
        <v>3101</v>
      </c>
      <c r="HW20" s="18">
        <f t="shared" si="62"/>
        <v>7277.0000000000009</v>
      </c>
      <c r="HY20" s="18">
        <f t="shared" si="50"/>
        <v>-8</v>
      </c>
      <c r="HZ20" s="18">
        <f t="shared" si="51"/>
        <v>-74.999999999999091</v>
      </c>
    </row>
    <row r="21" spans="1:234" x14ac:dyDescent="0.3">
      <c r="A21" s="140">
        <v>2007</v>
      </c>
      <c r="B21" s="143">
        <v>6419</v>
      </c>
      <c r="C21" s="137">
        <v>3975</v>
      </c>
      <c r="D21" s="137">
        <v>8030</v>
      </c>
      <c r="E21" s="137">
        <v>7596</v>
      </c>
      <c r="F21" s="137">
        <v>2813</v>
      </c>
      <c r="G21" s="137">
        <v>39963</v>
      </c>
      <c r="H21" s="138">
        <v>86247</v>
      </c>
      <c r="I21" s="139">
        <v>155043</v>
      </c>
      <c r="K21" s="18">
        <f t="shared" ref="K21:K31" si="78">DJ7</f>
        <v>20992.15053763441</v>
      </c>
      <c r="M21" s="122">
        <v>2007</v>
      </c>
      <c r="N21" s="121">
        <v>3975</v>
      </c>
      <c r="O21" s="121">
        <v>3089</v>
      </c>
      <c r="P21" s="422">
        <v>144</v>
      </c>
      <c r="Q21" s="121">
        <v>8030</v>
      </c>
      <c r="R21" s="121">
        <v>4748</v>
      </c>
      <c r="S21" s="423">
        <v>2146</v>
      </c>
      <c r="T21" s="121">
        <v>7596</v>
      </c>
      <c r="U21" s="121">
        <v>3897</v>
      </c>
      <c r="V21" s="418">
        <v>264</v>
      </c>
      <c r="W21" s="121">
        <v>2813</v>
      </c>
      <c r="X21" s="122">
        <v>28</v>
      </c>
      <c r="Y21" s="121">
        <v>1418</v>
      </c>
      <c r="AA21">
        <v>2008</v>
      </c>
      <c r="AB21" t="s">
        <v>433</v>
      </c>
      <c r="AC21" t="s">
        <v>161</v>
      </c>
      <c r="AD21" t="s">
        <v>430</v>
      </c>
      <c r="AE21">
        <v>11</v>
      </c>
      <c r="AF21" s="18">
        <v>72</v>
      </c>
      <c r="AG21" s="18">
        <v>64</v>
      </c>
      <c r="AH21" s="18">
        <v>27</v>
      </c>
      <c r="AI21" s="18">
        <v>163</v>
      </c>
      <c r="AJ21" s="18">
        <f t="shared" si="76"/>
        <v>136</v>
      </c>
      <c r="AK21" s="258">
        <v>2008</v>
      </c>
      <c r="AL21" s="258">
        <f t="shared" si="77"/>
        <v>136</v>
      </c>
      <c r="EF21">
        <v>1997</v>
      </c>
      <c r="EG21">
        <v>2218</v>
      </c>
      <c r="EH21" t="s">
        <v>377</v>
      </c>
      <c r="EI21" s="20">
        <v>4.3</v>
      </c>
      <c r="EJ21">
        <v>0</v>
      </c>
      <c r="EK21" s="223">
        <v>0</v>
      </c>
      <c r="EL21" s="20">
        <v>0.3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 s="223">
        <v>0</v>
      </c>
      <c r="EV21" s="20">
        <v>0.1</v>
      </c>
      <c r="EW21">
        <v>0</v>
      </c>
      <c r="EX21">
        <v>0.2</v>
      </c>
      <c r="EY21">
        <v>0</v>
      </c>
      <c r="EZ21">
        <v>0</v>
      </c>
      <c r="FA21">
        <v>0</v>
      </c>
      <c r="FB21" s="223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0.8</v>
      </c>
      <c r="FJ21">
        <v>15.7</v>
      </c>
      <c r="FK21">
        <v>0.1</v>
      </c>
      <c r="FL21">
        <v>78.400000000000006</v>
      </c>
    </row>
    <row r="22" spans="1:234" x14ac:dyDescent="0.3">
      <c r="A22" s="140">
        <v>2008</v>
      </c>
      <c r="B22" s="143">
        <v>3307</v>
      </c>
      <c r="C22" s="137">
        <v>2986</v>
      </c>
      <c r="D22" s="137">
        <v>1623</v>
      </c>
      <c r="E22" s="137">
        <v>2215</v>
      </c>
      <c r="F22" s="137">
        <v>5994</v>
      </c>
      <c r="G22" s="137">
        <v>26615</v>
      </c>
      <c r="H22" s="138">
        <v>178629</v>
      </c>
      <c r="I22" s="139">
        <v>221369</v>
      </c>
      <c r="K22" s="18">
        <f t="shared" si="78"/>
        <v>11899.272727272728</v>
      </c>
      <c r="M22" s="122">
        <v>2008</v>
      </c>
      <c r="N22" s="121">
        <v>2986</v>
      </c>
      <c r="O22" s="121">
        <v>1895</v>
      </c>
      <c r="P22" s="422">
        <v>484</v>
      </c>
      <c r="Q22" s="121">
        <v>1623</v>
      </c>
      <c r="R22" s="122">
        <v>940</v>
      </c>
      <c r="S22" s="422">
        <v>362</v>
      </c>
      <c r="T22" s="121">
        <v>2215</v>
      </c>
      <c r="U22" s="121">
        <v>1386</v>
      </c>
      <c r="V22" s="418">
        <v>25</v>
      </c>
      <c r="W22" s="121">
        <v>5994</v>
      </c>
      <c r="X22" s="122">
        <v>163</v>
      </c>
      <c r="Y22" s="121">
        <v>6610</v>
      </c>
      <c r="AA22">
        <v>2009</v>
      </c>
      <c r="AB22" t="s">
        <v>433</v>
      </c>
      <c r="AC22" t="s">
        <v>161</v>
      </c>
      <c r="AD22" t="s">
        <v>430</v>
      </c>
      <c r="AE22">
        <v>11</v>
      </c>
      <c r="AF22" s="18">
        <v>111</v>
      </c>
      <c r="AG22" s="18">
        <v>92</v>
      </c>
      <c r="AH22" s="18">
        <v>58</v>
      </c>
      <c r="AI22" s="18">
        <v>261</v>
      </c>
      <c r="AJ22" s="18">
        <f t="shared" si="76"/>
        <v>203</v>
      </c>
      <c r="AK22" s="258">
        <v>2009</v>
      </c>
      <c r="AL22" s="258">
        <f t="shared" si="77"/>
        <v>203</v>
      </c>
      <c r="BA22" t="s">
        <v>451</v>
      </c>
      <c r="BI22" t="s">
        <v>343</v>
      </c>
      <c r="BX22" t="s">
        <v>343</v>
      </c>
      <c r="CM22" t="s">
        <v>455</v>
      </c>
      <c r="DG22" t="s">
        <v>351</v>
      </c>
      <c r="EF22">
        <v>1998</v>
      </c>
      <c r="EG22">
        <v>1575</v>
      </c>
      <c r="EH22" t="s">
        <v>377</v>
      </c>
      <c r="EI22" s="20">
        <v>5.0999999999999996</v>
      </c>
      <c r="EJ22">
        <v>0.2</v>
      </c>
      <c r="EK22" s="223">
        <v>0.3</v>
      </c>
      <c r="EL22" s="20">
        <v>0</v>
      </c>
      <c r="EM22">
        <v>0</v>
      </c>
      <c r="EN22">
        <v>0.1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 s="223">
        <v>0</v>
      </c>
      <c r="EV22" s="20">
        <v>0.1</v>
      </c>
      <c r="EW22">
        <v>0</v>
      </c>
      <c r="EX22">
        <v>0</v>
      </c>
      <c r="EY22">
        <v>0</v>
      </c>
      <c r="EZ22">
        <v>0</v>
      </c>
      <c r="FA22">
        <v>0</v>
      </c>
      <c r="FB22" s="223">
        <v>0.4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0.4</v>
      </c>
      <c r="FJ22">
        <v>16.600000000000001</v>
      </c>
      <c r="FK22">
        <v>0</v>
      </c>
      <c r="FL22">
        <v>77</v>
      </c>
      <c r="FZ22" t="s">
        <v>334</v>
      </c>
      <c r="GC22" s="244"/>
      <c r="GD22" s="243">
        <f>AVERAGE(GD12:GD19)</f>
        <v>10093.491519314239</v>
      </c>
      <c r="GE22" s="246">
        <f>AVERAGE(GE12:GE19)</f>
        <v>0.91080138542826827</v>
      </c>
      <c r="GH22" s="241"/>
      <c r="GI22" s="243">
        <f>AVERAGE(GI12:GI19)</f>
        <v>952.10827204267412</v>
      </c>
      <c r="GJ22" s="246">
        <f>AVERAGE(GJ12:GJ19)</f>
        <v>7.8004371643170978E-2</v>
      </c>
      <c r="GM22" s="244">
        <f>AVERAGE(GM12:GM19)</f>
        <v>0.98880575707143925</v>
      </c>
      <c r="GP22" t="s">
        <v>334</v>
      </c>
      <c r="GY22" t="s">
        <v>334</v>
      </c>
      <c r="HD22" s="175"/>
      <c r="HG22" s="175"/>
      <c r="HH22" s="257"/>
      <c r="HI22" s="83" t="s">
        <v>334</v>
      </c>
      <c r="HJ22" s="257"/>
      <c r="HK22" s="258">
        <f>AVERAGE(HK11:HK20)</f>
        <v>6179.2</v>
      </c>
      <c r="HL22" s="257">
        <f>AVERAGE(HL11:HL20)</f>
        <v>0.34568980180459491</v>
      </c>
      <c r="HM22" s="257"/>
      <c r="HN22" s="258">
        <f>AVERAGE(HN11:HN20)</f>
        <v>4244.8999999999996</v>
      </c>
      <c r="HO22" s="257">
        <f>AVERAGE(HO11:HO20)</f>
        <v>0.19665655093653073</v>
      </c>
      <c r="HQ22" s="83" t="s">
        <v>334</v>
      </c>
    </row>
    <row r="23" spans="1:234" x14ac:dyDescent="0.3">
      <c r="A23" s="140">
        <v>2009</v>
      </c>
      <c r="B23" s="143">
        <v>3115</v>
      </c>
      <c r="C23" s="137">
        <v>6034</v>
      </c>
      <c r="D23" s="142">
        <v>404</v>
      </c>
      <c r="E23" s="137">
        <v>1493</v>
      </c>
      <c r="F23" s="137">
        <v>2429</v>
      </c>
      <c r="G23" s="137">
        <v>35432</v>
      </c>
      <c r="H23" s="138">
        <v>169296</v>
      </c>
      <c r="I23" s="139">
        <v>218203</v>
      </c>
      <c r="K23" s="18">
        <f t="shared" si="78"/>
        <v>9975.2765957446809</v>
      </c>
      <c r="M23" s="122">
        <v>2009</v>
      </c>
      <c r="N23" s="121">
        <v>6034</v>
      </c>
      <c r="O23" s="121">
        <v>3604</v>
      </c>
      <c r="P23" s="422">
        <v>819</v>
      </c>
      <c r="Q23" s="122">
        <v>404</v>
      </c>
      <c r="R23" s="122">
        <v>170</v>
      </c>
      <c r="S23" s="422">
        <v>26</v>
      </c>
      <c r="T23" s="121">
        <v>1493</v>
      </c>
      <c r="U23" s="121">
        <v>1068</v>
      </c>
      <c r="V23" s="418">
        <v>58</v>
      </c>
      <c r="W23" s="121">
        <v>2429</v>
      </c>
      <c r="X23" s="122">
        <v>261</v>
      </c>
      <c r="Y23" s="121">
        <v>2623</v>
      </c>
      <c r="AA23">
        <v>2010</v>
      </c>
      <c r="AB23" t="s">
        <v>433</v>
      </c>
      <c r="AC23" t="s">
        <v>161</v>
      </c>
      <c r="AD23" t="s">
        <v>430</v>
      </c>
      <c r="AE23">
        <v>11</v>
      </c>
      <c r="AF23" s="18">
        <v>364</v>
      </c>
      <c r="AG23" s="18">
        <v>171</v>
      </c>
      <c r="AH23" s="18">
        <v>39</v>
      </c>
      <c r="AI23" s="18">
        <v>574</v>
      </c>
      <c r="AJ23" s="18">
        <f t="shared" si="76"/>
        <v>535</v>
      </c>
      <c r="AK23" s="258">
        <v>2010</v>
      </c>
      <c r="AL23" s="258">
        <f t="shared" si="77"/>
        <v>535</v>
      </c>
      <c r="BI23" t="s">
        <v>454</v>
      </c>
      <c r="CM23" t="s">
        <v>344</v>
      </c>
      <c r="DG23" t="s">
        <v>354</v>
      </c>
      <c r="EF23">
        <v>1999</v>
      </c>
      <c r="EG23">
        <v>1770</v>
      </c>
      <c r="EH23" t="s">
        <v>377</v>
      </c>
      <c r="EI23" s="20">
        <v>7.5</v>
      </c>
      <c r="EJ23">
        <v>0</v>
      </c>
      <c r="EK23" s="223">
        <v>0.7</v>
      </c>
      <c r="EL23" s="20">
        <v>0</v>
      </c>
      <c r="EM23">
        <v>0</v>
      </c>
      <c r="EN23">
        <v>0</v>
      </c>
      <c r="EO23">
        <v>0.7</v>
      </c>
      <c r="EP23">
        <v>0</v>
      </c>
      <c r="EQ23">
        <v>0</v>
      </c>
      <c r="ER23">
        <v>0</v>
      </c>
      <c r="ES23">
        <v>0</v>
      </c>
      <c r="ET23">
        <v>0</v>
      </c>
      <c r="EU23" s="223">
        <v>0</v>
      </c>
      <c r="EV23" s="20">
        <v>0</v>
      </c>
      <c r="EW23">
        <v>0</v>
      </c>
      <c r="EX23">
        <v>0</v>
      </c>
      <c r="EY23">
        <v>0.1</v>
      </c>
      <c r="EZ23">
        <v>0</v>
      </c>
      <c r="FA23">
        <v>0</v>
      </c>
      <c r="FB23" s="2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0.8</v>
      </c>
      <c r="FJ23">
        <v>14.8</v>
      </c>
      <c r="FK23">
        <v>0.2</v>
      </c>
      <c r="FL23">
        <v>75.2</v>
      </c>
      <c r="GD23" s="243"/>
      <c r="GE23" s="243"/>
    </row>
    <row r="24" spans="1:234" x14ac:dyDescent="0.3">
      <c r="A24" s="140">
        <v>2010</v>
      </c>
      <c r="B24" s="143">
        <v>23138</v>
      </c>
      <c r="C24" s="137">
        <v>8585</v>
      </c>
      <c r="D24" s="142">
        <v>977</v>
      </c>
      <c r="E24" s="137">
        <v>2347</v>
      </c>
      <c r="F24" s="137">
        <v>7652</v>
      </c>
      <c r="G24" s="137">
        <v>107675</v>
      </c>
      <c r="H24" s="138">
        <v>315345</v>
      </c>
      <c r="I24" s="139">
        <v>465719</v>
      </c>
      <c r="K24" s="18">
        <f t="shared" si="78"/>
        <v>18521.82608695652</v>
      </c>
      <c r="M24" s="122">
        <v>2010</v>
      </c>
      <c r="N24" s="121">
        <v>8585</v>
      </c>
      <c r="O24" s="121">
        <v>5920</v>
      </c>
      <c r="P24" s="422">
        <v>286</v>
      </c>
      <c r="Q24" s="122">
        <v>977</v>
      </c>
      <c r="R24" s="122">
        <v>467</v>
      </c>
      <c r="S24" s="422"/>
      <c r="T24" s="121">
        <v>2347</v>
      </c>
      <c r="U24" s="121">
        <v>1896</v>
      </c>
      <c r="V24" s="418">
        <v>157</v>
      </c>
      <c r="W24" s="121">
        <v>7652</v>
      </c>
      <c r="X24" s="122">
        <v>652</v>
      </c>
      <c r="Y24" s="121">
        <v>8215</v>
      </c>
      <c r="AA24">
        <v>2011</v>
      </c>
      <c r="AB24" t="s">
        <v>433</v>
      </c>
      <c r="AC24" t="s">
        <v>161</v>
      </c>
      <c r="AD24" t="s">
        <v>430</v>
      </c>
      <c r="AE24">
        <v>11</v>
      </c>
      <c r="AF24" s="18">
        <v>216</v>
      </c>
      <c r="AG24" s="18">
        <v>91</v>
      </c>
      <c r="AH24" s="18">
        <v>55</v>
      </c>
      <c r="AI24" s="18">
        <v>362</v>
      </c>
      <c r="AJ24" s="18">
        <f t="shared" si="76"/>
        <v>307</v>
      </c>
      <c r="AK24" s="258">
        <v>2011</v>
      </c>
      <c r="AL24" s="258">
        <f t="shared" si="77"/>
        <v>307</v>
      </c>
      <c r="EF24">
        <v>2000</v>
      </c>
      <c r="EG24">
        <v>6525</v>
      </c>
      <c r="EH24" t="s">
        <v>377</v>
      </c>
      <c r="EI24" s="20">
        <v>11.8</v>
      </c>
      <c r="EJ24">
        <v>0.1</v>
      </c>
      <c r="EK24" s="223">
        <v>0.8</v>
      </c>
      <c r="EL24" s="20">
        <v>0.2</v>
      </c>
      <c r="EM24">
        <v>0.4</v>
      </c>
      <c r="EN24">
        <v>0.4</v>
      </c>
      <c r="EO24">
        <v>0.1</v>
      </c>
      <c r="EP24">
        <v>0</v>
      </c>
      <c r="EQ24">
        <v>0</v>
      </c>
      <c r="ER24">
        <v>0</v>
      </c>
      <c r="ES24">
        <v>0</v>
      </c>
      <c r="ET24">
        <v>0</v>
      </c>
      <c r="EU24" s="223">
        <v>0.2</v>
      </c>
      <c r="EV24" s="20">
        <v>0.1</v>
      </c>
      <c r="EW24">
        <v>0.2</v>
      </c>
      <c r="EX24">
        <v>0.1</v>
      </c>
      <c r="EY24">
        <v>0.1</v>
      </c>
      <c r="EZ24">
        <v>0</v>
      </c>
      <c r="FA24">
        <v>0</v>
      </c>
      <c r="FB24" s="223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2.2000000000000002</v>
      </c>
      <c r="FJ24">
        <v>29.2</v>
      </c>
      <c r="FK24">
        <v>0</v>
      </c>
      <c r="FL24">
        <v>54.2</v>
      </c>
    </row>
    <row r="25" spans="1:234" x14ac:dyDescent="0.3">
      <c r="A25" s="140">
        <v>2011</v>
      </c>
      <c r="B25" s="143">
        <v>8941</v>
      </c>
      <c r="C25" s="137">
        <v>5308</v>
      </c>
      <c r="D25" s="142">
        <v>776</v>
      </c>
      <c r="E25" s="137">
        <v>1310</v>
      </c>
      <c r="F25" s="137">
        <v>5721</v>
      </c>
      <c r="G25" s="137">
        <v>76549</v>
      </c>
      <c r="H25" s="138">
        <v>221158</v>
      </c>
      <c r="I25" s="139">
        <v>319763</v>
      </c>
      <c r="K25" s="18">
        <f t="shared" si="78"/>
        <v>11256.848484848486</v>
      </c>
      <c r="L25" t="s">
        <v>319</v>
      </c>
      <c r="M25" s="122">
        <v>2011</v>
      </c>
      <c r="N25" s="121">
        <v>5308</v>
      </c>
      <c r="O25" s="121">
        <v>1992</v>
      </c>
      <c r="P25" s="422">
        <v>191</v>
      </c>
      <c r="Q25" s="122">
        <v>776</v>
      </c>
      <c r="R25" s="122">
        <v>275</v>
      </c>
      <c r="S25" s="422">
        <v>200</v>
      </c>
      <c r="T25" s="121">
        <v>1310</v>
      </c>
      <c r="U25" s="121">
        <v>1101</v>
      </c>
      <c r="V25" s="418">
        <v>90</v>
      </c>
      <c r="W25" s="121">
        <v>5721</v>
      </c>
      <c r="X25" s="122">
        <v>635</v>
      </c>
      <c r="Y25" s="121">
        <v>2640</v>
      </c>
      <c r="Z25" s="200">
        <v>2394</v>
      </c>
      <c r="AA25">
        <v>2012</v>
      </c>
      <c r="AB25" t="s">
        <v>431</v>
      </c>
      <c r="AC25" t="s">
        <v>161</v>
      </c>
      <c r="AD25" t="s">
        <v>430</v>
      </c>
      <c r="AE25">
        <v>11</v>
      </c>
      <c r="AF25" s="18">
        <v>87</v>
      </c>
      <c r="AG25" s="18">
        <v>104</v>
      </c>
      <c r="AH25" s="18">
        <v>1</v>
      </c>
      <c r="AI25" s="18">
        <v>192</v>
      </c>
      <c r="AJ25" s="18">
        <f t="shared" si="76"/>
        <v>191</v>
      </c>
      <c r="AK25" s="258">
        <v>2012</v>
      </c>
      <c r="AL25" s="258">
        <f t="shared" si="77"/>
        <v>191</v>
      </c>
      <c r="EF25">
        <v>2001</v>
      </c>
      <c r="EG25">
        <v>33958</v>
      </c>
      <c r="EH25" t="s">
        <v>377</v>
      </c>
      <c r="EI25" s="20">
        <v>1.6</v>
      </c>
      <c r="EJ25">
        <v>0</v>
      </c>
      <c r="EK25" s="223">
        <v>0.1</v>
      </c>
      <c r="EL25" s="20">
        <v>0.1</v>
      </c>
      <c r="EM25">
        <v>0.1</v>
      </c>
      <c r="EN25">
        <v>0.5</v>
      </c>
      <c r="EO25">
        <v>0.1</v>
      </c>
      <c r="EP25">
        <v>0</v>
      </c>
      <c r="EQ25">
        <v>0</v>
      </c>
      <c r="ER25">
        <v>0</v>
      </c>
      <c r="ES25">
        <v>0</v>
      </c>
      <c r="ET25">
        <v>0</v>
      </c>
      <c r="EU25" s="223">
        <v>0</v>
      </c>
      <c r="EV25" s="20">
        <v>0.2</v>
      </c>
      <c r="EW25">
        <v>0</v>
      </c>
      <c r="EX25">
        <v>0.2</v>
      </c>
      <c r="EY25">
        <v>0</v>
      </c>
      <c r="EZ25">
        <v>0</v>
      </c>
      <c r="FA25">
        <v>0</v>
      </c>
      <c r="FB25" s="223">
        <v>0.2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3.5</v>
      </c>
      <c r="FJ25">
        <v>23.9</v>
      </c>
      <c r="FK25">
        <v>0</v>
      </c>
      <c r="FL25">
        <v>69.7</v>
      </c>
    </row>
    <row r="26" spans="1:234" x14ac:dyDescent="0.3">
      <c r="A26" s="140">
        <v>2012</v>
      </c>
      <c r="B26" s="143">
        <v>9139</v>
      </c>
      <c r="C26" s="137">
        <v>12144</v>
      </c>
      <c r="D26" s="142">
        <v>889</v>
      </c>
      <c r="E26" s="137">
        <v>1895</v>
      </c>
      <c r="F26" s="137">
        <v>5038</v>
      </c>
      <c r="G26" s="137">
        <v>63037</v>
      </c>
      <c r="H26" s="138">
        <v>203090</v>
      </c>
      <c r="I26" s="139">
        <v>295232</v>
      </c>
      <c r="K26" s="18">
        <f t="shared" si="78"/>
        <v>19227.351984210523</v>
      </c>
      <c r="M26" s="122">
        <v>2012</v>
      </c>
      <c r="N26" s="121">
        <v>12144</v>
      </c>
      <c r="O26" s="121">
        <v>5589</v>
      </c>
      <c r="P26" s="422">
        <v>321</v>
      </c>
      <c r="Q26" s="122">
        <v>889</v>
      </c>
      <c r="R26" s="122">
        <v>285</v>
      </c>
      <c r="S26" s="422">
        <v>28</v>
      </c>
      <c r="T26" s="121">
        <v>1895</v>
      </c>
      <c r="U26" s="121">
        <v>1294</v>
      </c>
      <c r="V26" s="418">
        <v>190</v>
      </c>
      <c r="W26" s="121">
        <v>5038</v>
      </c>
      <c r="X26" s="122">
        <v>424</v>
      </c>
      <c r="Y26" s="121">
        <v>2735</v>
      </c>
      <c r="AA26">
        <v>2013</v>
      </c>
      <c r="AB26" t="s">
        <v>433</v>
      </c>
      <c r="AC26" t="s">
        <v>161</v>
      </c>
      <c r="AD26" t="s">
        <v>430</v>
      </c>
      <c r="AE26">
        <v>11</v>
      </c>
      <c r="AF26" s="18">
        <v>313</v>
      </c>
      <c r="AG26" s="18">
        <v>233</v>
      </c>
      <c r="AH26" s="18">
        <v>26</v>
      </c>
      <c r="AI26" s="18">
        <v>572</v>
      </c>
      <c r="AJ26" s="18">
        <f t="shared" si="76"/>
        <v>546</v>
      </c>
      <c r="DH26" s="395" t="s">
        <v>357</v>
      </c>
      <c r="DI26" s="395"/>
      <c r="DJ26" s="395"/>
      <c r="DL26" s="395" t="s">
        <v>356</v>
      </c>
      <c r="DM26" s="395"/>
      <c r="DN26" s="395"/>
      <c r="DP26" s="395" t="s">
        <v>353</v>
      </c>
      <c r="DQ26" s="395"/>
      <c r="DR26" s="395"/>
      <c r="DT26" s="395" t="s">
        <v>355</v>
      </c>
      <c r="DU26" s="395"/>
      <c r="DV26" s="395"/>
      <c r="DX26" s="395" t="s">
        <v>352</v>
      </c>
      <c r="DY26" s="395"/>
      <c r="DZ26" s="395"/>
      <c r="EC26" s="396"/>
      <c r="ED26" s="396"/>
      <c r="EF26">
        <v>2002</v>
      </c>
      <c r="EG26">
        <v>19159</v>
      </c>
      <c r="EH26" t="s">
        <v>377</v>
      </c>
      <c r="EI26" s="20">
        <v>2.2000000000000002</v>
      </c>
      <c r="EJ26">
        <v>0.1</v>
      </c>
      <c r="EK26" s="223">
        <v>0.1</v>
      </c>
      <c r="EL26" s="20">
        <v>1.1000000000000001</v>
      </c>
      <c r="EM26">
        <v>0.1</v>
      </c>
      <c r="EN26">
        <v>0.6</v>
      </c>
      <c r="EO26">
        <v>0.1</v>
      </c>
      <c r="EP26">
        <v>0</v>
      </c>
      <c r="EQ26">
        <v>0</v>
      </c>
      <c r="ER26">
        <v>0</v>
      </c>
      <c r="ES26">
        <v>0</v>
      </c>
      <c r="ET26">
        <v>0</v>
      </c>
      <c r="EU26" s="223">
        <v>0</v>
      </c>
      <c r="EV26" s="20">
        <v>0.8</v>
      </c>
      <c r="EW26">
        <v>0.3</v>
      </c>
      <c r="EX26">
        <v>0.2</v>
      </c>
      <c r="EY26">
        <v>0</v>
      </c>
      <c r="EZ26">
        <v>0</v>
      </c>
      <c r="FA26">
        <v>0</v>
      </c>
      <c r="FB26" s="223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16</v>
      </c>
      <c r="FJ26">
        <v>21</v>
      </c>
      <c r="FK26">
        <v>0</v>
      </c>
      <c r="FL26">
        <v>57.6</v>
      </c>
    </row>
    <row r="27" spans="1:234" x14ac:dyDescent="0.3">
      <c r="A27" s="140">
        <v>2013</v>
      </c>
      <c r="B27" s="143">
        <v>5408</v>
      </c>
      <c r="C27" s="137">
        <v>8157</v>
      </c>
      <c r="D27" s="137">
        <v>1014</v>
      </c>
      <c r="E27" s="137">
        <v>1570</v>
      </c>
      <c r="F27" s="137">
        <v>5700</v>
      </c>
      <c r="G27" s="137">
        <v>44880</v>
      </c>
      <c r="H27" s="138">
        <v>123136</v>
      </c>
      <c r="I27" s="139">
        <v>189865</v>
      </c>
      <c r="K27" s="18">
        <f t="shared" si="78"/>
        <v>13711.395604395604</v>
      </c>
      <c r="M27" s="122">
        <v>2013</v>
      </c>
      <c r="N27" s="121">
        <v>8157</v>
      </c>
      <c r="O27" s="121">
        <v>3762</v>
      </c>
      <c r="P27" s="422">
        <v>409</v>
      </c>
      <c r="Q27" s="121">
        <v>1014</v>
      </c>
      <c r="R27" s="122">
        <v>732</v>
      </c>
      <c r="S27" s="422">
        <v>158</v>
      </c>
      <c r="T27" s="121">
        <v>1570</v>
      </c>
      <c r="U27" s="121">
        <v>1785</v>
      </c>
      <c r="V27" s="418">
        <v>60</v>
      </c>
      <c r="W27" s="121">
        <v>5700</v>
      </c>
      <c r="X27" s="122">
        <v>730</v>
      </c>
      <c r="Y27" s="121">
        <v>2413</v>
      </c>
      <c r="AA27">
        <v>2013</v>
      </c>
      <c r="AB27" t="s">
        <v>432</v>
      </c>
      <c r="AC27" t="s">
        <v>161</v>
      </c>
      <c r="AD27" t="s">
        <v>430</v>
      </c>
      <c r="AE27">
        <v>11</v>
      </c>
      <c r="AF27" s="18">
        <v>21</v>
      </c>
      <c r="AG27" s="18">
        <v>23</v>
      </c>
      <c r="AH27" s="18">
        <v>0</v>
      </c>
      <c r="AI27" s="18">
        <v>44</v>
      </c>
      <c r="AJ27" s="18">
        <f t="shared" si="76"/>
        <v>44</v>
      </c>
      <c r="DG27" s="201" t="s">
        <v>4</v>
      </c>
      <c r="DH27" s="204" t="s">
        <v>211</v>
      </c>
      <c r="DI27" s="204" t="s">
        <v>14</v>
      </c>
      <c r="DJ27" s="204" t="s">
        <v>13</v>
      </c>
      <c r="DK27" s="30"/>
      <c r="DL27" s="163" t="s">
        <v>205</v>
      </c>
      <c r="DM27" s="163" t="s">
        <v>206</v>
      </c>
      <c r="DN27" s="163" t="s">
        <v>453</v>
      </c>
      <c r="DO27" s="30"/>
      <c r="DP27" s="163" t="s">
        <v>205</v>
      </c>
      <c r="DQ27" s="163" t="s">
        <v>206</v>
      </c>
      <c r="DR27" s="163" t="s">
        <v>453</v>
      </c>
      <c r="DS27" s="30"/>
      <c r="DT27" s="163" t="s">
        <v>205</v>
      </c>
      <c r="DU27" s="163" t="s">
        <v>206</v>
      </c>
      <c r="DV27" s="163" t="s">
        <v>453</v>
      </c>
      <c r="DW27" s="30"/>
      <c r="DX27" s="163" t="s">
        <v>205</v>
      </c>
      <c r="DY27" s="163" t="s">
        <v>206</v>
      </c>
      <c r="DZ27" s="163" t="s">
        <v>453</v>
      </c>
      <c r="EB27" s="164"/>
      <c r="EC27" s="164"/>
      <c r="ED27" s="164"/>
      <c r="EF27">
        <v>2003</v>
      </c>
      <c r="EG27">
        <v>6696</v>
      </c>
      <c r="EH27" t="s">
        <v>377</v>
      </c>
      <c r="EI27" s="20">
        <v>5.6</v>
      </c>
      <c r="EJ27">
        <v>0</v>
      </c>
      <c r="EK27" s="223">
        <v>0.1</v>
      </c>
      <c r="EL27" s="20">
        <v>0.4</v>
      </c>
      <c r="EM27">
        <v>0.1</v>
      </c>
      <c r="EN27">
        <v>2.4</v>
      </c>
      <c r="EO27">
        <v>0.2</v>
      </c>
      <c r="EP27">
        <v>0</v>
      </c>
      <c r="EQ27">
        <v>0</v>
      </c>
      <c r="ER27">
        <v>0.1</v>
      </c>
      <c r="ES27">
        <v>0</v>
      </c>
      <c r="ET27">
        <v>0</v>
      </c>
      <c r="EU27" s="223">
        <v>0</v>
      </c>
      <c r="EV27" s="20">
        <v>0.1</v>
      </c>
      <c r="EW27">
        <v>0</v>
      </c>
      <c r="EX27">
        <v>0.2</v>
      </c>
      <c r="EY27">
        <v>0.1</v>
      </c>
      <c r="EZ27">
        <v>0</v>
      </c>
      <c r="FA27">
        <v>0</v>
      </c>
      <c r="FB27" s="223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1.5</v>
      </c>
      <c r="FJ27">
        <v>16.399999999999999</v>
      </c>
      <c r="FK27">
        <v>0</v>
      </c>
      <c r="FL27">
        <v>72.8</v>
      </c>
    </row>
    <row r="28" spans="1:234" x14ac:dyDescent="0.3">
      <c r="A28" s="140">
        <v>2014</v>
      </c>
      <c r="B28" s="143">
        <v>2551</v>
      </c>
      <c r="C28" s="137">
        <v>8310</v>
      </c>
      <c r="D28" s="137">
        <v>1013</v>
      </c>
      <c r="E28" s="137">
        <v>1396</v>
      </c>
      <c r="F28" s="137">
        <v>5971</v>
      </c>
      <c r="G28" s="137">
        <v>49765</v>
      </c>
      <c r="H28" s="138">
        <v>242635</v>
      </c>
      <c r="I28" s="139">
        <v>311641</v>
      </c>
      <c r="K28" s="18">
        <f t="shared" si="78"/>
        <v>13063.770114942528</v>
      </c>
      <c r="M28" s="122">
        <v>2014</v>
      </c>
      <c r="N28" s="121">
        <v>8310</v>
      </c>
      <c r="O28" s="121">
        <v>4591</v>
      </c>
      <c r="P28" s="422">
        <v>227</v>
      </c>
      <c r="Q28" s="121">
        <v>1013</v>
      </c>
      <c r="R28" s="122">
        <v>709</v>
      </c>
      <c r="S28" s="422">
        <v>187</v>
      </c>
      <c r="T28" s="121">
        <v>1396</v>
      </c>
      <c r="U28" s="121">
        <v>1009</v>
      </c>
      <c r="V28" s="418">
        <v>403</v>
      </c>
      <c r="W28" s="121">
        <v>5971</v>
      </c>
      <c r="X28" s="121">
        <v>1016</v>
      </c>
      <c r="Y28" s="121">
        <v>1658</v>
      </c>
      <c r="AA28">
        <v>2013</v>
      </c>
      <c r="AB28" t="s">
        <v>434</v>
      </c>
      <c r="AC28" t="s">
        <v>161</v>
      </c>
      <c r="AD28" t="s">
        <v>430</v>
      </c>
      <c r="AE28">
        <v>11</v>
      </c>
      <c r="AF28" s="18">
        <v>0</v>
      </c>
      <c r="AG28" s="18">
        <v>1</v>
      </c>
      <c r="AH28" s="18">
        <v>0</v>
      </c>
      <c r="AI28" s="18">
        <v>1</v>
      </c>
      <c r="AJ28" s="18">
        <f t="shared" si="76"/>
        <v>1</v>
      </c>
      <c r="AK28" s="258">
        <v>2013</v>
      </c>
      <c r="AL28" s="258">
        <f>SUM(AJ26:AJ28)</f>
        <v>591</v>
      </c>
      <c r="DG28">
        <v>2007</v>
      </c>
      <c r="DH28" s="18">
        <f>EB7</f>
        <v>2029.6626987860793</v>
      </c>
      <c r="DI28" s="18">
        <f>EC7</f>
        <v>19628.547999199949</v>
      </c>
      <c r="DJ28" s="18">
        <f>ED7</f>
        <v>21658.210697986033</v>
      </c>
      <c r="DL28" s="18">
        <f>DT7</f>
        <v>1.9345074292150244</v>
      </c>
      <c r="DM28" s="18">
        <f>DU7</f>
        <v>5.0924727683814659</v>
      </c>
      <c r="DN28" s="18">
        <f t="shared" ref="DN28:DN38" si="79">CT7+CE7+BJ7</f>
        <v>167</v>
      </c>
      <c r="DP28" s="173">
        <f>DL28/DH28</f>
        <v>9.5311769308862682E-4</v>
      </c>
      <c r="DQ28" s="173">
        <f>DM28/DH28</f>
        <v>2.5090241700885681E-3</v>
      </c>
      <c r="DR28" s="173">
        <f>DN28/DH28</f>
        <v>8.2279681298710869E-2</v>
      </c>
      <c r="DT28" s="18">
        <f>DX7</f>
        <v>181.429938217733</v>
      </c>
      <c r="DU28" s="18">
        <f>DY7</f>
        <v>477.60324193629174</v>
      </c>
      <c r="DV28" s="18">
        <f t="shared" ref="DV28:DV38" si="80">CU7+CF7+BQ7</f>
        <v>6304</v>
      </c>
      <c r="DX28" s="173">
        <f>DT28/DI28</f>
        <v>9.2431665462533452E-3</v>
      </c>
      <c r="DY28" s="173">
        <f>DU28/DI28</f>
        <v>2.433207193704591E-2</v>
      </c>
      <c r="DZ28" s="173">
        <f>DV28/DJ28</f>
        <v>0.29106744263902651</v>
      </c>
      <c r="EC28" s="18"/>
      <c r="ED28" s="18"/>
      <c r="EF28">
        <v>2004</v>
      </c>
      <c r="EG28">
        <v>6801</v>
      </c>
      <c r="EH28" t="s">
        <v>377</v>
      </c>
      <c r="EI28" s="20">
        <v>3.7</v>
      </c>
      <c r="EJ28">
        <v>0.4</v>
      </c>
      <c r="EK28" s="223">
        <v>0.1</v>
      </c>
      <c r="EL28" s="20">
        <v>0.7</v>
      </c>
      <c r="EM28">
        <v>0</v>
      </c>
      <c r="EN28">
        <v>5.8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 s="223">
        <v>0</v>
      </c>
      <c r="EV28" s="20">
        <v>0.8</v>
      </c>
      <c r="EW28">
        <v>0</v>
      </c>
      <c r="EX28">
        <v>1</v>
      </c>
      <c r="EY28">
        <v>0</v>
      </c>
      <c r="EZ28">
        <v>0</v>
      </c>
      <c r="FA28">
        <v>0</v>
      </c>
      <c r="FB28" s="223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6.2</v>
      </c>
      <c r="FJ28">
        <v>20.9</v>
      </c>
      <c r="FK28">
        <v>0</v>
      </c>
      <c r="FL28">
        <v>60.4</v>
      </c>
    </row>
    <row r="29" spans="1:234" x14ac:dyDescent="0.3">
      <c r="A29" s="140">
        <v>2015</v>
      </c>
      <c r="B29" s="143">
        <v>14454</v>
      </c>
      <c r="C29" s="137">
        <v>23596</v>
      </c>
      <c r="D29" s="137">
        <v>3149</v>
      </c>
      <c r="E29" s="137">
        <v>1006</v>
      </c>
      <c r="F29" s="137">
        <v>4657</v>
      </c>
      <c r="G29" s="137">
        <v>84532</v>
      </c>
      <c r="H29" s="138">
        <v>288994</v>
      </c>
      <c r="I29" s="139">
        <v>420388</v>
      </c>
      <c r="K29" s="18">
        <f t="shared" si="78"/>
        <v>34074.043478260872</v>
      </c>
      <c r="M29" s="122">
        <v>2015</v>
      </c>
      <c r="N29" s="121">
        <v>23596</v>
      </c>
      <c r="O29" s="121">
        <v>17600</v>
      </c>
      <c r="P29" s="424" t="s">
        <v>8</v>
      </c>
      <c r="Q29" s="121">
        <v>3149</v>
      </c>
      <c r="R29" s="121">
        <v>2642</v>
      </c>
      <c r="S29" s="424" t="s">
        <v>8</v>
      </c>
      <c r="T29" s="121">
        <v>1006</v>
      </c>
      <c r="U29" s="122">
        <v>908</v>
      </c>
      <c r="V29" s="418">
        <v>147</v>
      </c>
      <c r="W29" s="121">
        <v>4657</v>
      </c>
      <c r="X29" s="122">
        <v>365</v>
      </c>
      <c r="Y29" s="121">
        <v>2023</v>
      </c>
      <c r="AA29">
        <v>2014</v>
      </c>
      <c r="AB29" t="s">
        <v>433</v>
      </c>
      <c r="AC29" t="s">
        <v>161</v>
      </c>
      <c r="AD29" t="s">
        <v>430</v>
      </c>
      <c r="AE29">
        <v>11</v>
      </c>
      <c r="AF29" s="18">
        <v>304</v>
      </c>
      <c r="AG29" s="18">
        <v>239</v>
      </c>
      <c r="AH29" s="18">
        <v>8</v>
      </c>
      <c r="AI29" s="18">
        <v>551</v>
      </c>
      <c r="AJ29" s="18">
        <f t="shared" si="76"/>
        <v>543</v>
      </c>
      <c r="DG29">
        <v>2008</v>
      </c>
      <c r="DH29" s="18">
        <f t="shared" ref="DH29:DJ29" si="81">EB8</f>
        <v>2929.8217255188511</v>
      </c>
      <c r="DI29" s="18">
        <f t="shared" si="81"/>
        <v>9291.5608309838062</v>
      </c>
      <c r="DJ29" s="18">
        <f t="shared" si="81"/>
        <v>12221.382556502656</v>
      </c>
      <c r="DL29" s="18">
        <f t="shared" ref="DL29:DM29" si="82">DT8</f>
        <v>2.7924649241874673</v>
      </c>
      <c r="DM29" s="18">
        <f t="shared" si="82"/>
        <v>7.3509935233773911</v>
      </c>
      <c r="DN29" s="18">
        <f t="shared" si="79"/>
        <v>74</v>
      </c>
      <c r="DP29" s="173">
        <f t="shared" ref="DP29:DP38" si="83">DL29/DH29</f>
        <v>9.5311769308862682E-4</v>
      </c>
      <c r="DQ29" s="173">
        <f t="shared" ref="DQ29:DQ38" si="84">DM29/DH29</f>
        <v>2.5090241700885677E-3</v>
      </c>
      <c r="DR29" s="173">
        <f t="shared" ref="DR29:DR38" si="85">DN29/DH29</f>
        <v>2.5257509477609977E-2</v>
      </c>
      <c r="DT29" s="18">
        <f t="shared" ref="DT29:DU29" si="86">DX8</f>
        <v>85.883444235427433</v>
      </c>
      <c r="DU29" s="18">
        <f t="shared" si="86"/>
        <v>226.08292654693602</v>
      </c>
      <c r="DV29" s="18">
        <f t="shared" si="80"/>
        <v>1658</v>
      </c>
      <c r="DX29" s="173">
        <f t="shared" ref="DX29:DX38" si="87">DT29/DI29</f>
        <v>9.2431665462533435E-3</v>
      </c>
      <c r="DY29" s="173">
        <f t="shared" ref="DY29:DY38" si="88">DU29/DI29</f>
        <v>2.4332071937045906E-2</v>
      </c>
      <c r="DZ29" s="173">
        <f t="shared" ref="DZ29:DZ38" si="89">DV29/DJ29</f>
        <v>0.13566386555159624</v>
      </c>
      <c r="EC29" s="18"/>
      <c r="ED29" s="18"/>
      <c r="EF29">
        <v>2005</v>
      </c>
      <c r="EG29">
        <v>2910</v>
      </c>
      <c r="EH29" t="s">
        <v>377</v>
      </c>
      <c r="EI29" s="20">
        <v>3.1</v>
      </c>
      <c r="EJ29">
        <v>0</v>
      </c>
      <c r="EK29" s="223">
        <v>0.1</v>
      </c>
      <c r="EL29" s="20">
        <v>0.3</v>
      </c>
      <c r="EM29">
        <v>0.3</v>
      </c>
      <c r="EN29">
        <v>6.1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 s="223">
        <v>0</v>
      </c>
      <c r="EV29" s="20">
        <v>0.6</v>
      </c>
      <c r="EW29">
        <v>0.1</v>
      </c>
      <c r="EX29">
        <v>0.3</v>
      </c>
      <c r="EY29">
        <v>0</v>
      </c>
      <c r="EZ29">
        <v>0</v>
      </c>
      <c r="FA29">
        <v>0</v>
      </c>
      <c r="FB29" s="223">
        <v>0.1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5.2</v>
      </c>
      <c r="FJ29">
        <v>16.100000000000001</v>
      </c>
      <c r="FK29">
        <v>0</v>
      </c>
      <c r="FL29">
        <v>67.7</v>
      </c>
    </row>
    <row r="30" spans="1:234" x14ac:dyDescent="0.3">
      <c r="A30" s="323">
        <v>2016</v>
      </c>
      <c r="B30" s="324">
        <v>9669</v>
      </c>
      <c r="C30" s="324">
        <v>22478</v>
      </c>
      <c r="D30" s="324">
        <v>3980</v>
      </c>
      <c r="E30" s="142">
        <v>473</v>
      </c>
      <c r="F30" s="324">
        <v>4151</v>
      </c>
      <c r="G30" s="324">
        <v>47225</v>
      </c>
      <c r="H30" s="325">
        <v>187816</v>
      </c>
      <c r="I30" s="324">
        <v>275792</v>
      </c>
      <c r="K30" s="18">
        <f t="shared" si="78"/>
        <v>33365.684210526313</v>
      </c>
      <c r="M30" s="122">
        <v>2016</v>
      </c>
      <c r="N30" s="121">
        <v>22478</v>
      </c>
      <c r="O30" s="123" t="s">
        <v>8</v>
      </c>
      <c r="P30" s="424" t="s">
        <v>8</v>
      </c>
      <c r="Q30" s="121">
        <v>3980</v>
      </c>
      <c r="R30" s="123" t="s">
        <v>8</v>
      </c>
      <c r="S30" s="424" t="s">
        <v>8</v>
      </c>
      <c r="T30" s="122">
        <v>473</v>
      </c>
      <c r="U30" s="123" t="s">
        <v>8</v>
      </c>
      <c r="V30" s="429" t="s">
        <v>8</v>
      </c>
      <c r="W30" s="121">
        <v>4151</v>
      </c>
      <c r="X30" s="122">
        <v>123</v>
      </c>
      <c r="Y30" s="121">
        <v>3590</v>
      </c>
      <c r="AA30">
        <v>2014</v>
      </c>
      <c r="AB30" t="s">
        <v>432</v>
      </c>
      <c r="AC30" t="s">
        <v>161</v>
      </c>
      <c r="AD30" t="s">
        <v>430</v>
      </c>
      <c r="AE30">
        <v>11</v>
      </c>
      <c r="AF30" s="18">
        <v>71</v>
      </c>
      <c r="AG30" s="18">
        <v>86</v>
      </c>
      <c r="AH30" s="18">
        <v>0</v>
      </c>
      <c r="AI30" s="18">
        <v>157</v>
      </c>
      <c r="AJ30" s="18">
        <f t="shared" si="76"/>
        <v>157</v>
      </c>
      <c r="DG30">
        <v>2009</v>
      </c>
      <c r="DH30" s="18">
        <f t="shared" ref="DH30:DJ30" si="90">EB9</f>
        <v>1029.9181619432209</v>
      </c>
      <c r="DI30" s="18">
        <f t="shared" si="90"/>
        <v>9259.8249889015533</v>
      </c>
      <c r="DJ30" s="18">
        <f t="shared" si="90"/>
        <v>10289.743150844775</v>
      </c>
      <c r="DL30" s="18">
        <f t="shared" ref="DL30:DM30" si="91">DT9</f>
        <v>0.9816332225814014</v>
      </c>
      <c r="DM30" s="18">
        <f t="shared" si="91"/>
        <v>2.5840895615287329</v>
      </c>
      <c r="DN30" s="18">
        <f t="shared" si="79"/>
        <v>138</v>
      </c>
      <c r="DP30" s="173">
        <f t="shared" si="83"/>
        <v>9.5311769308862682E-4</v>
      </c>
      <c r="DQ30" s="173">
        <f t="shared" si="84"/>
        <v>2.5090241700885677E-3</v>
      </c>
      <c r="DR30" s="173">
        <f t="shared" si="85"/>
        <v>0.13399122872017855</v>
      </c>
      <c r="DT30" s="18">
        <f t="shared" ref="DT30:DU30" si="92">DX9</f>
        <v>85.590104561575572</v>
      </c>
      <c r="DU30" s="18">
        <f t="shared" si="92"/>
        <v>225.31072775440794</v>
      </c>
      <c r="DV30" s="18">
        <f t="shared" si="80"/>
        <v>2414</v>
      </c>
      <c r="DX30" s="173">
        <f t="shared" si="87"/>
        <v>9.2431665462533435E-3</v>
      </c>
      <c r="DY30" s="173">
        <f t="shared" si="88"/>
        <v>2.433207193704591E-2</v>
      </c>
      <c r="DZ30" s="173">
        <f t="shared" si="89"/>
        <v>0.23460255174608644</v>
      </c>
      <c r="EC30" s="18"/>
      <c r="ED30" s="18"/>
      <c r="EF30">
        <v>2006</v>
      </c>
      <c r="EG30">
        <v>1884</v>
      </c>
      <c r="EH30" t="s">
        <v>377</v>
      </c>
      <c r="EI30" s="20">
        <v>3.9</v>
      </c>
      <c r="EJ30">
        <v>0</v>
      </c>
      <c r="EK30" s="223">
        <v>0</v>
      </c>
      <c r="EL30" s="20">
        <v>0.4</v>
      </c>
      <c r="EM30">
        <v>0.7</v>
      </c>
      <c r="EN30">
        <v>4.5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 s="223">
        <v>0</v>
      </c>
      <c r="EV30" s="20">
        <v>1.4</v>
      </c>
      <c r="EW30">
        <v>0</v>
      </c>
      <c r="EX30">
        <v>0</v>
      </c>
      <c r="EY30">
        <v>0</v>
      </c>
      <c r="EZ30">
        <v>0</v>
      </c>
      <c r="FA30">
        <v>0</v>
      </c>
      <c r="FB30" s="223">
        <v>0.4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8</v>
      </c>
      <c r="FJ30">
        <v>25.5</v>
      </c>
      <c r="FK30">
        <v>0</v>
      </c>
      <c r="FL30">
        <v>55.1</v>
      </c>
    </row>
    <row r="31" spans="1:234" x14ac:dyDescent="0.3">
      <c r="A31" s="323">
        <v>2017</v>
      </c>
      <c r="K31" s="18">
        <f t="shared" si="78"/>
        <v>27603.164835164833</v>
      </c>
      <c r="M31" s="326" t="s">
        <v>10</v>
      </c>
      <c r="N31" s="326"/>
      <c r="O31" s="326"/>
      <c r="P31" s="425"/>
      <c r="Q31" s="326"/>
      <c r="R31" s="326"/>
      <c r="AA31">
        <v>2014</v>
      </c>
      <c r="AB31" t="s">
        <v>434</v>
      </c>
      <c r="AC31" t="s">
        <v>161</v>
      </c>
      <c r="AD31" t="s">
        <v>430</v>
      </c>
      <c r="AE31">
        <v>11</v>
      </c>
      <c r="AF31" s="18">
        <v>0</v>
      </c>
      <c r="AG31" s="18">
        <v>1</v>
      </c>
      <c r="AH31" s="18">
        <v>0</v>
      </c>
      <c r="AI31" s="18">
        <v>1</v>
      </c>
      <c r="AJ31" s="18">
        <f t="shared" si="76"/>
        <v>1</v>
      </c>
      <c r="AK31" s="258">
        <v>2014</v>
      </c>
      <c r="AL31" s="258">
        <f>SUM(AJ29:AJ31)</f>
        <v>701</v>
      </c>
      <c r="DG31">
        <v>2010</v>
      </c>
      <c r="DH31" s="18">
        <f t="shared" ref="DH31:DJ31" si="93">EB10</f>
        <v>1629.206636063406</v>
      </c>
      <c r="DI31" s="18">
        <f t="shared" si="93"/>
        <v>17485.334263240089</v>
      </c>
      <c r="DJ31" s="18">
        <f t="shared" si="93"/>
        <v>19114.540899303491</v>
      </c>
      <c r="DL31" s="18">
        <f t="shared" ref="DL31:DM31" si="94">DT10</f>
        <v>1.5528256705294357</v>
      </c>
      <c r="DM31" s="18">
        <f t="shared" si="94"/>
        <v>4.0877188279517744</v>
      </c>
      <c r="DN31" s="18">
        <f t="shared" si="79"/>
        <v>150</v>
      </c>
      <c r="DP31" s="173">
        <f t="shared" si="83"/>
        <v>9.5311769308862693E-4</v>
      </c>
      <c r="DQ31" s="173">
        <f t="shared" si="84"/>
        <v>2.5090241700885677E-3</v>
      </c>
      <c r="DR31" s="173">
        <f t="shared" si="85"/>
        <v>9.2069352456383105E-2</v>
      </c>
      <c r="DT31" s="18">
        <f t="shared" ref="DT31:DU31" si="95">DX10</f>
        <v>161.61985671203814</v>
      </c>
      <c r="DU31" s="18">
        <f t="shared" si="95"/>
        <v>425.45441113645143</v>
      </c>
      <c r="DV31" s="18">
        <f t="shared" si="80"/>
        <v>3086</v>
      </c>
      <c r="DX31" s="173">
        <f t="shared" si="87"/>
        <v>9.2431665462533435E-3</v>
      </c>
      <c r="DY31" s="173">
        <f t="shared" si="88"/>
        <v>2.4332071937045906E-2</v>
      </c>
      <c r="DZ31" s="173">
        <f t="shared" si="89"/>
        <v>0.16144776985527545</v>
      </c>
      <c r="EC31" s="18"/>
      <c r="ED31" s="18"/>
      <c r="EF31">
        <v>2007</v>
      </c>
      <c r="EG31">
        <v>1514</v>
      </c>
      <c r="EH31" t="s">
        <v>377</v>
      </c>
      <c r="EI31" s="20">
        <v>5</v>
      </c>
      <c r="EJ31">
        <v>0.2</v>
      </c>
      <c r="EK31" s="223">
        <v>0</v>
      </c>
      <c r="EL31" s="20">
        <v>0</v>
      </c>
      <c r="EM31">
        <v>0</v>
      </c>
      <c r="EN31">
        <v>1.4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 s="223">
        <v>0</v>
      </c>
      <c r="EV31" s="20">
        <v>0.7</v>
      </c>
      <c r="EW31">
        <v>0</v>
      </c>
      <c r="EX31">
        <v>0</v>
      </c>
      <c r="EY31">
        <v>0</v>
      </c>
      <c r="EZ31">
        <v>0</v>
      </c>
      <c r="FA31">
        <v>0</v>
      </c>
      <c r="FB31" s="223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4.9000000000000004</v>
      </c>
      <c r="FJ31">
        <v>18</v>
      </c>
      <c r="FK31">
        <v>0.1</v>
      </c>
      <c r="FL31">
        <v>69.7</v>
      </c>
    </row>
    <row r="32" spans="1:234" x14ac:dyDescent="0.3">
      <c r="A32" s="323">
        <v>2018</v>
      </c>
      <c r="K32" s="18">
        <f>DJ18</f>
        <v>9419</v>
      </c>
      <c r="M32" s="122"/>
      <c r="N32" s="121"/>
      <c r="Q32" s="121"/>
      <c r="AA32">
        <v>2015</v>
      </c>
      <c r="AB32" t="s">
        <v>433</v>
      </c>
      <c r="AC32" t="s">
        <v>161</v>
      </c>
      <c r="AD32" t="s">
        <v>430</v>
      </c>
      <c r="AE32">
        <v>11</v>
      </c>
      <c r="AF32" s="18">
        <v>3</v>
      </c>
      <c r="AG32" s="18">
        <v>2</v>
      </c>
      <c r="AH32" s="18">
        <v>0</v>
      </c>
      <c r="AI32" s="18">
        <v>5</v>
      </c>
      <c r="AJ32" s="18">
        <f t="shared" si="76"/>
        <v>5</v>
      </c>
      <c r="DG32">
        <v>2011</v>
      </c>
      <c r="DH32" s="18">
        <f t="shared" ref="DH32:DJ32" si="96">EB11</f>
        <v>1462.7996478274777</v>
      </c>
      <c r="DI32" s="18">
        <f t="shared" si="96"/>
        <v>10139.551103326996</v>
      </c>
      <c r="DJ32" s="18">
        <f t="shared" si="96"/>
        <v>11602.350751154474</v>
      </c>
      <c r="DL32" s="18">
        <f t="shared" ref="DL32:DM32" si="97">DT11</f>
        <v>1.3942202257881813</v>
      </c>
      <c r="DM32" s="18">
        <f t="shared" si="97"/>
        <v>3.6701996723961869</v>
      </c>
      <c r="DN32" s="18">
        <f t="shared" si="79"/>
        <v>120</v>
      </c>
      <c r="DP32" s="173">
        <f t="shared" si="83"/>
        <v>9.5311769308862682E-4</v>
      </c>
      <c r="DQ32" s="173">
        <f t="shared" si="84"/>
        <v>2.5090241700885681E-3</v>
      </c>
      <c r="DR32" s="173">
        <f t="shared" si="85"/>
        <v>8.2034474220869361E-2</v>
      </c>
      <c r="DT32" s="18">
        <f t="shared" ref="DT32:DU32" si="98">DX11</f>
        <v>93.721559552298274</v>
      </c>
      <c r="DU32" s="18">
        <f t="shared" si="98"/>
        <v>246.71628685550567</v>
      </c>
      <c r="DV32" s="18">
        <f t="shared" si="80"/>
        <v>3054</v>
      </c>
      <c r="DX32" s="173">
        <f t="shared" si="87"/>
        <v>9.2431665462533435E-3</v>
      </c>
      <c r="DY32" s="173">
        <f t="shared" si="88"/>
        <v>2.433207193704591E-2</v>
      </c>
      <c r="DZ32" s="173">
        <f t="shared" si="89"/>
        <v>0.26322251977222083</v>
      </c>
      <c r="EC32" s="18"/>
      <c r="ED32" s="18"/>
      <c r="EF32">
        <v>2008</v>
      </c>
      <c r="EG32">
        <v>2190</v>
      </c>
      <c r="EH32" t="s">
        <v>377</v>
      </c>
      <c r="EI32" s="20">
        <v>1.8</v>
      </c>
      <c r="EJ32">
        <v>0.1</v>
      </c>
      <c r="EK32" s="223">
        <v>0.4</v>
      </c>
      <c r="EL32" s="20">
        <v>0.5</v>
      </c>
      <c r="EM32">
        <v>0</v>
      </c>
      <c r="EN32">
        <v>0.9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 s="223">
        <v>0.4</v>
      </c>
      <c r="EV32" s="20">
        <v>0.1</v>
      </c>
      <c r="EW32">
        <v>0</v>
      </c>
      <c r="EX32">
        <v>0</v>
      </c>
      <c r="EY32">
        <v>0</v>
      </c>
      <c r="EZ32">
        <v>0</v>
      </c>
      <c r="FA32">
        <v>0</v>
      </c>
      <c r="FB32" s="223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19.2</v>
      </c>
      <c r="FJ32">
        <v>12.4</v>
      </c>
      <c r="FK32">
        <v>0.4</v>
      </c>
      <c r="FL32">
        <v>63.7</v>
      </c>
    </row>
    <row r="33" spans="1:168" x14ac:dyDescent="0.3">
      <c r="P33" s="426">
        <f>GEOMEAN(P19:P28)</f>
        <v>364.03440236187981</v>
      </c>
      <c r="S33" s="426">
        <f>GEOMEAN(S19:S28)</f>
        <v>192.95798535336377</v>
      </c>
      <c r="V33" s="430">
        <f>GEOMEAN(V19:V28)</f>
        <v>137.6469329229412</v>
      </c>
      <c r="Y33" s="120">
        <f>GEOMEAN(Y19:Y28)</f>
        <v>2809.6954171994694</v>
      </c>
      <c r="AA33">
        <v>2015</v>
      </c>
      <c r="AB33" t="s">
        <v>432</v>
      </c>
      <c r="AC33" t="s">
        <v>161</v>
      </c>
      <c r="AD33" t="s">
        <v>430</v>
      </c>
      <c r="AE33">
        <v>11</v>
      </c>
      <c r="AF33" s="18">
        <v>50</v>
      </c>
      <c r="AG33" s="18">
        <v>63</v>
      </c>
      <c r="AH33" s="18">
        <v>2</v>
      </c>
      <c r="AI33" s="18">
        <v>115</v>
      </c>
      <c r="AJ33" s="18">
        <f t="shared" si="76"/>
        <v>113</v>
      </c>
      <c r="DG33">
        <v>2012</v>
      </c>
      <c r="DH33" s="18">
        <f t="shared" ref="DH33:DJ33" si="99">EB12</f>
        <v>3433.8685629487159</v>
      </c>
      <c r="DI33" s="18">
        <f t="shared" si="99"/>
        <v>16354.477441742487</v>
      </c>
      <c r="DJ33" s="18">
        <f t="shared" si="99"/>
        <v>19788.346004691197</v>
      </c>
      <c r="DL33" s="18">
        <f t="shared" ref="DL33:DM33" si="100">DT12</f>
        <v>3.2728808830872382</v>
      </c>
      <c r="DM33" s="18">
        <f t="shared" si="100"/>
        <v>8.6156592213456253</v>
      </c>
      <c r="DN33" s="18">
        <f t="shared" si="79"/>
        <v>244.8783</v>
      </c>
      <c r="DP33" s="173">
        <f t="shared" si="83"/>
        <v>9.5311769308862682E-4</v>
      </c>
      <c r="DQ33" s="173">
        <f t="shared" si="84"/>
        <v>2.5090241700885681E-3</v>
      </c>
      <c r="DR33" s="173">
        <f t="shared" si="85"/>
        <v>7.1312659617268293E-2</v>
      </c>
      <c r="DT33" s="18">
        <f t="shared" ref="DT33:DU33" si="101">DX12</f>
        <v>151.16715877096911</v>
      </c>
      <c r="DU33" s="18">
        <f t="shared" si="101"/>
        <v>397.93832160527273</v>
      </c>
      <c r="DV33" s="18">
        <f t="shared" si="80"/>
        <v>6402</v>
      </c>
      <c r="DX33" s="173">
        <f t="shared" si="87"/>
        <v>9.2431665462533435E-3</v>
      </c>
      <c r="DY33" s="173">
        <f t="shared" si="88"/>
        <v>2.433207193704591E-2</v>
      </c>
      <c r="DZ33" s="173">
        <f t="shared" si="89"/>
        <v>0.32352375476365164</v>
      </c>
      <c r="EC33" s="18"/>
      <c r="ED33" s="18"/>
      <c r="EF33">
        <v>2009</v>
      </c>
      <c r="EG33">
        <v>4045</v>
      </c>
      <c r="EH33" t="s">
        <v>377</v>
      </c>
      <c r="EI33" s="20">
        <v>3.4</v>
      </c>
      <c r="EJ33">
        <v>0</v>
      </c>
      <c r="EK33" s="223">
        <v>0</v>
      </c>
      <c r="EL33" s="20">
        <v>0.2</v>
      </c>
      <c r="EM33">
        <v>0.1</v>
      </c>
      <c r="EN33">
        <v>0.7</v>
      </c>
      <c r="EO33">
        <v>1.8</v>
      </c>
      <c r="EP33">
        <v>0</v>
      </c>
      <c r="EQ33">
        <v>0</v>
      </c>
      <c r="ER33">
        <v>0.1</v>
      </c>
      <c r="ES33">
        <v>0</v>
      </c>
      <c r="ET33">
        <v>0</v>
      </c>
      <c r="EU33" s="223">
        <v>0.8</v>
      </c>
      <c r="EV33" s="20">
        <v>0.3</v>
      </c>
      <c r="EW33">
        <v>0.1</v>
      </c>
      <c r="EX33">
        <v>0</v>
      </c>
      <c r="EY33">
        <v>0</v>
      </c>
      <c r="EZ33">
        <v>0</v>
      </c>
      <c r="FA33">
        <v>0</v>
      </c>
      <c r="FB33" s="223">
        <v>0.3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7.7</v>
      </c>
      <c r="FJ33">
        <v>19.2</v>
      </c>
      <c r="FK33">
        <v>0</v>
      </c>
      <c r="FL33">
        <v>65.099999999999994</v>
      </c>
    </row>
    <row r="34" spans="1:168" x14ac:dyDescent="0.3">
      <c r="K34" s="18">
        <f>AVERAGE(K21:K30)</f>
        <v>18608.761982479267</v>
      </c>
      <c r="AA34">
        <v>2015</v>
      </c>
      <c r="AB34" t="s">
        <v>431</v>
      </c>
      <c r="AC34" t="s">
        <v>161</v>
      </c>
      <c r="AD34" t="s">
        <v>430</v>
      </c>
      <c r="AE34">
        <v>11</v>
      </c>
      <c r="AF34" s="18">
        <v>25</v>
      </c>
      <c r="AG34" s="18">
        <v>36</v>
      </c>
      <c r="AH34" s="18">
        <v>0</v>
      </c>
      <c r="AI34" s="18">
        <v>61</v>
      </c>
      <c r="AJ34" s="18">
        <f t="shared" si="76"/>
        <v>61</v>
      </c>
      <c r="DG34">
        <v>2013</v>
      </c>
      <c r="DH34" s="18">
        <f t="shared" ref="DH34:DJ34" si="102">EB13</f>
        <v>2647.3214635052673</v>
      </c>
      <c r="DI34" s="18">
        <f t="shared" si="102"/>
        <v>11186.95803931827</v>
      </c>
      <c r="DJ34" s="18">
        <f t="shared" si="102"/>
        <v>13834.279502823538</v>
      </c>
      <c r="DL34" s="18">
        <f t="shared" ref="DL34:DM34" si="103">DT13</f>
        <v>0.40952868992065311</v>
      </c>
      <c r="DM34" s="18">
        <f t="shared" si="103"/>
        <v>2.4582647016135248</v>
      </c>
      <c r="DN34" s="18">
        <f t="shared" si="79"/>
        <v>351</v>
      </c>
      <c r="DP34" s="173">
        <f t="shared" si="83"/>
        <v>1.5469548959815558E-4</v>
      </c>
      <c r="DQ34" s="173">
        <f t="shared" si="84"/>
        <v>9.2858564231885305E-4</v>
      </c>
      <c r="DR34" s="173">
        <f t="shared" si="85"/>
        <v>0.13258684479339644</v>
      </c>
      <c r="DT34" s="18">
        <f t="shared" ref="DT34:DU34" si="104">DX13</f>
        <v>17.138625958909198</v>
      </c>
      <c r="DU34" s="18">
        <f t="shared" si="104"/>
        <v>102.87747907748965</v>
      </c>
      <c r="DV34" s="18">
        <f t="shared" si="80"/>
        <v>3401.9999999999995</v>
      </c>
      <c r="DX34" s="173">
        <f t="shared" si="87"/>
        <v>1.5320184359924195E-3</v>
      </c>
      <c r="DY34" s="173">
        <f t="shared" si="88"/>
        <v>9.1961978149833999E-3</v>
      </c>
      <c r="DZ34" s="173">
        <f t="shared" si="89"/>
        <v>0.24591089108078673</v>
      </c>
      <c r="EC34" s="18"/>
      <c r="ED34" s="18"/>
      <c r="EF34">
        <v>2010</v>
      </c>
      <c r="EG34">
        <v>11342</v>
      </c>
      <c r="EH34" t="s">
        <v>377</v>
      </c>
      <c r="EI34" s="20">
        <v>2.9</v>
      </c>
      <c r="EJ34">
        <v>0</v>
      </c>
      <c r="EK34" s="223">
        <v>0.1</v>
      </c>
      <c r="EL34" s="20">
        <v>0.5</v>
      </c>
      <c r="EM34">
        <v>0.2</v>
      </c>
      <c r="EN34">
        <v>0.5</v>
      </c>
      <c r="EO34">
        <v>0.1</v>
      </c>
      <c r="EP34">
        <v>0</v>
      </c>
      <c r="EQ34">
        <v>0</v>
      </c>
      <c r="ER34">
        <v>0.1</v>
      </c>
      <c r="ES34">
        <v>0</v>
      </c>
      <c r="ET34">
        <v>0</v>
      </c>
      <c r="EU34" s="223">
        <v>0</v>
      </c>
      <c r="EV34" s="20">
        <v>1.9</v>
      </c>
      <c r="EW34">
        <v>0.2</v>
      </c>
      <c r="EX34">
        <v>0.1</v>
      </c>
      <c r="EY34">
        <v>0</v>
      </c>
      <c r="EZ34">
        <v>0</v>
      </c>
      <c r="FA34">
        <v>0</v>
      </c>
      <c r="FB34" s="223">
        <v>0.1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3.8</v>
      </c>
      <c r="FJ34">
        <v>32.299999999999997</v>
      </c>
      <c r="FK34">
        <v>0.1</v>
      </c>
      <c r="FL34">
        <v>57.2</v>
      </c>
    </row>
    <row r="35" spans="1:168" x14ac:dyDescent="0.3">
      <c r="A35" s="130" t="s">
        <v>149</v>
      </c>
      <c r="B35" s="131"/>
      <c r="C35" s="132">
        <v>22737</v>
      </c>
      <c r="D35" s="132">
        <v>4165</v>
      </c>
      <c r="E35" s="132">
        <v>3834</v>
      </c>
      <c r="F35" s="132">
        <v>2020</v>
      </c>
      <c r="G35" s="132">
        <v>62935</v>
      </c>
      <c r="H35" s="133">
        <v>63521</v>
      </c>
      <c r="I35" s="134">
        <v>159212</v>
      </c>
      <c r="AA35">
        <v>2015</v>
      </c>
      <c r="AB35" t="s">
        <v>434</v>
      </c>
      <c r="AC35" t="s">
        <v>161</v>
      </c>
      <c r="AD35" t="s">
        <v>430</v>
      </c>
      <c r="AE35">
        <v>11</v>
      </c>
      <c r="AF35" s="18">
        <v>16</v>
      </c>
      <c r="AG35" s="18">
        <v>23</v>
      </c>
      <c r="AH35" s="18">
        <v>0</v>
      </c>
      <c r="AI35" s="18">
        <v>39</v>
      </c>
      <c r="AJ35" s="18">
        <f t="shared" si="76"/>
        <v>39</v>
      </c>
      <c r="AK35" s="258">
        <v>2015</v>
      </c>
      <c r="AL35" s="258">
        <f>SUM(AJ32:AJ35)</f>
        <v>218</v>
      </c>
      <c r="DG35">
        <v>2014</v>
      </c>
      <c r="DH35" s="18">
        <f t="shared" ref="DH35:DJ35" si="105">EB14</f>
        <v>1754.6351898908042</v>
      </c>
      <c r="DI35" s="18">
        <f t="shared" si="105"/>
        <v>11943.747188798294</v>
      </c>
      <c r="DJ35" s="18">
        <f t="shared" si="105"/>
        <v>13698.382378689097</v>
      </c>
      <c r="DL35" s="18">
        <f t="shared" ref="DL35:DM35" si="106">DT14</f>
        <v>3.7749811139344813</v>
      </c>
      <c r="DM35" s="18">
        <f t="shared" si="106"/>
        <v>5.8602087768697197</v>
      </c>
      <c r="DN35" s="18">
        <f t="shared" si="79"/>
        <v>257</v>
      </c>
      <c r="DP35" s="173">
        <f t="shared" si="83"/>
        <v>2.1514336060759211E-3</v>
      </c>
      <c r="DQ35" s="173">
        <f t="shared" si="84"/>
        <v>3.3398445503845255E-3</v>
      </c>
      <c r="DR35" s="173">
        <f t="shared" si="85"/>
        <v>0.1464691928445786</v>
      </c>
      <c r="DT35" s="18">
        <f t="shared" ref="DT35:DU35" si="107">DX14</f>
        <v>244.86042072707198</v>
      </c>
      <c r="DU35" s="18">
        <f t="shared" si="107"/>
        <v>380.1166531286928</v>
      </c>
      <c r="DV35" s="18">
        <f t="shared" si="80"/>
        <v>2782</v>
      </c>
      <c r="DX35" s="173">
        <f t="shared" si="87"/>
        <v>2.0501138952163999E-2</v>
      </c>
      <c r="DY35" s="173">
        <f t="shared" si="88"/>
        <v>3.1825577611454603E-2</v>
      </c>
      <c r="DZ35" s="173">
        <f t="shared" si="89"/>
        <v>0.2030896731520668</v>
      </c>
      <c r="EC35" s="18"/>
      <c r="ED35" s="18"/>
      <c r="EF35">
        <v>2011</v>
      </c>
      <c r="EG35">
        <v>7736</v>
      </c>
      <c r="EH35" t="s">
        <v>377</v>
      </c>
      <c r="EI35" s="20">
        <v>4.0999999999999996</v>
      </c>
      <c r="EJ35">
        <v>0</v>
      </c>
      <c r="EK35" s="223">
        <v>0.2</v>
      </c>
      <c r="EL35" s="20">
        <v>0.8</v>
      </c>
      <c r="EM35">
        <v>0.2</v>
      </c>
      <c r="EN35">
        <v>1.1000000000000001</v>
      </c>
      <c r="EO35">
        <v>0.1</v>
      </c>
      <c r="EP35">
        <v>0</v>
      </c>
      <c r="EQ35">
        <v>0</v>
      </c>
      <c r="ER35">
        <v>0.1</v>
      </c>
      <c r="ES35">
        <v>0</v>
      </c>
      <c r="ET35">
        <v>0</v>
      </c>
      <c r="EU35" s="223">
        <v>0.1</v>
      </c>
      <c r="EV35" s="20">
        <v>0.9</v>
      </c>
      <c r="EW35">
        <v>0.2</v>
      </c>
      <c r="EX35">
        <v>0.2</v>
      </c>
      <c r="EY35">
        <v>0</v>
      </c>
      <c r="EZ35">
        <v>0</v>
      </c>
      <c r="FA35">
        <v>0</v>
      </c>
      <c r="FB35" s="223">
        <v>0.2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5.0999999999999996</v>
      </c>
      <c r="FJ35">
        <v>41.2</v>
      </c>
      <c r="FK35">
        <v>0.3</v>
      </c>
      <c r="FL35">
        <v>45.4</v>
      </c>
    </row>
    <row r="36" spans="1:168" x14ac:dyDescent="0.3">
      <c r="A36" s="135" t="s">
        <v>150</v>
      </c>
      <c r="B36" s="136"/>
      <c r="C36" s="137">
        <v>11176</v>
      </c>
      <c r="D36" s="137">
        <v>1552</v>
      </c>
      <c r="E36" s="137">
        <v>10312</v>
      </c>
      <c r="F36" s="137">
        <v>1980</v>
      </c>
      <c r="G36" s="137">
        <v>90803</v>
      </c>
      <c r="H36" s="138">
        <v>105481</v>
      </c>
      <c r="I36" s="139">
        <v>221304</v>
      </c>
      <c r="AA36">
        <v>2016</v>
      </c>
      <c r="AB36" t="s">
        <v>432</v>
      </c>
      <c r="AC36" t="s">
        <v>161</v>
      </c>
      <c r="AD36" t="s">
        <v>430</v>
      </c>
      <c r="AE36">
        <v>11</v>
      </c>
      <c r="AF36" s="18">
        <v>28</v>
      </c>
      <c r="AG36" s="18">
        <v>22</v>
      </c>
      <c r="AH36" s="18">
        <v>0</v>
      </c>
      <c r="AI36" s="18">
        <v>50</v>
      </c>
      <c r="AJ36" s="18">
        <f t="shared" si="76"/>
        <v>50</v>
      </c>
      <c r="DG36">
        <v>2015</v>
      </c>
      <c r="DH36" s="18">
        <f t="shared" ref="DH36:DJ36" si="108">EB15</f>
        <v>3119.4594962425931</v>
      </c>
      <c r="DI36" s="18">
        <f t="shared" si="108"/>
        <v>32204.820124788213</v>
      </c>
      <c r="DJ36" s="18">
        <f t="shared" si="108"/>
        <v>35324.279621030808</v>
      </c>
      <c r="DL36" s="18">
        <f t="shared" ref="DL36:DM36" si="109">DT15</f>
        <v>4.5224813663297319</v>
      </c>
      <c r="DM36" s="18">
        <f t="shared" si="109"/>
        <v>7.8970148762635066</v>
      </c>
      <c r="DN36" s="18">
        <f t="shared" si="79"/>
        <v>265.04000000000002</v>
      </c>
      <c r="DP36" s="173">
        <f t="shared" si="83"/>
        <v>1.4497644132828416E-3</v>
      </c>
      <c r="DQ36" s="173">
        <f t="shared" si="84"/>
        <v>2.5315330703205175E-3</v>
      </c>
      <c r="DR36" s="173">
        <f t="shared" si="85"/>
        <v>8.4963436877203313E-2</v>
      </c>
      <c r="DT36" s="18">
        <f t="shared" ref="DT36:DU36" si="110">DX15</f>
        <v>450.74313881219024</v>
      </c>
      <c r="DU36" s="18">
        <f t="shared" si="110"/>
        <v>787.07350771515587</v>
      </c>
      <c r="DV36" s="18">
        <f t="shared" si="80"/>
        <v>9600</v>
      </c>
      <c r="DX36" s="173">
        <f t="shared" si="87"/>
        <v>1.3996138996138996E-2</v>
      </c>
      <c r="DY36" s="173">
        <f t="shared" si="88"/>
        <v>2.4439618189618185E-2</v>
      </c>
      <c r="DZ36" s="173">
        <f t="shared" si="89"/>
        <v>0.27176775019877558</v>
      </c>
      <c r="EC36" s="18"/>
      <c r="ED36" s="18"/>
      <c r="EF36">
        <v>2012</v>
      </c>
      <c r="EG36">
        <v>5918</v>
      </c>
      <c r="EH36" t="s">
        <v>377</v>
      </c>
      <c r="EI36" s="20">
        <v>6.4</v>
      </c>
      <c r="EJ36">
        <v>0</v>
      </c>
      <c r="EK36" s="223">
        <v>0.3</v>
      </c>
      <c r="EL36" s="20">
        <v>0.3</v>
      </c>
      <c r="EM36">
        <v>0.2</v>
      </c>
      <c r="EN36">
        <v>3.2</v>
      </c>
      <c r="EO36">
        <v>0.1</v>
      </c>
      <c r="EP36">
        <v>0</v>
      </c>
      <c r="EQ36">
        <v>0</v>
      </c>
      <c r="ER36">
        <v>0</v>
      </c>
      <c r="ES36">
        <v>0</v>
      </c>
      <c r="ET36">
        <v>0</v>
      </c>
      <c r="EU36" s="223">
        <v>0</v>
      </c>
      <c r="EV36" s="20">
        <v>1.5</v>
      </c>
      <c r="EW36">
        <v>0.8</v>
      </c>
      <c r="EX36">
        <v>0.4</v>
      </c>
      <c r="EY36">
        <v>0</v>
      </c>
      <c r="EZ36">
        <v>0</v>
      </c>
      <c r="FA36">
        <v>0</v>
      </c>
      <c r="FB36" s="223">
        <v>0.4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4.9000000000000004</v>
      </c>
      <c r="FJ36">
        <v>37</v>
      </c>
      <c r="FK36">
        <v>0.8</v>
      </c>
      <c r="FL36">
        <v>43.8</v>
      </c>
    </row>
    <row r="37" spans="1:168" x14ac:dyDescent="0.3">
      <c r="A37" s="135" t="s">
        <v>151</v>
      </c>
      <c r="B37" s="141">
        <v>334</v>
      </c>
      <c r="C37" s="137">
        <v>7892</v>
      </c>
      <c r="D37" s="137">
        <v>2234</v>
      </c>
      <c r="E37" s="137">
        <v>6984</v>
      </c>
      <c r="F37" s="137">
        <v>5119</v>
      </c>
      <c r="G37" s="137">
        <v>83442</v>
      </c>
      <c r="H37" s="138">
        <v>81989</v>
      </c>
      <c r="I37" s="139">
        <v>187860</v>
      </c>
      <c r="AA37">
        <v>2016</v>
      </c>
      <c r="AB37" t="s">
        <v>431</v>
      </c>
      <c r="AC37" t="s">
        <v>161</v>
      </c>
      <c r="AD37" t="s">
        <v>430</v>
      </c>
      <c r="AE37">
        <v>11</v>
      </c>
      <c r="AF37" s="18">
        <v>13</v>
      </c>
      <c r="AG37" s="18">
        <v>5</v>
      </c>
      <c r="AH37" s="18">
        <v>0</v>
      </c>
      <c r="AI37" s="18">
        <v>18</v>
      </c>
      <c r="AJ37" s="18">
        <f t="shared" si="76"/>
        <v>18</v>
      </c>
      <c r="DG37">
        <v>2016</v>
      </c>
      <c r="DH37" s="18">
        <f t="shared" ref="DH37:DJ37" si="111">EB16</f>
        <v>3781.3883095823039</v>
      </c>
      <c r="DI37" s="18">
        <f t="shared" si="111"/>
        <v>31049.251634736618</v>
      </c>
      <c r="DJ37" s="18">
        <f t="shared" si="111"/>
        <v>34830.639944318915</v>
      </c>
      <c r="DL37" s="18">
        <f t="shared" ref="DL37:DM37" si="112">DT16</f>
        <v>3.7946441654863259</v>
      </c>
      <c r="DM37" s="18">
        <f t="shared" si="112"/>
        <v>14.593665416817517</v>
      </c>
      <c r="DN37" s="18">
        <f t="shared" si="79"/>
        <v>224</v>
      </c>
      <c r="DP37" s="173">
        <f t="shared" si="83"/>
        <v>1.0035055526750401E-3</v>
      </c>
      <c r="DQ37" s="173">
        <f t="shared" si="84"/>
        <v>3.8593405971653698E-3</v>
      </c>
      <c r="DR37" s="173">
        <f t="shared" si="85"/>
        <v>5.9237502647471629E-2</v>
      </c>
      <c r="DT37" s="18">
        <f t="shared" ref="DT37:DU37" si="113">DX16</f>
        <v>298.51621823600283</v>
      </c>
      <c r="DU37" s="18">
        <f t="shared" si="113"/>
        <v>1148.0512059742966</v>
      </c>
      <c r="DV37" s="18">
        <f t="shared" si="80"/>
        <v>11072</v>
      </c>
      <c r="DX37" s="173">
        <f t="shared" si="87"/>
        <v>9.6142806193124236E-3</v>
      </c>
      <c r="DY37" s="173">
        <f t="shared" si="88"/>
        <v>3.6975165117664362E-2</v>
      </c>
      <c r="DZ37" s="173">
        <f t="shared" si="89"/>
        <v>0.31788103858269506</v>
      </c>
      <c r="EC37" s="18"/>
      <c r="ED37" s="18"/>
      <c r="EF37">
        <v>2013</v>
      </c>
      <c r="EG37">
        <v>6288</v>
      </c>
      <c r="EH37" t="s">
        <v>377</v>
      </c>
      <c r="EI37" s="20">
        <v>2.4</v>
      </c>
      <c r="EJ37">
        <v>0</v>
      </c>
      <c r="EK37" s="223">
        <v>0.6</v>
      </c>
      <c r="EL37" s="20">
        <v>0.4</v>
      </c>
      <c r="EM37">
        <v>0.1</v>
      </c>
      <c r="EN37">
        <v>0.7</v>
      </c>
      <c r="EO37">
        <v>0.3</v>
      </c>
      <c r="EP37">
        <v>0</v>
      </c>
      <c r="EQ37">
        <v>0</v>
      </c>
      <c r="ER37">
        <v>0.1</v>
      </c>
      <c r="ES37">
        <v>0</v>
      </c>
      <c r="ET37">
        <v>0</v>
      </c>
      <c r="EU37" s="223">
        <v>0.3</v>
      </c>
      <c r="EV37" s="20">
        <v>1</v>
      </c>
      <c r="EW37">
        <v>0.3</v>
      </c>
      <c r="EX37">
        <v>0.3</v>
      </c>
      <c r="EY37">
        <v>0.1</v>
      </c>
      <c r="EZ37">
        <v>0</v>
      </c>
      <c r="FA37">
        <v>0</v>
      </c>
      <c r="FB37" s="223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4.5</v>
      </c>
      <c r="FJ37">
        <v>29.9</v>
      </c>
      <c r="FK37">
        <v>0</v>
      </c>
      <c r="FL37">
        <v>58.9</v>
      </c>
    </row>
    <row r="38" spans="1:168" x14ac:dyDescent="0.3">
      <c r="A38" s="135" t="s">
        <v>152</v>
      </c>
      <c r="B38" s="143">
        <v>1174</v>
      </c>
      <c r="C38" s="137">
        <v>1778</v>
      </c>
      <c r="D38" s="142">
        <v>643</v>
      </c>
      <c r="E38" s="137">
        <v>2203</v>
      </c>
      <c r="F38" s="137">
        <v>3580</v>
      </c>
      <c r="G38" s="137">
        <v>40967</v>
      </c>
      <c r="H38" s="138">
        <v>56008</v>
      </c>
      <c r="I38" s="139">
        <v>106353</v>
      </c>
      <c r="AA38">
        <v>2016</v>
      </c>
      <c r="AB38" t="s">
        <v>434</v>
      </c>
      <c r="AC38" t="s">
        <v>161</v>
      </c>
      <c r="AD38" t="s">
        <v>430</v>
      </c>
      <c r="AE38">
        <v>11</v>
      </c>
      <c r="AF38" s="18">
        <v>9</v>
      </c>
      <c r="AG38" s="18">
        <v>2</v>
      </c>
      <c r="AH38" s="18">
        <v>0</v>
      </c>
      <c r="AI38" s="18">
        <v>11</v>
      </c>
      <c r="AJ38" s="18">
        <f t="shared" si="76"/>
        <v>11</v>
      </c>
      <c r="AK38" s="258">
        <v>2016</v>
      </c>
      <c r="AL38" s="258">
        <f>SUM(AJ36:AJ38)</f>
        <v>79</v>
      </c>
      <c r="DG38">
        <v>2017</v>
      </c>
      <c r="DH38" s="18">
        <f t="shared" ref="DH38:DJ38" si="114">EB17</f>
        <v>5406.1497379617058</v>
      </c>
      <c r="DI38" s="18">
        <f t="shared" si="114"/>
        <v>22624.875924766999</v>
      </c>
      <c r="DJ38" s="18">
        <f t="shared" si="114"/>
        <v>28031.025662728705</v>
      </c>
      <c r="DL38" s="18">
        <f t="shared" ref="DL38:DM38" si="115">DT17</f>
        <v>0</v>
      </c>
      <c r="DM38" s="18">
        <f t="shared" si="115"/>
        <v>10.14973796170575</v>
      </c>
      <c r="DN38" s="18">
        <f t="shared" si="79"/>
        <v>90</v>
      </c>
      <c r="DP38" s="173">
        <f t="shared" si="83"/>
        <v>0</v>
      </c>
      <c r="DQ38" s="173">
        <f t="shared" si="84"/>
        <v>1.8774429961558058E-3</v>
      </c>
      <c r="DR38" s="173">
        <f t="shared" si="85"/>
        <v>1.6647707585312449E-2</v>
      </c>
      <c r="DT38" s="18">
        <f t="shared" ref="DT38:DU38" si="116">DX17</f>
        <v>0</v>
      </c>
      <c r="DU38" s="18">
        <f t="shared" si="116"/>
        <v>417.71108960216736</v>
      </c>
      <c r="DV38" s="18">
        <f t="shared" si="80"/>
        <v>7474.9999999999991</v>
      </c>
      <c r="DX38" s="173">
        <f t="shared" si="87"/>
        <v>0</v>
      </c>
      <c r="DY38" s="173">
        <f t="shared" si="88"/>
        <v>1.8462469849167544E-2</v>
      </c>
      <c r="DZ38" s="173">
        <f t="shared" si="89"/>
        <v>0.26666880084730865</v>
      </c>
      <c r="EC38" s="18"/>
      <c r="ED38" s="18"/>
      <c r="EF38">
        <v>2014</v>
      </c>
      <c r="EG38">
        <v>14506</v>
      </c>
      <c r="EH38" t="s">
        <v>377</v>
      </c>
      <c r="EI38" s="20">
        <v>4.5999999999999996</v>
      </c>
      <c r="EJ38">
        <v>0.2</v>
      </c>
      <c r="EK38" s="223">
        <v>0.2</v>
      </c>
      <c r="EL38" s="20">
        <v>0.7</v>
      </c>
      <c r="EM38">
        <v>0.1</v>
      </c>
      <c r="EN38">
        <v>3</v>
      </c>
      <c r="EO38">
        <v>0</v>
      </c>
      <c r="EP38">
        <v>0</v>
      </c>
      <c r="EQ38">
        <v>0</v>
      </c>
      <c r="ER38">
        <v>0.1</v>
      </c>
      <c r="ES38">
        <v>0</v>
      </c>
      <c r="ET38">
        <v>0</v>
      </c>
      <c r="EU38" s="223">
        <v>0</v>
      </c>
      <c r="EV38" s="20">
        <v>1.6</v>
      </c>
      <c r="EW38">
        <v>0.4</v>
      </c>
      <c r="EX38">
        <v>0.4</v>
      </c>
      <c r="EY38">
        <v>0</v>
      </c>
      <c r="EZ38">
        <v>0</v>
      </c>
      <c r="FA38">
        <v>0</v>
      </c>
      <c r="FB38" s="223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3</v>
      </c>
      <c r="FJ38">
        <v>21.4</v>
      </c>
      <c r="FK38">
        <v>0</v>
      </c>
      <c r="FL38">
        <v>64.3</v>
      </c>
    </row>
    <row r="39" spans="1:168" x14ac:dyDescent="0.3">
      <c r="A39" s="135" t="s">
        <v>153</v>
      </c>
      <c r="B39" s="143">
        <v>7891</v>
      </c>
      <c r="C39" s="137">
        <v>8285</v>
      </c>
      <c r="D39" s="137">
        <v>2994</v>
      </c>
      <c r="E39" s="137">
        <v>4464</v>
      </c>
      <c r="F39" s="137">
        <v>6634</v>
      </c>
      <c r="G39" s="137">
        <v>104200</v>
      </c>
      <c r="H39" s="138">
        <v>285309</v>
      </c>
      <c r="I39" s="139">
        <v>419776</v>
      </c>
      <c r="AA39">
        <v>2017</v>
      </c>
      <c r="AB39" t="s">
        <v>433</v>
      </c>
      <c r="AC39" t="s">
        <v>161</v>
      </c>
      <c r="AD39" t="s">
        <v>430</v>
      </c>
      <c r="AE39">
        <v>11</v>
      </c>
      <c r="AF39" s="18">
        <v>192</v>
      </c>
      <c r="AG39" s="18">
        <v>138</v>
      </c>
      <c r="AH39" s="18">
        <v>31</v>
      </c>
      <c r="AI39" s="18">
        <v>361</v>
      </c>
      <c r="AJ39" s="18">
        <f t="shared" si="76"/>
        <v>330</v>
      </c>
      <c r="DG39">
        <v>2018</v>
      </c>
      <c r="DH39" s="18"/>
      <c r="DI39" s="18"/>
      <c r="DJ39" s="18"/>
      <c r="EC39" s="18"/>
      <c r="ED39" s="18"/>
      <c r="EF39">
        <v>2015</v>
      </c>
      <c r="EG39">
        <v>16842</v>
      </c>
      <c r="EH39" t="s">
        <v>377</v>
      </c>
      <c r="EI39" s="20">
        <v>5.2</v>
      </c>
      <c r="EJ39">
        <v>0.1</v>
      </c>
      <c r="EK39" s="223">
        <v>0.1</v>
      </c>
      <c r="EL39" s="20">
        <v>0.6</v>
      </c>
      <c r="EM39">
        <v>0</v>
      </c>
      <c r="EN39">
        <v>0.4</v>
      </c>
      <c r="EO39">
        <v>0.1</v>
      </c>
      <c r="EP39">
        <v>0</v>
      </c>
      <c r="EQ39">
        <v>0</v>
      </c>
      <c r="ER39">
        <v>0</v>
      </c>
      <c r="ES39">
        <v>0</v>
      </c>
      <c r="ET39">
        <v>0</v>
      </c>
      <c r="EU39" s="223">
        <v>0.1</v>
      </c>
      <c r="EV39" s="20">
        <v>4</v>
      </c>
      <c r="EW39">
        <v>0.5</v>
      </c>
      <c r="EX39">
        <v>1.3</v>
      </c>
      <c r="EY39">
        <v>0</v>
      </c>
      <c r="EZ39">
        <v>0</v>
      </c>
      <c r="FA39">
        <v>0</v>
      </c>
      <c r="FB39" s="223">
        <v>0.1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4.9000000000000004</v>
      </c>
      <c r="FJ39">
        <v>24.9</v>
      </c>
      <c r="FK39">
        <v>0.5</v>
      </c>
      <c r="FL39">
        <v>57</v>
      </c>
    </row>
    <row r="40" spans="1:168" x14ac:dyDescent="0.3">
      <c r="A40" s="135" t="s">
        <v>154</v>
      </c>
      <c r="B40" s="143">
        <v>4444</v>
      </c>
      <c r="C40" s="137">
        <v>5867</v>
      </c>
      <c r="D40" s="137">
        <v>3776</v>
      </c>
      <c r="E40" s="137">
        <v>4423</v>
      </c>
      <c r="F40" s="137">
        <v>4657</v>
      </c>
      <c r="G40" s="137">
        <v>44158</v>
      </c>
      <c r="H40" s="138">
        <v>134731</v>
      </c>
      <c r="I40" s="139">
        <v>202058</v>
      </c>
      <c r="AA40">
        <v>2017</v>
      </c>
      <c r="AB40" t="s">
        <v>432</v>
      </c>
      <c r="AC40" t="s">
        <v>161</v>
      </c>
      <c r="AD40" t="s">
        <v>430</v>
      </c>
      <c r="AE40">
        <v>11</v>
      </c>
      <c r="AF40" s="18">
        <v>552</v>
      </c>
      <c r="AG40" s="18">
        <v>488</v>
      </c>
      <c r="AH40" s="18">
        <v>23</v>
      </c>
      <c r="AI40" s="18">
        <v>1063</v>
      </c>
      <c r="AJ40" s="18">
        <f t="shared" si="76"/>
        <v>1040</v>
      </c>
      <c r="EC40" s="396"/>
      <c r="ED40" s="396"/>
      <c r="EF40">
        <v>2016</v>
      </c>
      <c r="EG40" t="s">
        <v>378</v>
      </c>
      <c r="EH40" t="s">
        <v>362</v>
      </c>
      <c r="EI40" s="32" t="s">
        <v>362</v>
      </c>
      <c r="EJ40" s="30" t="s">
        <v>362</v>
      </c>
      <c r="EK40" s="224" t="s">
        <v>362</v>
      </c>
      <c r="EL40" s="32" t="s">
        <v>362</v>
      </c>
      <c r="EM40" s="30" t="s">
        <v>362</v>
      </c>
      <c r="EN40" s="30" t="s">
        <v>362</v>
      </c>
      <c r="EO40" s="30" t="s">
        <v>362</v>
      </c>
      <c r="EP40" s="30" t="s">
        <v>362</v>
      </c>
      <c r="EQ40" s="30" t="s">
        <v>362</v>
      </c>
      <c r="ER40" s="30" t="s">
        <v>362</v>
      </c>
      <c r="ES40" s="30" t="s">
        <v>362</v>
      </c>
      <c r="ET40" s="30" t="s">
        <v>362</v>
      </c>
      <c r="EU40" s="224" t="s">
        <v>362</v>
      </c>
      <c r="EV40" s="32" t="s">
        <v>362</v>
      </c>
      <c r="EW40" s="30" t="s">
        <v>362</v>
      </c>
      <c r="EX40" s="30" t="s">
        <v>362</v>
      </c>
      <c r="EY40" s="30" t="s">
        <v>362</v>
      </c>
      <c r="EZ40" s="30" t="s">
        <v>362</v>
      </c>
      <c r="FA40" s="30" t="s">
        <v>362</v>
      </c>
      <c r="FB40" s="224" t="s">
        <v>362</v>
      </c>
      <c r="FC40" t="s">
        <v>362</v>
      </c>
      <c r="FD40" t="s">
        <v>362</v>
      </c>
      <c r="FE40" t="s">
        <v>362</v>
      </c>
      <c r="FF40" t="s">
        <v>362</v>
      </c>
      <c r="FG40" t="s">
        <v>362</v>
      </c>
      <c r="FH40" t="s">
        <v>362</v>
      </c>
      <c r="FI40" t="s">
        <v>362</v>
      </c>
      <c r="FJ40" t="s">
        <v>362</v>
      </c>
      <c r="FK40" t="s">
        <v>121</v>
      </c>
      <c r="FL40" t="s">
        <v>121</v>
      </c>
    </row>
    <row r="41" spans="1:168" x14ac:dyDescent="0.3">
      <c r="A41" s="135" t="s">
        <v>155</v>
      </c>
      <c r="B41" s="143">
        <v>9835</v>
      </c>
      <c r="C41" s="137">
        <v>8501</v>
      </c>
      <c r="D41" s="142">
        <v>934</v>
      </c>
      <c r="E41" s="137">
        <v>1704</v>
      </c>
      <c r="F41" s="137">
        <v>6016</v>
      </c>
      <c r="G41" s="137">
        <v>68381</v>
      </c>
      <c r="H41" s="138">
        <v>221073</v>
      </c>
      <c r="I41" s="139">
        <v>316444</v>
      </c>
      <c r="AA41">
        <v>2017</v>
      </c>
      <c r="AB41" t="s">
        <v>431</v>
      </c>
      <c r="AC41" t="s">
        <v>161</v>
      </c>
      <c r="AD41" t="s">
        <v>430</v>
      </c>
      <c r="AE41">
        <v>11</v>
      </c>
      <c r="AF41" s="18">
        <v>2</v>
      </c>
      <c r="AG41" s="18">
        <v>4</v>
      </c>
      <c r="AH41" s="18">
        <v>0</v>
      </c>
      <c r="AI41" s="18">
        <v>6</v>
      </c>
      <c r="AJ41" s="18">
        <f t="shared" si="76"/>
        <v>6</v>
      </c>
      <c r="AK41" s="258">
        <v>2017</v>
      </c>
      <c r="AL41" s="258">
        <f>SUM(AJ39:AJ41)</f>
        <v>1376</v>
      </c>
      <c r="DG41" s="83" t="s">
        <v>334</v>
      </c>
      <c r="DH41" s="258">
        <f t="shared" ref="DH41:DI41" si="117">AVERAGE(DH29:DH38)</f>
        <v>2719.4568931484346</v>
      </c>
      <c r="DI41" s="258">
        <f t="shared" si="117"/>
        <v>17154.040154060331</v>
      </c>
      <c r="DJ41" s="258">
        <f>AVERAGE(DJ29:DJ38)</f>
        <v>19873.497047208766</v>
      </c>
      <c r="DL41" s="258">
        <f>AVERAGE(DL29:DL38)</f>
        <v>2.2495660261844916</v>
      </c>
      <c r="DM41" s="258">
        <f>AVERAGE(DM29:DM38)</f>
        <v>6.7267552539869726</v>
      </c>
      <c r="DN41" s="258">
        <f>AVERAGE(DN29:DN38)</f>
        <v>191.39182999999997</v>
      </c>
      <c r="DP41" s="265">
        <f>AVERAGE(DP29:DP38)</f>
        <v>9.5249875270750903E-4</v>
      </c>
      <c r="DQ41" s="265">
        <f>AVERAGE(DQ29:DQ38)</f>
        <v>2.5081867706787911E-3</v>
      </c>
      <c r="DR41" s="265">
        <f>AVERAGE(DR29:DR38)</f>
        <v>8.445699092402717E-2</v>
      </c>
      <c r="DT41" s="258">
        <f>AVERAGE(DT29:DT38)</f>
        <v>158.92405275664828</v>
      </c>
      <c r="DU41" s="258">
        <f>AVERAGE(DU29:DU38)</f>
        <v>435.7332609396376</v>
      </c>
      <c r="DV41" s="258">
        <f>AVERAGE(DV29:DV38)</f>
        <v>5094.5</v>
      </c>
      <c r="DX41" s="265">
        <f>AVERAGE(DX29:DX38)</f>
        <v>9.1859409734874557E-3</v>
      </c>
      <c r="DY41" s="265">
        <f>AVERAGE(DY29:DY38)</f>
        <v>2.4255938826811763E-2</v>
      </c>
      <c r="DZ41" s="265">
        <f>AVERAGE(DZ29:DZ38)</f>
        <v>0.24237786155504634</v>
      </c>
      <c r="EB41" s="164"/>
      <c r="EC41" s="164"/>
      <c r="ED41" s="164"/>
    </row>
    <row r="42" spans="1:168" x14ac:dyDescent="0.3">
      <c r="EC42" s="18"/>
      <c r="ED42" s="18"/>
      <c r="EF42" t="s">
        <v>386</v>
      </c>
      <c r="EI42" s="225">
        <f>AVERAGE(EI30:EI39)</f>
        <v>3.97</v>
      </c>
      <c r="EJ42" s="225">
        <f t="shared" ref="EJ42:FB42" si="118">AVERAGE(EJ30:EJ39)</f>
        <v>0.06</v>
      </c>
      <c r="EK42" s="225">
        <f t="shared" si="118"/>
        <v>0.19</v>
      </c>
      <c r="EL42" s="225">
        <f t="shared" si="118"/>
        <v>0.43999999999999995</v>
      </c>
      <c r="EM42" s="225">
        <f t="shared" si="118"/>
        <v>0.16</v>
      </c>
      <c r="EN42" s="225">
        <f t="shared" si="118"/>
        <v>1.64</v>
      </c>
      <c r="EO42" s="225">
        <f t="shared" si="118"/>
        <v>0.25</v>
      </c>
      <c r="EP42" s="225">
        <f t="shared" si="118"/>
        <v>0</v>
      </c>
      <c r="EQ42" s="225">
        <f t="shared" si="118"/>
        <v>0</v>
      </c>
      <c r="ER42" s="225">
        <f t="shared" si="118"/>
        <v>0.05</v>
      </c>
      <c r="ES42" s="225">
        <f t="shared" si="118"/>
        <v>0</v>
      </c>
      <c r="ET42" s="225">
        <f t="shared" si="118"/>
        <v>0</v>
      </c>
      <c r="EU42" s="225">
        <f t="shared" si="118"/>
        <v>0.17000000000000004</v>
      </c>
      <c r="EV42" s="225">
        <f t="shared" si="118"/>
        <v>1.34</v>
      </c>
      <c r="EW42" s="225">
        <f t="shared" si="118"/>
        <v>0.25</v>
      </c>
      <c r="EX42" s="225">
        <f t="shared" si="118"/>
        <v>0.27</v>
      </c>
      <c r="EY42" s="225">
        <f t="shared" si="118"/>
        <v>0.01</v>
      </c>
      <c r="EZ42" s="225">
        <f t="shared" si="118"/>
        <v>0</v>
      </c>
      <c r="FA42" s="225">
        <f t="shared" si="118"/>
        <v>0</v>
      </c>
      <c r="FB42" s="225">
        <f t="shared" si="118"/>
        <v>0.15</v>
      </c>
    </row>
    <row r="43" spans="1:168" x14ac:dyDescent="0.3">
      <c r="EC43" s="18"/>
      <c r="ED43" s="18"/>
    </row>
    <row r="44" spans="1:168" x14ac:dyDescent="0.3">
      <c r="EC44" s="18"/>
      <c r="ED44" s="18"/>
      <c r="EF44" s="207" t="s">
        <v>379</v>
      </c>
      <c r="EG44" s="208" t="s">
        <v>373</v>
      </c>
      <c r="EH44" s="209" t="s">
        <v>380</v>
      </c>
      <c r="EI44" s="402">
        <f>SUM(EI42:EK42)</f>
        <v>4.2200000000000006</v>
      </c>
      <c r="EJ44" s="403"/>
      <c r="EK44" s="404"/>
      <c r="EL44" s="405">
        <f>SUM(EL42:EU42)</f>
        <v>2.7099999999999995</v>
      </c>
      <c r="EM44" s="406"/>
      <c r="EN44" s="406"/>
      <c r="EO44" s="406"/>
      <c r="EP44" s="406"/>
      <c r="EQ44" s="406"/>
      <c r="ER44" s="406"/>
      <c r="ES44" s="406"/>
      <c r="ET44" s="406"/>
      <c r="EU44" s="407"/>
      <c r="EV44" s="408">
        <f>SUM(EV42:FB42)</f>
        <v>2.02</v>
      </c>
      <c r="EW44" s="409"/>
      <c r="EX44" s="409"/>
      <c r="EY44" s="409"/>
      <c r="EZ44" s="409"/>
      <c r="FA44" s="409"/>
      <c r="FB44" s="410"/>
    </row>
    <row r="45" spans="1:168" x14ac:dyDescent="0.3">
      <c r="EC45" s="18"/>
      <c r="ED45" s="18"/>
    </row>
    <row r="46" spans="1:168" x14ac:dyDescent="0.3">
      <c r="EC46" s="18"/>
      <c r="ED46" s="18"/>
      <c r="EM46" s="395" t="s">
        <v>14</v>
      </c>
      <c r="EN46" s="395"/>
      <c r="EO46" s="395"/>
      <c r="EP46" s="395"/>
      <c r="EQ46" s="395"/>
      <c r="ER46" s="395"/>
      <c r="ES46" s="395"/>
      <c r="EU46" s="395" t="s">
        <v>211</v>
      </c>
      <c r="EV46" s="395"/>
      <c r="EW46" s="395"/>
      <c r="EX46" s="395"/>
      <c r="EY46" s="395"/>
      <c r="EZ46" s="395"/>
      <c r="FA46" s="395"/>
    </row>
    <row r="47" spans="1:168" x14ac:dyDescent="0.3">
      <c r="EC47" s="18"/>
      <c r="ED47" s="18"/>
      <c r="EH47" s="395" t="s">
        <v>348</v>
      </c>
      <c r="EI47" s="395"/>
      <c r="EJ47" s="395"/>
      <c r="EK47" s="395"/>
      <c r="EM47" s="395" t="s">
        <v>18</v>
      </c>
      <c r="EN47" s="395"/>
      <c r="EP47" s="395" t="s">
        <v>350</v>
      </c>
      <c r="EQ47" s="395"/>
      <c r="ER47" s="395"/>
      <c r="ES47" s="395"/>
      <c r="EU47" s="395" t="s">
        <v>18</v>
      </c>
      <c r="EV47" s="395"/>
      <c r="EX47" s="395" t="s">
        <v>350</v>
      </c>
      <c r="EY47" s="395"/>
      <c r="EZ47" s="395"/>
      <c r="FA47" s="395"/>
    </row>
    <row r="48" spans="1:168" x14ac:dyDescent="0.3">
      <c r="EC48" s="18"/>
      <c r="ED48" s="18"/>
      <c r="EF48" s="163" t="s">
        <v>4</v>
      </c>
      <c r="EG48" s="30"/>
      <c r="EH48" s="201" t="s">
        <v>388</v>
      </c>
      <c r="EI48" s="201" t="s">
        <v>389</v>
      </c>
      <c r="EJ48" s="201" t="s">
        <v>380</v>
      </c>
      <c r="EK48" s="201" t="s">
        <v>390</v>
      </c>
      <c r="EL48" s="30"/>
      <c r="EM48" s="201" t="s">
        <v>391</v>
      </c>
      <c r="EN48" s="201" t="s">
        <v>141</v>
      </c>
      <c r="EO48" s="30"/>
      <c r="EP48" s="201" t="s">
        <v>392</v>
      </c>
      <c r="EQ48" s="201" t="s">
        <v>389</v>
      </c>
      <c r="ER48" s="201" t="s">
        <v>380</v>
      </c>
      <c r="ES48" s="201" t="s">
        <v>390</v>
      </c>
      <c r="EU48" s="201" t="s">
        <v>391</v>
      </c>
      <c r="EV48" s="201" t="s">
        <v>141</v>
      </c>
      <c r="EW48" s="30"/>
      <c r="EX48" s="201" t="s">
        <v>392</v>
      </c>
      <c r="EY48" s="201" t="s">
        <v>389</v>
      </c>
      <c r="EZ48" s="201" t="s">
        <v>380</v>
      </c>
      <c r="FA48" s="201" t="s">
        <v>390</v>
      </c>
    </row>
    <row r="49" spans="132:157" x14ac:dyDescent="0.3">
      <c r="EC49" s="18"/>
      <c r="ED49" s="18"/>
    </row>
    <row r="50" spans="132:157" x14ac:dyDescent="0.3">
      <c r="EC50" s="18"/>
      <c r="ED50" s="18"/>
      <c r="EF50">
        <v>2008</v>
      </c>
      <c r="EH50" s="174">
        <f>SUM(EI32:EK32)</f>
        <v>2.3000000000000003</v>
      </c>
      <c r="EI50" s="174">
        <f>SUM(EL32:EU32)</f>
        <v>1.7999999999999998</v>
      </c>
      <c r="EJ50" s="174">
        <f>SUM(EV32:FB32)</f>
        <v>0.1</v>
      </c>
      <c r="EK50" s="174">
        <f>SUM(EH50:EJ50)</f>
        <v>4.1999999999999993</v>
      </c>
      <c r="EM50" s="200">
        <f t="shared" ref="EM50:EM57" si="119">EC8</f>
        <v>9291.5608309838062</v>
      </c>
      <c r="EN50" s="18">
        <f>EM50/(1-(EK50/100))</f>
        <v>9698.9152724256855</v>
      </c>
      <c r="EP50" s="18">
        <f>EN50*(EH50/100)</f>
        <v>223.07505126579079</v>
      </c>
      <c r="EQ50" s="18">
        <f>EN50*(EI50/100)</f>
        <v>174.58047490366232</v>
      </c>
      <c r="ER50" s="18">
        <f>EN50*(EJ50/100)</f>
        <v>9.6989152724256851</v>
      </c>
      <c r="ES50" s="18">
        <f>EN50*(EK50/100)</f>
        <v>407.35444144187875</v>
      </c>
      <c r="EU50" s="226">
        <f t="shared" ref="EU50:EU57" si="120">EB8</f>
        <v>2929.8217255188511</v>
      </c>
      <c r="EV50" s="18">
        <f>EU50/(1-(EK50/100))</f>
        <v>3058.2690245499489</v>
      </c>
      <c r="EX50" s="18">
        <f>EV50*(EH50/100)</f>
        <v>70.340187564648829</v>
      </c>
      <c r="EY50" s="18">
        <f>EV50*(EI50/100)</f>
        <v>55.048842441899076</v>
      </c>
      <c r="EZ50" s="18">
        <f>EV50*(EJ50/100)</f>
        <v>3.0582690245499489</v>
      </c>
      <c r="FA50" s="18">
        <f>EV50*(EK50/100)</f>
        <v>128.44729903109783</v>
      </c>
    </row>
    <row r="51" spans="132:157" x14ac:dyDescent="0.3">
      <c r="EC51" s="18"/>
      <c r="ED51" s="18"/>
      <c r="EF51">
        <v>2009</v>
      </c>
      <c r="EH51" s="174">
        <f t="shared" ref="EH51:EH57" si="121">SUM(EI33:EK33)</f>
        <v>3.4</v>
      </c>
      <c r="EI51" s="174">
        <f t="shared" ref="EI51:EI57" si="122">SUM(EL33:EU33)</f>
        <v>3.7</v>
      </c>
      <c r="EJ51" s="174">
        <f t="shared" ref="EJ51:EJ57" si="123">SUM(EV33:FB33)</f>
        <v>0.7</v>
      </c>
      <c r="EK51" s="174">
        <f t="shared" ref="EK51:EK57" si="124">SUM(EH51:EJ51)</f>
        <v>7.8</v>
      </c>
      <c r="EM51" s="200">
        <f t="shared" si="119"/>
        <v>9259.8249889015533</v>
      </c>
      <c r="EN51" s="18">
        <f t="shared" ref="EN51:EN57" si="125">EM51/(1-(EK51/100))</f>
        <v>10043.194131129667</v>
      </c>
      <c r="EP51" s="18">
        <f t="shared" ref="EP51:EP57" si="126">EN51*(EH51/100)</f>
        <v>341.46860045840867</v>
      </c>
      <c r="EQ51" s="18">
        <f t="shared" ref="EQ51:EQ57" si="127">EN51*(EI51/100)</f>
        <v>371.59818285179773</v>
      </c>
      <c r="ER51" s="18">
        <f t="shared" ref="ER51:ER57" si="128">EN51*(EJ51/100)</f>
        <v>70.302358917907654</v>
      </c>
      <c r="ES51" s="18">
        <f t="shared" ref="ES51:ES57" si="129">EN51*(EK51/100)</f>
        <v>783.36914222811401</v>
      </c>
      <c r="EU51" s="226">
        <f t="shared" si="120"/>
        <v>1029.9181619432209</v>
      </c>
      <c r="EV51" s="18">
        <f t="shared" ref="EV51:EV57" si="130">EU51/(1-(EK51/100))</f>
        <v>1117.0478979861398</v>
      </c>
      <c r="EX51" s="18">
        <f t="shared" ref="EX51:EX57" si="131">EV51*(EH51/100)</f>
        <v>37.979628531528753</v>
      </c>
      <c r="EY51" s="18">
        <f t="shared" ref="EY51:EY57" si="132">EV51*(EI51/100)</f>
        <v>41.330772225487181</v>
      </c>
      <c r="EZ51" s="18">
        <f t="shared" ref="EZ51:EZ57" si="133">EV51*(EJ51/100)</f>
        <v>7.8193352859029774</v>
      </c>
      <c r="FA51" s="18">
        <f t="shared" ref="FA51:FA57" si="134">EV51*(EK51/100)</f>
        <v>87.129736042918907</v>
      </c>
    </row>
    <row r="52" spans="132:157" x14ac:dyDescent="0.3">
      <c r="EC52" s="18"/>
      <c r="ED52" s="18"/>
      <c r="EF52">
        <v>2010</v>
      </c>
      <c r="EH52" s="174">
        <f t="shared" si="121"/>
        <v>3</v>
      </c>
      <c r="EI52" s="174">
        <f t="shared" si="122"/>
        <v>1.4000000000000001</v>
      </c>
      <c r="EJ52" s="174">
        <f t="shared" si="123"/>
        <v>2.3000000000000003</v>
      </c>
      <c r="EK52" s="174">
        <f t="shared" si="124"/>
        <v>6.7000000000000011</v>
      </c>
      <c r="EM52" s="200">
        <f t="shared" si="119"/>
        <v>17485.334263240089</v>
      </c>
      <c r="EN52" s="18">
        <f t="shared" si="125"/>
        <v>18740.979917727855</v>
      </c>
      <c r="EP52" s="18">
        <f t="shared" si="126"/>
        <v>562.22939753183562</v>
      </c>
      <c r="EQ52" s="18">
        <f t="shared" si="127"/>
        <v>262.37371884818998</v>
      </c>
      <c r="ER52" s="18">
        <f t="shared" si="128"/>
        <v>431.04253810774071</v>
      </c>
      <c r="ES52" s="18">
        <f t="shared" si="129"/>
        <v>1255.6456544877663</v>
      </c>
      <c r="EU52" s="226">
        <f t="shared" si="120"/>
        <v>1629.206636063406</v>
      </c>
      <c r="EV52" s="18">
        <f t="shared" si="130"/>
        <v>1746.2021822758907</v>
      </c>
      <c r="EX52" s="18">
        <f t="shared" si="131"/>
        <v>52.386065468276719</v>
      </c>
      <c r="EY52" s="18">
        <f t="shared" si="132"/>
        <v>24.446830551862472</v>
      </c>
      <c r="EZ52" s="18">
        <f t="shared" si="133"/>
        <v>40.162650192345488</v>
      </c>
      <c r="FA52" s="18">
        <f t="shared" si="134"/>
        <v>116.99554621248468</v>
      </c>
    </row>
    <row r="53" spans="132:157" x14ac:dyDescent="0.3">
      <c r="EB53" s="18"/>
      <c r="EC53" s="18"/>
      <c r="EF53">
        <v>2011</v>
      </c>
      <c r="EH53" s="174">
        <f t="shared" si="121"/>
        <v>4.3</v>
      </c>
      <c r="EI53" s="174">
        <f t="shared" si="122"/>
        <v>2.4000000000000004</v>
      </c>
      <c r="EJ53" s="174">
        <f t="shared" si="123"/>
        <v>1.5</v>
      </c>
      <c r="EK53" s="174">
        <f t="shared" si="124"/>
        <v>8.1999999999999993</v>
      </c>
      <c r="EM53" s="200">
        <f t="shared" si="119"/>
        <v>10139.551103326996</v>
      </c>
      <c r="EN53" s="18">
        <f t="shared" si="125"/>
        <v>11045.262639789755</v>
      </c>
      <c r="EP53" s="18">
        <f t="shared" si="126"/>
        <v>474.94629351095944</v>
      </c>
      <c r="EQ53" s="18">
        <f t="shared" si="127"/>
        <v>265.08630335495417</v>
      </c>
      <c r="ER53" s="18">
        <f t="shared" si="128"/>
        <v>165.67893959684631</v>
      </c>
      <c r="ES53" s="18">
        <f t="shared" si="129"/>
        <v>905.7115364627598</v>
      </c>
      <c r="EU53" s="226">
        <f t="shared" si="120"/>
        <v>1462.7996478274777</v>
      </c>
      <c r="EV53" s="18">
        <f t="shared" si="130"/>
        <v>1593.4636686573831</v>
      </c>
      <c r="EX53" s="18">
        <f t="shared" si="131"/>
        <v>68.518937752267462</v>
      </c>
      <c r="EY53" s="18">
        <f t="shared" si="132"/>
        <v>38.243128047777198</v>
      </c>
      <c r="EZ53" s="18">
        <f t="shared" si="133"/>
        <v>23.901955029860744</v>
      </c>
      <c r="FA53" s="18">
        <f t="shared" si="134"/>
        <v>130.66402082990541</v>
      </c>
    </row>
    <row r="54" spans="132:157" x14ac:dyDescent="0.3">
      <c r="EB54" s="18"/>
      <c r="EC54" s="18"/>
      <c r="EF54">
        <v>2012</v>
      </c>
      <c r="EH54" s="174">
        <f t="shared" si="121"/>
        <v>6.7</v>
      </c>
      <c r="EI54" s="174">
        <f t="shared" si="122"/>
        <v>3.8000000000000003</v>
      </c>
      <c r="EJ54" s="174">
        <f t="shared" si="123"/>
        <v>3.0999999999999996</v>
      </c>
      <c r="EK54" s="174">
        <f t="shared" si="124"/>
        <v>13.6</v>
      </c>
      <c r="EM54" s="200">
        <f t="shared" si="119"/>
        <v>16354.477441742487</v>
      </c>
      <c r="EN54" s="18">
        <f t="shared" si="125"/>
        <v>18928.793335350099</v>
      </c>
      <c r="EP54" s="18">
        <f t="shared" si="126"/>
        <v>1268.2291534684568</v>
      </c>
      <c r="EQ54" s="18">
        <f t="shared" si="127"/>
        <v>719.29414674330394</v>
      </c>
      <c r="ER54" s="18">
        <f t="shared" si="128"/>
        <v>586.79259339585303</v>
      </c>
      <c r="ES54" s="18">
        <f t="shared" si="129"/>
        <v>2574.3158936076138</v>
      </c>
      <c r="EU54" s="226">
        <f t="shared" si="120"/>
        <v>3433.8685629487159</v>
      </c>
      <c r="EV54" s="18">
        <f t="shared" si="130"/>
        <v>3974.384910820273</v>
      </c>
      <c r="EX54" s="18">
        <f t="shared" si="131"/>
        <v>266.28378902495831</v>
      </c>
      <c r="EY54" s="18">
        <f t="shared" si="132"/>
        <v>151.0266266111704</v>
      </c>
      <c r="EZ54" s="18">
        <f t="shared" si="133"/>
        <v>123.20593223542845</v>
      </c>
      <c r="FA54" s="18">
        <f t="shared" si="134"/>
        <v>540.51634787155717</v>
      </c>
    </row>
    <row r="55" spans="132:157" x14ac:dyDescent="0.3">
      <c r="EB55" s="18"/>
      <c r="EC55" s="18"/>
      <c r="EF55">
        <v>2013</v>
      </c>
      <c r="EH55" s="174">
        <f t="shared" si="121"/>
        <v>3</v>
      </c>
      <c r="EI55" s="174">
        <f t="shared" si="122"/>
        <v>1.9000000000000001</v>
      </c>
      <c r="EJ55" s="174">
        <f t="shared" si="123"/>
        <v>1.7000000000000002</v>
      </c>
      <c r="EK55" s="174">
        <f t="shared" si="124"/>
        <v>6.6000000000000005</v>
      </c>
      <c r="EM55" s="200">
        <f t="shared" si="119"/>
        <v>11186.95803931827</v>
      </c>
      <c r="EN55" s="18">
        <f t="shared" si="125"/>
        <v>11977.471134173737</v>
      </c>
      <c r="EP55" s="18">
        <f t="shared" si="126"/>
        <v>359.32413402521206</v>
      </c>
      <c r="EQ55" s="18">
        <f t="shared" si="127"/>
        <v>227.57195154930102</v>
      </c>
      <c r="ER55" s="18">
        <f t="shared" si="128"/>
        <v>203.61700928095354</v>
      </c>
      <c r="ES55" s="18">
        <f t="shared" si="129"/>
        <v>790.51309485546665</v>
      </c>
      <c r="EU55" s="226">
        <f t="shared" si="120"/>
        <v>2647.3214635052673</v>
      </c>
      <c r="EV55" s="18">
        <f t="shared" si="130"/>
        <v>2834.391288549537</v>
      </c>
      <c r="EX55" s="18">
        <f t="shared" si="131"/>
        <v>85.031738656486112</v>
      </c>
      <c r="EY55" s="18">
        <f t="shared" si="132"/>
        <v>53.853434482441209</v>
      </c>
      <c r="EZ55" s="18">
        <f t="shared" si="133"/>
        <v>48.184651905342129</v>
      </c>
      <c r="FA55" s="18">
        <f t="shared" si="134"/>
        <v>187.06982504426944</v>
      </c>
    </row>
    <row r="56" spans="132:157" x14ac:dyDescent="0.3">
      <c r="EB56" s="18"/>
      <c r="EC56" s="18"/>
      <c r="EF56">
        <v>2014</v>
      </c>
      <c r="EH56" s="174">
        <f t="shared" si="121"/>
        <v>5</v>
      </c>
      <c r="EI56" s="174">
        <f t="shared" si="122"/>
        <v>3.9</v>
      </c>
      <c r="EJ56" s="174">
        <f t="shared" si="123"/>
        <v>2.4</v>
      </c>
      <c r="EK56" s="174">
        <f t="shared" si="124"/>
        <v>11.3</v>
      </c>
      <c r="EM56" s="200">
        <f t="shared" si="119"/>
        <v>11943.747188798294</v>
      </c>
      <c r="EN56" s="18">
        <f t="shared" si="125"/>
        <v>13465.329412399429</v>
      </c>
      <c r="EP56" s="18">
        <f t="shared" si="126"/>
        <v>673.26647061997153</v>
      </c>
      <c r="EQ56" s="18">
        <f t="shared" si="127"/>
        <v>525.14784708357774</v>
      </c>
      <c r="ER56" s="18">
        <f t="shared" si="128"/>
        <v>323.16790589758631</v>
      </c>
      <c r="ES56" s="18">
        <f t="shared" si="129"/>
        <v>1521.5822236011356</v>
      </c>
      <c r="EU56" s="226">
        <f t="shared" si="120"/>
        <v>1754.6351898908042</v>
      </c>
      <c r="EV56" s="18">
        <f t="shared" si="130"/>
        <v>1978.1681960437477</v>
      </c>
      <c r="EX56" s="18">
        <f t="shared" si="131"/>
        <v>98.908409802187393</v>
      </c>
      <c r="EY56" s="18">
        <f t="shared" si="132"/>
        <v>77.148559645706158</v>
      </c>
      <c r="EZ56" s="18">
        <f t="shared" si="133"/>
        <v>47.476036705049943</v>
      </c>
      <c r="FA56" s="18">
        <f t="shared" si="134"/>
        <v>223.5330061529435</v>
      </c>
    </row>
    <row r="57" spans="132:157" x14ac:dyDescent="0.3">
      <c r="EF57">
        <v>2015</v>
      </c>
      <c r="EH57" s="174">
        <f t="shared" si="121"/>
        <v>5.3999999999999995</v>
      </c>
      <c r="EI57" s="174">
        <f t="shared" si="122"/>
        <v>1.2000000000000002</v>
      </c>
      <c r="EJ57" s="174">
        <f t="shared" si="123"/>
        <v>5.8999999999999995</v>
      </c>
      <c r="EK57" s="174">
        <f t="shared" si="124"/>
        <v>12.5</v>
      </c>
      <c r="EM57" s="200">
        <f t="shared" si="119"/>
        <v>32204.820124788213</v>
      </c>
      <c r="EN57" s="18">
        <f t="shared" si="125"/>
        <v>36805.508714043674</v>
      </c>
      <c r="EP57" s="18">
        <f t="shared" si="126"/>
        <v>1987.4974705583581</v>
      </c>
      <c r="EQ57" s="18">
        <f t="shared" si="127"/>
        <v>441.66610456852413</v>
      </c>
      <c r="ER57" s="18">
        <f t="shared" si="128"/>
        <v>2171.5250141285765</v>
      </c>
      <c r="ES57" s="18">
        <f t="shared" si="129"/>
        <v>4600.6885892554592</v>
      </c>
      <c r="EU57" s="226">
        <f t="shared" si="120"/>
        <v>3119.4594962425931</v>
      </c>
      <c r="EV57" s="18">
        <f t="shared" si="130"/>
        <v>3565.096567134392</v>
      </c>
      <c r="EX57" s="18">
        <f t="shared" si="131"/>
        <v>192.51521462525713</v>
      </c>
      <c r="EY57" s="18">
        <f t="shared" si="132"/>
        <v>42.781158805612712</v>
      </c>
      <c r="EZ57" s="18">
        <f t="shared" si="133"/>
        <v>210.34069746092911</v>
      </c>
      <c r="FA57" s="18">
        <f t="shared" si="134"/>
        <v>445.637070891799</v>
      </c>
    </row>
    <row r="58" spans="132:157" x14ac:dyDescent="0.3">
      <c r="EB58" s="396"/>
      <c r="EC58" s="396"/>
      <c r="EF58">
        <v>2016</v>
      </c>
      <c r="EH58" s="174"/>
      <c r="EI58" s="174"/>
      <c r="EJ58" s="174"/>
      <c r="EK58" s="174"/>
      <c r="EM58" s="200"/>
      <c r="EN58" s="18"/>
      <c r="EU58" s="226"/>
    </row>
    <row r="59" spans="132:157" x14ac:dyDescent="0.3">
      <c r="EB59" s="164"/>
      <c r="EC59" s="164"/>
      <c r="EF59">
        <v>2017</v>
      </c>
      <c r="EH59" s="174"/>
      <c r="EI59" s="174"/>
      <c r="EJ59" s="174"/>
      <c r="EK59" s="174"/>
      <c r="EM59" s="200"/>
      <c r="EN59" s="18"/>
      <c r="EU59" s="226"/>
    </row>
    <row r="60" spans="132:157" x14ac:dyDescent="0.3">
      <c r="EB60" s="18"/>
      <c r="EC60" s="18"/>
      <c r="EU60" s="226"/>
    </row>
    <row r="61" spans="132:157" x14ac:dyDescent="0.3">
      <c r="EF61" s="83" t="s">
        <v>393</v>
      </c>
      <c r="EH61" s="227">
        <f>AVERAGE(EH50:EH59)</f>
        <v>4.1375000000000002</v>
      </c>
      <c r="EI61" s="227">
        <f t="shared" ref="EI61:EJ61" si="135">AVERAGE(EI50:EI59)</f>
        <v>2.5125000000000002</v>
      </c>
      <c r="EJ61" s="227">
        <f t="shared" si="135"/>
        <v>2.2124999999999999</v>
      </c>
      <c r="EK61" s="227">
        <f>AVERAGE(EK50:EK59)</f>
        <v>8.8625000000000007</v>
      </c>
      <c r="EM61" s="228">
        <f>AVERAGE(EM50:EM57)</f>
        <v>14733.284247637463</v>
      </c>
      <c r="EN61" s="228">
        <f>AVERAGE(EN50:EN57)</f>
        <v>16338.181819629986</v>
      </c>
      <c r="EP61" s="228">
        <f t="shared" ref="EP61:ES61" si="136">AVERAGE(EP50:EP57)</f>
        <v>736.2545714298742</v>
      </c>
      <c r="EQ61" s="228">
        <f t="shared" si="136"/>
        <v>373.41484123791389</v>
      </c>
      <c r="ER61" s="228">
        <f t="shared" si="136"/>
        <v>495.22815932473623</v>
      </c>
      <c r="ES61" s="228">
        <f t="shared" si="136"/>
        <v>1604.8975719925243</v>
      </c>
      <c r="EU61" s="228">
        <f>AVERAGE(EU50:EU57)</f>
        <v>2250.8788604925421</v>
      </c>
      <c r="EV61" s="228">
        <f>AVERAGE(EV50:EV57)</f>
        <v>2483.377967002164</v>
      </c>
      <c r="EX61" s="228">
        <f t="shared" ref="EX61:FA61" si="137">AVERAGE(EX50:EX57)</f>
        <v>108.99549642820135</v>
      </c>
      <c r="EY61" s="228">
        <f t="shared" si="137"/>
        <v>60.484919101494555</v>
      </c>
      <c r="EZ61" s="228">
        <f t="shared" si="137"/>
        <v>63.018690979926099</v>
      </c>
      <c r="FA61" s="228">
        <f t="shared" si="137"/>
        <v>232.49910650962198</v>
      </c>
    </row>
  </sheetData>
  <mergeCells count="80">
    <mergeCell ref="BA5:BC5"/>
    <mergeCell ref="BT5:BV5"/>
    <mergeCell ref="CN5:CR5"/>
    <mergeCell ref="N2:P2"/>
    <mergeCell ref="Q2:S2"/>
    <mergeCell ref="T2:V2"/>
    <mergeCell ref="W2:Y2"/>
    <mergeCell ref="AO5:AQ5"/>
    <mergeCell ref="AT4:BG4"/>
    <mergeCell ref="BE5:BG5"/>
    <mergeCell ref="BJ5:BN5"/>
    <mergeCell ref="BP5:BR5"/>
    <mergeCell ref="BI4:BU4"/>
    <mergeCell ref="AT5:AY5"/>
    <mergeCell ref="DH5:DJ5"/>
    <mergeCell ref="DP5:DR5"/>
    <mergeCell ref="DL5:DN5"/>
    <mergeCell ref="BX4:CJ4"/>
    <mergeCell ref="BY5:CC5"/>
    <mergeCell ref="CE5:CG5"/>
    <mergeCell ref="CI5:CK5"/>
    <mergeCell ref="CM4:CY4"/>
    <mergeCell ref="CT5:CV5"/>
    <mergeCell ref="CX5:CZ5"/>
    <mergeCell ref="DB5:DE5"/>
    <mergeCell ref="EH47:EK47"/>
    <mergeCell ref="EM47:EN47"/>
    <mergeCell ref="EP47:ES47"/>
    <mergeCell ref="FC5:FJ5"/>
    <mergeCell ref="EU47:EV47"/>
    <mergeCell ref="EX47:FA47"/>
    <mergeCell ref="EI44:EK44"/>
    <mergeCell ref="EL44:EU44"/>
    <mergeCell ref="EV44:FB44"/>
    <mergeCell ref="EM46:ES46"/>
    <mergeCell ref="EU46:FA46"/>
    <mergeCell ref="HY7:HZ7"/>
    <mergeCell ref="HQ6:HZ6"/>
    <mergeCell ref="GS7:GT7"/>
    <mergeCell ref="GV7:GW7"/>
    <mergeCell ref="HC7:HD7"/>
    <mergeCell ref="HF7:HG7"/>
    <mergeCell ref="HK7:HL7"/>
    <mergeCell ref="HN7:HO7"/>
    <mergeCell ref="HJ6:HO6"/>
    <mergeCell ref="GY6:HG6"/>
    <mergeCell ref="GP6:GW6"/>
    <mergeCell ref="HR7:HS7"/>
    <mergeCell ref="HU7:HW7"/>
    <mergeCell ref="GL6:GM6"/>
    <mergeCell ref="GB6:GE6"/>
    <mergeCell ref="FH6:FJ6"/>
    <mergeCell ref="EI5:EO5"/>
    <mergeCell ref="GD7:GE7"/>
    <mergeCell ref="GI7:GJ7"/>
    <mergeCell ref="GG6:GJ6"/>
    <mergeCell ref="EP5:FB5"/>
    <mergeCell ref="DH26:DJ26"/>
    <mergeCell ref="DL26:DN26"/>
    <mergeCell ref="DP26:DR26"/>
    <mergeCell ref="DT26:DV26"/>
    <mergeCell ref="FZ5:GN5"/>
    <mergeCell ref="FK5:FL5"/>
    <mergeCell ref="EI6:EK6"/>
    <mergeCell ref="EL6:EM6"/>
    <mergeCell ref="EN6:EO6"/>
    <mergeCell ref="EP6:ER6"/>
    <mergeCell ref="ES6:EU6"/>
    <mergeCell ref="EV6:EW6"/>
    <mergeCell ref="EX6:EY6"/>
    <mergeCell ref="FA6:FB6"/>
    <mergeCell ref="FC6:FE6"/>
    <mergeCell ref="FF6:FG6"/>
    <mergeCell ref="DX5:DZ5"/>
    <mergeCell ref="DX26:DZ26"/>
    <mergeCell ref="DT5:DV5"/>
    <mergeCell ref="EB5:ED5"/>
    <mergeCell ref="EB58:EC58"/>
    <mergeCell ref="EC26:ED26"/>
    <mergeCell ref="EC40:ED40"/>
  </mergeCell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020AB-1174-4577-8F21-EC6A7E0DDF86}">
  <dimension ref="A1:S22"/>
  <sheetViews>
    <sheetView topLeftCell="A2" workbookViewId="0">
      <selection activeCell="G25" sqref="G25"/>
    </sheetView>
  </sheetViews>
  <sheetFormatPr defaultRowHeight="14.4" x14ac:dyDescent="0.3"/>
  <cols>
    <col min="1" max="1" width="3" customWidth="1"/>
    <col min="3" max="3" width="18.33203125" customWidth="1"/>
    <col min="4" max="4" width="10.109375" bestFit="1" customWidth="1"/>
    <col min="6" max="6" width="11.109375" customWidth="1"/>
    <col min="7" max="7" width="10.88671875" customWidth="1"/>
    <col min="8" max="8" width="11.33203125" customWidth="1"/>
  </cols>
  <sheetData>
    <row r="1" spans="1:19" x14ac:dyDescent="0.3">
      <c r="C1" t="s">
        <v>457</v>
      </c>
    </row>
    <row r="3" spans="1:19" ht="83.4" x14ac:dyDescent="0.3">
      <c r="A3" s="272"/>
      <c r="B3" s="272"/>
      <c r="C3" s="272"/>
      <c r="D3" s="272" t="s">
        <v>458</v>
      </c>
      <c r="E3" s="272" t="s">
        <v>459</v>
      </c>
      <c r="F3" s="272" t="s">
        <v>460</v>
      </c>
      <c r="G3" s="272" t="s">
        <v>461</v>
      </c>
      <c r="H3" s="272" t="s">
        <v>462</v>
      </c>
      <c r="I3" s="272" t="s">
        <v>463</v>
      </c>
      <c r="J3" s="272" t="s">
        <v>464</v>
      </c>
      <c r="K3" s="272" t="s">
        <v>465</v>
      </c>
      <c r="L3" s="272"/>
      <c r="M3" s="272" t="s">
        <v>466</v>
      </c>
      <c r="N3" s="272" t="s">
        <v>467</v>
      </c>
      <c r="O3" s="272"/>
      <c r="P3" s="272" t="s">
        <v>468</v>
      </c>
      <c r="Q3" s="272" t="s">
        <v>469</v>
      </c>
      <c r="R3" s="272"/>
      <c r="S3" s="272"/>
    </row>
    <row r="4" spans="1:19" x14ac:dyDescent="0.3">
      <c r="B4" t="s">
        <v>211</v>
      </c>
      <c r="C4" t="s">
        <v>470</v>
      </c>
      <c r="D4" s="273">
        <f>Run!DC20</f>
        <v>2682.5927418682631</v>
      </c>
      <c r="E4" s="274">
        <v>0</v>
      </c>
      <c r="F4" s="269">
        <f>Run!DL41+Run!DM41+Run!DN41</f>
        <v>200.36815128017145</v>
      </c>
      <c r="G4" s="275">
        <f>Summary!V37</f>
        <v>8.7917676447413468E-2</v>
      </c>
      <c r="H4" s="273">
        <f>Run!DH41</f>
        <v>2719.4568931484346</v>
      </c>
      <c r="I4" s="276">
        <f>Run!EK61/100</f>
        <v>8.8625000000000009E-2</v>
      </c>
    </row>
    <row r="5" spans="1:19" x14ac:dyDescent="0.3">
      <c r="C5" t="s">
        <v>471</v>
      </c>
      <c r="D5" s="18">
        <f>(H5-F5)*(1-E4)</f>
        <v>2480.3685619039225</v>
      </c>
      <c r="E5" s="274"/>
      <c r="F5" s="15">
        <f>H4*G4</f>
        <v>239.08833124451232</v>
      </c>
      <c r="G5" s="277">
        <f>F4/H4</f>
        <v>7.3679473201061274E-2</v>
      </c>
      <c r="H5" s="18">
        <f>K5-J5</f>
        <v>2719.4568931484346</v>
      </c>
      <c r="J5" s="18">
        <f>K5*I4</f>
        <v>264.44862669623376</v>
      </c>
      <c r="K5" s="18">
        <f>H4/(1-I4)</f>
        <v>2983.9055198446681</v>
      </c>
      <c r="M5" s="18">
        <f>F5+J5</f>
        <v>503.53695794074611</v>
      </c>
      <c r="N5" s="277">
        <f>M5/K5</f>
        <v>0.16875097237226147</v>
      </c>
    </row>
    <row r="6" spans="1:19" x14ac:dyDescent="0.3">
      <c r="N6" s="274"/>
    </row>
    <row r="7" spans="1:19" x14ac:dyDescent="0.3">
      <c r="C7" t="s">
        <v>229</v>
      </c>
      <c r="D7" s="273">
        <f>D4*(Summary!W13/Summary!U13)</f>
        <v>11736.343245673652</v>
      </c>
      <c r="E7" s="274">
        <f>$E$4</f>
        <v>0</v>
      </c>
      <c r="F7" s="18">
        <f>H7*G7</f>
        <v>1131.2926492533124</v>
      </c>
      <c r="G7" s="274">
        <f>$G$4</f>
        <v>8.7917676447413468E-2</v>
      </c>
      <c r="H7" s="18">
        <f>D7/(1-E7)/(1-G7)</f>
        <v>12867.635894926963</v>
      </c>
      <c r="I7" s="274">
        <f>$I$4</f>
        <v>8.8625000000000009E-2</v>
      </c>
      <c r="J7" s="18">
        <f>K7*I7</f>
        <v>1251.2897887125521</v>
      </c>
      <c r="K7" s="18">
        <f>H7/(1-I7)</f>
        <v>14118.925683639514</v>
      </c>
      <c r="M7" s="18">
        <f>F7+J7</f>
        <v>2382.5824379658643</v>
      </c>
      <c r="N7" s="277">
        <f>M7/K7</f>
        <v>0.16875097237226144</v>
      </c>
      <c r="P7" s="278">
        <v>0.16800000000000001</v>
      </c>
      <c r="Q7" s="274">
        <f>(P7-I7)/(1-I7)</f>
        <v>8.7093677136195299E-2</v>
      </c>
    </row>
    <row r="8" spans="1:19" x14ac:dyDescent="0.3">
      <c r="C8" t="s">
        <v>472</v>
      </c>
      <c r="D8" s="273">
        <f>D4*(Summary!X13/Summary!U13)</f>
        <v>25807.979280027263</v>
      </c>
      <c r="E8" s="274">
        <f t="shared" ref="E8:E9" si="0">$E$4</f>
        <v>0</v>
      </c>
      <c r="F8" s="18">
        <f t="shared" ref="F8" si="1">H8*G8</f>
        <v>7059.46260088696</v>
      </c>
      <c r="G8" s="274">
        <f>AVERAGE(G7,G9)</f>
        <v>0.2147858852680079</v>
      </c>
      <c r="H8" s="18">
        <f t="shared" ref="H8" si="2">D8/(1-E8)/(1-G8)</f>
        <v>32867.441880914223</v>
      </c>
      <c r="I8" s="274">
        <f t="shared" ref="I8:I9" si="3">$I$4</f>
        <v>8.8625000000000009E-2</v>
      </c>
      <c r="J8" s="18">
        <f t="shared" ref="J8:J9" si="4">K8*I8</f>
        <v>3196.1344525535847</v>
      </c>
      <c r="K8" s="18">
        <f t="shared" ref="K8:K9" si="5">H8/(1-I8)</f>
        <v>36063.576333467805</v>
      </c>
      <c r="M8" s="18">
        <f>F8+J8</f>
        <v>10255.597053440544</v>
      </c>
      <c r="N8" s="277">
        <f>M8/K8</f>
        <v>0.28437548618613073</v>
      </c>
      <c r="P8" s="278">
        <f>(P9+P7)/2</f>
        <v>0.28400000000000003</v>
      </c>
      <c r="Q8" s="274">
        <f>(P8-I8)/(1-I8)</f>
        <v>0.21437388561239887</v>
      </c>
    </row>
    <row r="9" spans="1:19" x14ac:dyDescent="0.3">
      <c r="C9" t="s">
        <v>231</v>
      </c>
      <c r="D9" s="273">
        <f>D4*(Summary!Y13/Summary!U13)</f>
        <v>39879.615314380877</v>
      </c>
      <c r="E9" s="274">
        <f t="shared" si="0"/>
        <v>0</v>
      </c>
      <c r="F9" s="18">
        <f>H9*G9</f>
        <v>20695.858697525575</v>
      </c>
      <c r="G9" s="279">
        <f>(P9-I9)/(1-I9)</f>
        <v>0.34165409408860237</v>
      </c>
      <c r="H9" s="18">
        <f>D9/(1-E9)/(1-G9)</f>
        <v>60575.474011906452</v>
      </c>
      <c r="I9" s="274">
        <f t="shared" si="3"/>
        <v>8.8625000000000009E-2</v>
      </c>
      <c r="J9" s="18">
        <f t="shared" si="4"/>
        <v>5890.5515120616756</v>
      </c>
      <c r="K9" s="18">
        <f t="shared" si="5"/>
        <v>66466.025523968128</v>
      </c>
      <c r="M9" s="18">
        <f>F9+J9</f>
        <v>26586.410209587251</v>
      </c>
      <c r="N9" s="277">
        <f>M9/K9</f>
        <v>0.4</v>
      </c>
      <c r="P9" s="290">
        <v>0.4</v>
      </c>
      <c r="Q9" s="274">
        <f>(P9-I9)/(1-I9)</f>
        <v>0.34165409408860237</v>
      </c>
      <c r="S9" s="289" t="s">
        <v>486</v>
      </c>
    </row>
    <row r="11" spans="1:19" x14ac:dyDescent="0.3">
      <c r="F11" s="18"/>
    </row>
    <row r="12" spans="1:19" ht="83.4" x14ac:dyDescent="0.3">
      <c r="A12" s="280"/>
      <c r="B12" s="280"/>
      <c r="C12" s="280"/>
      <c r="D12" s="280" t="s">
        <v>473</v>
      </c>
      <c r="E12" s="272" t="s">
        <v>465</v>
      </c>
      <c r="F12" s="272" t="s">
        <v>463</v>
      </c>
      <c r="G12" s="272" t="s">
        <v>464</v>
      </c>
      <c r="H12" s="280" t="s">
        <v>474</v>
      </c>
      <c r="I12" s="272" t="s">
        <v>462</v>
      </c>
      <c r="J12" s="272" t="s">
        <v>461</v>
      </c>
      <c r="K12" s="272" t="s">
        <v>460</v>
      </c>
      <c r="L12" s="272" t="s">
        <v>459</v>
      </c>
      <c r="M12" s="272" t="s">
        <v>475</v>
      </c>
      <c r="N12" s="280"/>
      <c r="O12" s="272" t="s">
        <v>466</v>
      </c>
      <c r="P12" s="272" t="s">
        <v>467</v>
      </c>
      <c r="Q12" s="272"/>
      <c r="R12" s="272" t="s">
        <v>468</v>
      </c>
      <c r="S12" s="272" t="s">
        <v>469</v>
      </c>
    </row>
    <row r="13" spans="1:19" x14ac:dyDescent="0.3">
      <c r="B13" t="s">
        <v>14</v>
      </c>
      <c r="C13" t="s">
        <v>470</v>
      </c>
      <c r="D13" s="273">
        <v>2570000</v>
      </c>
      <c r="F13">
        <f>I4</f>
        <v>8.8625000000000009E-2</v>
      </c>
      <c r="I13" s="273">
        <f>Run!DI41</f>
        <v>17154.040154060331</v>
      </c>
      <c r="J13" s="281">
        <f>Summary!V44</f>
        <v>0.27581974135534554</v>
      </c>
      <c r="K13" s="282"/>
      <c r="L13" s="281">
        <f>E4</f>
        <v>0</v>
      </c>
      <c r="M13" s="282"/>
    </row>
    <row r="14" spans="1:19" x14ac:dyDescent="0.3">
      <c r="C14" t="s">
        <v>471</v>
      </c>
      <c r="E14" s="18">
        <f>I13/(1-F13)</f>
        <v>18822.153508775566</v>
      </c>
      <c r="G14" s="18">
        <f>E14*F13</f>
        <v>1668.1133547152347</v>
      </c>
      <c r="H14" s="244">
        <f>I13/(D13+0.0000000001)</f>
        <v>6.6747237953542144E-3</v>
      </c>
      <c r="I14" s="18">
        <f>D13*H14</f>
        <v>17154.040154060331</v>
      </c>
      <c r="K14" s="18">
        <f>I13*J13</f>
        <v>4731.4229184921323</v>
      </c>
      <c r="M14" s="18">
        <f>I13*(1-J13)*(1-L13)</f>
        <v>12422.617235568197</v>
      </c>
      <c r="O14" s="18">
        <f>K14+G14</f>
        <v>6399.5362732073672</v>
      </c>
      <c r="P14" s="277">
        <f>O14/(E14+0.0000000001)</f>
        <v>0.34000021677772629</v>
      </c>
      <c r="R14" s="279">
        <f>Summary!U44</f>
        <v>0.33899999999999997</v>
      </c>
    </row>
    <row r="15" spans="1:19" x14ac:dyDescent="0.3">
      <c r="P15" s="274"/>
    </row>
    <row r="16" spans="1:19" x14ac:dyDescent="0.3">
      <c r="C16" t="s">
        <v>229</v>
      </c>
      <c r="D16" s="273">
        <f>SUM(Summary!V18:V21)</f>
        <v>1970000</v>
      </c>
      <c r="E16" s="18">
        <f>I16/(1-F16)</f>
        <v>14427.876425014732</v>
      </c>
      <c r="F16">
        <f>F$13</f>
        <v>8.8625000000000009E-2</v>
      </c>
      <c r="G16" s="18">
        <f>E16*F16</f>
        <v>1278.6705481669308</v>
      </c>
      <c r="H16" s="244">
        <f>H$14</f>
        <v>6.6747237953542144E-3</v>
      </c>
      <c r="I16" s="18">
        <f>D16*H16</f>
        <v>13149.205876847802</v>
      </c>
      <c r="J16" s="283">
        <f t="shared" ref="J16:J17" si="6">(R16-F16)/(1-F16)</f>
        <v>0.27472226032094355</v>
      </c>
      <c r="K16" s="18">
        <f>J16*I16</f>
        <v>3612.3795599130626</v>
      </c>
      <c r="L16" s="244">
        <f t="shared" ref="L16:L18" si="7">L$13</f>
        <v>0</v>
      </c>
      <c r="M16" s="18">
        <f>I16*(1-J16)*(1-L16)</f>
        <v>9536.8263169347392</v>
      </c>
      <c r="O16" s="18">
        <f t="shared" ref="O16:O18" si="8">K16+G16</f>
        <v>4891.0501080799932</v>
      </c>
      <c r="P16" s="277">
        <f t="shared" ref="P16:P18" si="9">O16/(E16+0.0000000001)</f>
        <v>0.33899999999999758</v>
      </c>
      <c r="R16" s="279">
        <f>P7+(R14-P7)</f>
        <v>0.33899999999999997</v>
      </c>
      <c r="S16">
        <f>P7*(R14/P7)</f>
        <v>0.33899999999999991</v>
      </c>
    </row>
    <row r="17" spans="3:19" x14ac:dyDescent="0.3">
      <c r="C17" t="s">
        <v>472</v>
      </c>
      <c r="D17" s="273">
        <f>(D16+D18)/2</f>
        <v>2430000</v>
      </c>
      <c r="E17" s="18">
        <f t="shared" ref="E17:E18" si="10">I17/(1-F17)</f>
        <v>17796.82218923137</v>
      </c>
      <c r="F17">
        <f t="shared" ref="F17:F18" si="11">F$13</f>
        <v>8.8625000000000009E-2</v>
      </c>
      <c r="G17" s="18">
        <f t="shared" ref="G17:G18" si="12">E17*F17</f>
        <v>1577.2433665206304</v>
      </c>
      <c r="H17" s="244">
        <f t="shared" ref="H17:H18" si="13">H$14</f>
        <v>6.6747237953542144E-3</v>
      </c>
      <c r="I17" s="18">
        <f t="shared" ref="I17:I18" si="14">D17*H17</f>
        <v>16219.57882271074</v>
      </c>
      <c r="J17" s="283">
        <f t="shared" si="6"/>
        <v>0.47277465368262234</v>
      </c>
      <c r="K17" s="18">
        <f t="shared" ref="K17:K18" si="15">J17*I17</f>
        <v>7668.2057607850656</v>
      </c>
      <c r="L17" s="244">
        <f t="shared" si="7"/>
        <v>0</v>
      </c>
      <c r="M17" s="18">
        <f t="shared" ref="M17:M18" si="16">I17*(1-J17)*(1-L17)</f>
        <v>8551.3730619256748</v>
      </c>
      <c r="O17" s="18">
        <f t="shared" si="8"/>
        <v>9245.4491273056956</v>
      </c>
      <c r="P17" s="277">
        <f t="shared" si="9"/>
        <v>0.51949999999999708</v>
      </c>
      <c r="R17" s="279">
        <f>AVERAGE(R16,R18)</f>
        <v>0.51949999999999996</v>
      </c>
      <c r="S17">
        <f>P8*(R14/P7)</f>
        <v>0.57307142857142845</v>
      </c>
    </row>
    <row r="18" spans="3:19" x14ac:dyDescent="0.3">
      <c r="C18" t="s">
        <v>231</v>
      </c>
      <c r="D18" s="273">
        <f>SUM(Summary!Y18:Y21)</f>
        <v>2890000</v>
      </c>
      <c r="E18" s="18">
        <f t="shared" si="10"/>
        <v>21165.767953448008</v>
      </c>
      <c r="F18">
        <f t="shared" si="11"/>
        <v>8.8625000000000009E-2</v>
      </c>
      <c r="G18" s="18">
        <f t="shared" si="12"/>
        <v>1875.81618487433</v>
      </c>
      <c r="H18" s="244">
        <f t="shared" si="13"/>
        <v>6.6747237953542144E-3</v>
      </c>
      <c r="I18" s="18">
        <f t="shared" si="14"/>
        <v>19289.951768573679</v>
      </c>
      <c r="J18" s="283">
        <f>(R18-F18)/(1-F18)</f>
        <v>0.67082704704430118</v>
      </c>
      <c r="K18" s="18">
        <f t="shared" si="15"/>
        <v>12940.221382539276</v>
      </c>
      <c r="L18" s="244">
        <f t="shared" si="7"/>
        <v>0</v>
      </c>
      <c r="M18" s="18">
        <f t="shared" si="16"/>
        <v>6349.7303860344027</v>
      </c>
      <c r="O18" s="18">
        <f t="shared" si="8"/>
        <v>14816.037567413605</v>
      </c>
      <c r="P18" s="277">
        <f t="shared" si="9"/>
        <v>0.69999999999999674</v>
      </c>
      <c r="R18" s="279">
        <v>0.7</v>
      </c>
      <c r="S18">
        <f>P9*(R14/P7)</f>
        <v>0.80714285714285694</v>
      </c>
    </row>
    <row r="22" spans="3:19" x14ac:dyDescent="0.3">
      <c r="D22">
        <f>D16/D13</f>
        <v>0.7665369649805448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AJ112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I98" sqref="I98"/>
    </sheetView>
  </sheetViews>
  <sheetFormatPr defaultRowHeight="14.4" x14ac:dyDescent="0.3"/>
  <cols>
    <col min="1" max="1" width="16.5546875" customWidth="1"/>
    <col min="2" max="2" width="18.44140625" customWidth="1"/>
    <col min="3" max="3" width="8.6640625" style="79" customWidth="1"/>
    <col min="4" max="4" width="9" style="79" customWidth="1"/>
    <col min="5" max="5" width="2.88671875" style="80" customWidth="1"/>
    <col min="6" max="7" width="6.6640625" style="80" customWidth="1"/>
    <col min="8" max="8" width="2.109375" style="80" customWidth="1"/>
    <col min="9" max="10" width="6.6640625" style="80" customWidth="1"/>
    <col min="11" max="11" width="2.33203125" style="80" customWidth="1"/>
    <col min="12" max="12" width="9.33203125" style="80" customWidth="1"/>
    <col min="13" max="13" width="9.88671875" style="80" customWidth="1"/>
    <col min="14" max="14" width="2.33203125" style="80" customWidth="1"/>
    <col min="15" max="16" width="6.6640625" style="80" customWidth="1"/>
    <col min="17" max="17" width="4.33203125" customWidth="1"/>
    <col min="18" max="18" width="6.88671875" customWidth="1"/>
    <col min="19" max="19" width="6.88671875" style="81" customWidth="1"/>
    <col min="20" max="20" width="7.44140625" customWidth="1"/>
    <col min="21" max="21" width="3.44140625" customWidth="1"/>
    <col min="22" max="24" width="6.88671875" customWidth="1"/>
    <col min="25" max="25" width="3.33203125" customWidth="1"/>
    <col min="26" max="28" width="6.88671875" customWidth="1"/>
    <col min="29" max="29" width="2.6640625" customWidth="1"/>
    <col min="30" max="30" width="9.109375" bestFit="1" customWidth="1"/>
    <col min="31" max="32" width="9.88671875" bestFit="1" customWidth="1"/>
    <col min="33" max="33" width="2.6640625" customWidth="1"/>
    <col min="34" max="36" width="6.88671875" customWidth="1"/>
    <col min="37" max="39" width="9" bestFit="1" customWidth="1"/>
  </cols>
  <sheetData>
    <row r="1" spans="1:36" ht="18.600000000000001" x14ac:dyDescent="0.3">
      <c r="A1" s="78" t="s">
        <v>92</v>
      </c>
    </row>
    <row r="2" spans="1:36" x14ac:dyDescent="0.3">
      <c r="A2" s="413" t="s">
        <v>93</v>
      </c>
      <c r="B2" s="413"/>
      <c r="C2" s="414"/>
      <c r="D2" s="414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</row>
    <row r="3" spans="1:36" x14ac:dyDescent="0.3">
      <c r="C3" s="82" t="s">
        <v>94</v>
      </c>
      <c r="R3" s="83" t="s">
        <v>95</v>
      </c>
      <c r="S3" s="84"/>
    </row>
    <row r="4" spans="1:36" x14ac:dyDescent="0.3">
      <c r="B4" s="85" t="s">
        <v>96</v>
      </c>
      <c r="C4" s="415" t="s">
        <v>97</v>
      </c>
      <c r="D4" s="415"/>
      <c r="E4" s="86" t="s">
        <v>96</v>
      </c>
      <c r="F4" s="416" t="s">
        <v>98</v>
      </c>
      <c r="G4" s="416"/>
      <c r="H4" s="86" t="s">
        <v>96</v>
      </c>
      <c r="I4" s="416" t="s">
        <v>99</v>
      </c>
      <c r="J4" s="416"/>
      <c r="K4" s="86" t="s">
        <v>96</v>
      </c>
      <c r="L4" s="416" t="s">
        <v>100</v>
      </c>
      <c r="M4" s="416"/>
      <c r="N4" s="86" t="s">
        <v>96</v>
      </c>
      <c r="O4" s="416" t="s">
        <v>101</v>
      </c>
      <c r="P4" s="416"/>
      <c r="R4" s="416" t="s">
        <v>97</v>
      </c>
      <c r="S4" s="417"/>
      <c r="T4" s="416"/>
      <c r="U4" s="86"/>
      <c r="V4" s="416" t="s">
        <v>98</v>
      </c>
      <c r="W4" s="416"/>
      <c r="X4" s="416"/>
      <c r="Y4" s="86"/>
      <c r="Z4" s="416" t="s">
        <v>99</v>
      </c>
      <c r="AA4" s="416"/>
      <c r="AB4" s="416"/>
      <c r="AC4" s="86"/>
      <c r="AD4" s="416" t="s">
        <v>100</v>
      </c>
      <c r="AE4" s="416"/>
      <c r="AF4" s="416"/>
      <c r="AG4" s="86" t="s">
        <v>96</v>
      </c>
      <c r="AH4" s="416" t="s">
        <v>101</v>
      </c>
      <c r="AI4" s="416"/>
      <c r="AJ4" s="416"/>
    </row>
    <row r="5" spans="1:36" x14ac:dyDescent="0.3">
      <c r="B5" s="85" t="s">
        <v>102</v>
      </c>
      <c r="C5" s="87" t="s">
        <v>103</v>
      </c>
      <c r="D5" s="87" t="s">
        <v>104</v>
      </c>
      <c r="E5" s="86" t="s">
        <v>96</v>
      </c>
      <c r="F5" s="88" t="s">
        <v>103</v>
      </c>
      <c r="G5" s="88" t="s">
        <v>104</v>
      </c>
      <c r="H5" s="88" t="s">
        <v>96</v>
      </c>
      <c r="I5" s="88" t="s">
        <v>103</v>
      </c>
      <c r="J5" s="88" t="s">
        <v>104</v>
      </c>
      <c r="K5" s="88" t="s">
        <v>96</v>
      </c>
      <c r="L5" s="88" t="s">
        <v>103</v>
      </c>
      <c r="M5" s="88" t="s">
        <v>104</v>
      </c>
      <c r="N5" s="88" t="s">
        <v>96</v>
      </c>
      <c r="O5" s="88" t="s">
        <v>103</v>
      </c>
      <c r="P5" s="88" t="s">
        <v>104</v>
      </c>
      <c r="Q5" s="44"/>
      <c r="R5" s="88" t="s">
        <v>103</v>
      </c>
      <c r="S5" s="89" t="s">
        <v>105</v>
      </c>
      <c r="T5" s="88" t="s">
        <v>104</v>
      </c>
      <c r="U5" s="88"/>
      <c r="V5" s="88" t="s">
        <v>103</v>
      </c>
      <c r="W5" s="88" t="s">
        <v>105</v>
      </c>
      <c r="X5" s="88" t="s">
        <v>104</v>
      </c>
      <c r="Y5" s="88"/>
      <c r="Z5" s="88" t="s">
        <v>103</v>
      </c>
      <c r="AA5" s="88" t="s">
        <v>105</v>
      </c>
      <c r="AB5" s="88" t="s">
        <v>104</v>
      </c>
      <c r="AC5" s="88"/>
      <c r="AD5" s="88" t="s">
        <v>103</v>
      </c>
      <c r="AE5" s="88" t="s">
        <v>105</v>
      </c>
      <c r="AF5" s="88" t="s">
        <v>104</v>
      </c>
      <c r="AG5" s="88" t="s">
        <v>96</v>
      </c>
      <c r="AH5" s="88" t="s">
        <v>103</v>
      </c>
      <c r="AI5" s="88" t="s">
        <v>105</v>
      </c>
      <c r="AJ5" s="88" t="s">
        <v>104</v>
      </c>
    </row>
    <row r="6" spans="1:36" hidden="1" x14ac:dyDescent="0.3">
      <c r="A6" t="s">
        <v>106</v>
      </c>
      <c r="B6" s="90" t="s">
        <v>107</v>
      </c>
      <c r="C6" s="91">
        <v>484</v>
      </c>
      <c r="D6" s="91">
        <v>774</v>
      </c>
      <c r="E6" s="92" t="s">
        <v>96</v>
      </c>
      <c r="F6" s="91">
        <v>3.7</v>
      </c>
      <c r="G6" s="91">
        <v>8.6</v>
      </c>
      <c r="H6" s="92" t="s">
        <v>96</v>
      </c>
      <c r="I6" s="91">
        <v>0.99</v>
      </c>
      <c r="J6" s="91">
        <v>1</v>
      </c>
      <c r="K6" s="92" t="s">
        <v>96</v>
      </c>
      <c r="L6" s="93">
        <v>63894</v>
      </c>
      <c r="M6" s="93">
        <v>95128</v>
      </c>
      <c r="N6" s="92" t="s">
        <v>96</v>
      </c>
      <c r="O6" s="91">
        <v>446</v>
      </c>
      <c r="P6" s="91">
        <v>920</v>
      </c>
      <c r="R6" s="94">
        <v>550</v>
      </c>
      <c r="S6" s="94">
        <v>795</v>
      </c>
      <c r="T6" s="94">
        <v>869</v>
      </c>
      <c r="U6" s="94"/>
      <c r="V6" s="94">
        <v>3.5</v>
      </c>
      <c r="W6" s="94">
        <v>6.7</v>
      </c>
      <c r="X6" s="94">
        <v>7.9</v>
      </c>
      <c r="Y6" s="94"/>
      <c r="Z6" s="94">
        <v>0.97</v>
      </c>
      <c r="AA6" s="94">
        <v>0.98</v>
      </c>
      <c r="AB6" s="94">
        <v>0.98</v>
      </c>
      <c r="AC6" s="94"/>
      <c r="AD6" s="95">
        <v>22538</v>
      </c>
      <c r="AE6" s="95">
        <v>68778</v>
      </c>
      <c r="AF6" s="95">
        <v>79245</v>
      </c>
      <c r="AH6" s="94">
        <v>70</v>
      </c>
      <c r="AI6" s="94">
        <v>225</v>
      </c>
      <c r="AJ6" s="94">
        <v>293</v>
      </c>
    </row>
    <row r="7" spans="1:36" hidden="1" x14ac:dyDescent="0.3">
      <c r="A7" t="s">
        <v>106</v>
      </c>
      <c r="B7" s="90" t="s">
        <v>108</v>
      </c>
      <c r="C7" s="93">
        <v>1569</v>
      </c>
      <c r="D7" s="93">
        <v>10174</v>
      </c>
      <c r="E7" s="92" t="s">
        <v>96</v>
      </c>
      <c r="F7" s="91">
        <v>2.5</v>
      </c>
      <c r="G7" s="91">
        <v>10.5</v>
      </c>
      <c r="H7" s="92" t="s">
        <v>96</v>
      </c>
      <c r="I7" s="91">
        <v>0.96</v>
      </c>
      <c r="J7" s="91">
        <v>1</v>
      </c>
      <c r="K7" s="92" t="s">
        <v>96</v>
      </c>
      <c r="L7" s="93">
        <v>441069</v>
      </c>
      <c r="M7" s="93">
        <v>1209737</v>
      </c>
      <c r="N7" s="92" t="s">
        <v>96</v>
      </c>
      <c r="O7" s="91">
        <v>530</v>
      </c>
      <c r="P7" s="91">
        <v>891</v>
      </c>
      <c r="R7" s="96">
        <v>1569</v>
      </c>
      <c r="S7" s="96">
        <v>5575</v>
      </c>
      <c r="T7" s="96">
        <v>10174</v>
      </c>
      <c r="U7" s="96"/>
      <c r="V7" s="92">
        <v>2.5</v>
      </c>
      <c r="W7" s="92">
        <v>7.3</v>
      </c>
      <c r="X7" s="92">
        <v>10.5</v>
      </c>
      <c r="Y7" s="92"/>
      <c r="Z7" s="92">
        <v>0.96</v>
      </c>
      <c r="AA7" s="92">
        <v>1</v>
      </c>
      <c r="AB7" s="92">
        <v>1</v>
      </c>
      <c r="AC7" s="92"/>
      <c r="AD7" s="96">
        <v>441069</v>
      </c>
      <c r="AE7" s="96">
        <v>963068</v>
      </c>
      <c r="AF7" s="96">
        <v>1209737</v>
      </c>
      <c r="AH7" s="92">
        <v>530</v>
      </c>
      <c r="AI7" s="92">
        <v>762</v>
      </c>
      <c r="AJ7" s="92">
        <v>891</v>
      </c>
    </row>
    <row r="8" spans="1:36" hidden="1" x14ac:dyDescent="0.3">
      <c r="A8" t="s">
        <v>106</v>
      </c>
      <c r="B8" s="90" t="s">
        <v>109</v>
      </c>
      <c r="C8" s="93">
        <v>1113</v>
      </c>
      <c r="D8" s="93">
        <v>3760</v>
      </c>
      <c r="E8" s="92" t="s">
        <v>96</v>
      </c>
      <c r="F8" s="91">
        <v>3.8</v>
      </c>
      <c r="G8" s="91">
        <v>16.899999999999999</v>
      </c>
      <c r="H8" s="92" t="s">
        <v>96</v>
      </c>
      <c r="I8" s="91">
        <v>0.73</v>
      </c>
      <c r="J8" s="91">
        <v>0.98</v>
      </c>
      <c r="K8" s="92" t="s">
        <v>96</v>
      </c>
      <c r="L8" s="93">
        <v>19522</v>
      </c>
      <c r="M8" s="93">
        <v>65924</v>
      </c>
      <c r="N8" s="92" t="s">
        <v>96</v>
      </c>
      <c r="O8" s="91">
        <v>66</v>
      </c>
      <c r="P8" s="91">
        <v>289</v>
      </c>
      <c r="R8" s="96">
        <v>1239</v>
      </c>
      <c r="S8" s="97">
        <v>3773</v>
      </c>
      <c r="T8" s="96">
        <v>4344</v>
      </c>
      <c r="U8" s="96"/>
      <c r="V8" s="92">
        <v>3.9</v>
      </c>
      <c r="W8" s="92">
        <v>12.7</v>
      </c>
      <c r="X8" s="92">
        <v>16.600000000000001</v>
      </c>
      <c r="Y8" s="92"/>
      <c r="Z8" s="92">
        <v>0.76</v>
      </c>
      <c r="AA8" s="92">
        <v>0.93</v>
      </c>
      <c r="AB8" s="92">
        <v>0.94</v>
      </c>
      <c r="AC8" s="92"/>
      <c r="AD8" s="96">
        <v>22538</v>
      </c>
      <c r="AE8" s="96">
        <v>68778</v>
      </c>
      <c r="AF8" s="96">
        <v>79245</v>
      </c>
      <c r="AH8" s="92">
        <v>70</v>
      </c>
      <c r="AI8" s="92">
        <v>225</v>
      </c>
      <c r="AJ8" s="92">
        <v>293</v>
      </c>
    </row>
    <row r="9" spans="1:36" hidden="1" x14ac:dyDescent="0.3">
      <c r="A9" t="s">
        <v>106</v>
      </c>
      <c r="B9" s="80" t="s">
        <v>110</v>
      </c>
      <c r="C9" s="98">
        <v>894</v>
      </c>
      <c r="D9" s="99">
        <v>1646</v>
      </c>
      <c r="E9" s="91" t="s">
        <v>96</v>
      </c>
      <c r="F9" s="91">
        <v>4.8</v>
      </c>
      <c r="G9" s="91">
        <v>21.9</v>
      </c>
      <c r="H9" s="91" t="s">
        <v>96</v>
      </c>
      <c r="I9" s="91">
        <v>0.72</v>
      </c>
      <c r="J9" s="91">
        <v>0.87</v>
      </c>
      <c r="K9" s="91" t="s">
        <v>96</v>
      </c>
      <c r="L9" s="93">
        <v>11857</v>
      </c>
      <c r="M9" s="93">
        <v>21487</v>
      </c>
      <c r="N9" s="91" t="s">
        <v>96</v>
      </c>
      <c r="O9" s="91">
        <v>63</v>
      </c>
      <c r="P9" s="91">
        <v>283</v>
      </c>
      <c r="R9" s="96">
        <v>1201</v>
      </c>
      <c r="S9" s="100">
        <v>1885</v>
      </c>
      <c r="T9" s="96">
        <v>3716</v>
      </c>
      <c r="U9" s="96"/>
      <c r="V9" s="92">
        <v>4.4000000000000004</v>
      </c>
      <c r="W9" s="92">
        <v>13.5</v>
      </c>
      <c r="X9" s="92">
        <v>35.9</v>
      </c>
      <c r="Y9" s="92"/>
      <c r="Z9" s="92">
        <v>0.72</v>
      </c>
      <c r="AA9" s="92">
        <v>0.78</v>
      </c>
      <c r="AB9" s="92">
        <v>0.94</v>
      </c>
      <c r="AC9" s="92"/>
      <c r="AD9" s="96">
        <v>16436</v>
      </c>
      <c r="AE9" s="96">
        <v>25530</v>
      </c>
      <c r="AF9" s="96">
        <v>30556</v>
      </c>
      <c r="AH9" s="92">
        <v>60</v>
      </c>
      <c r="AI9" s="92">
        <v>181</v>
      </c>
      <c r="AJ9" s="92">
        <v>290</v>
      </c>
    </row>
    <row r="10" spans="1:36" hidden="1" x14ac:dyDescent="0.3">
      <c r="A10" t="s">
        <v>111</v>
      </c>
      <c r="B10" s="101" t="s">
        <v>107</v>
      </c>
      <c r="C10" s="93">
        <v>1559</v>
      </c>
      <c r="D10" s="93">
        <v>2315</v>
      </c>
      <c r="E10" s="92" t="s">
        <v>96</v>
      </c>
      <c r="F10" s="91">
        <v>3.8</v>
      </c>
      <c r="G10" s="91">
        <v>9</v>
      </c>
      <c r="H10" s="92" t="s">
        <v>96</v>
      </c>
      <c r="I10" s="91">
        <v>0.98</v>
      </c>
      <c r="J10" s="91">
        <v>0.98</v>
      </c>
      <c r="K10" s="92" t="s">
        <v>96</v>
      </c>
      <c r="L10" s="93">
        <v>205650</v>
      </c>
      <c r="M10" s="93">
        <v>290263</v>
      </c>
      <c r="N10" s="92" t="s">
        <v>96</v>
      </c>
      <c r="O10" s="91">
        <v>456</v>
      </c>
      <c r="P10" s="93">
        <v>1001</v>
      </c>
      <c r="R10" s="96">
        <v>1479</v>
      </c>
      <c r="S10" s="96">
        <v>2172</v>
      </c>
      <c r="T10" s="96">
        <v>3769</v>
      </c>
      <c r="U10" s="96"/>
      <c r="V10" s="92">
        <v>3.1</v>
      </c>
      <c r="W10" s="92">
        <v>7.1</v>
      </c>
      <c r="X10" s="92">
        <v>12.4</v>
      </c>
      <c r="Y10" s="92"/>
      <c r="Z10" s="92">
        <v>1</v>
      </c>
      <c r="AA10" s="92">
        <v>1</v>
      </c>
      <c r="AB10" s="92">
        <v>1</v>
      </c>
      <c r="AC10" s="92"/>
      <c r="AD10" s="96">
        <v>182410</v>
      </c>
      <c r="AE10" s="96">
        <v>263921</v>
      </c>
      <c r="AF10" s="96">
        <v>304153</v>
      </c>
      <c r="AH10" s="92">
        <v>328</v>
      </c>
      <c r="AI10" s="92">
        <v>719</v>
      </c>
      <c r="AJ10" s="92">
        <v>903</v>
      </c>
    </row>
    <row r="11" spans="1:36" hidden="1" x14ac:dyDescent="0.3">
      <c r="A11" t="s">
        <v>111</v>
      </c>
      <c r="B11" s="101" t="s">
        <v>108</v>
      </c>
      <c r="C11" s="91">
        <v>515</v>
      </c>
      <c r="D11" s="93">
        <v>7821</v>
      </c>
      <c r="E11" s="92" t="s">
        <v>96</v>
      </c>
      <c r="F11" s="91">
        <v>1.6</v>
      </c>
      <c r="G11" s="91">
        <v>9.1999999999999993</v>
      </c>
      <c r="H11" s="92" t="s">
        <v>96</v>
      </c>
      <c r="I11" s="91">
        <v>0.8</v>
      </c>
      <c r="J11" s="91">
        <v>1</v>
      </c>
      <c r="K11" s="92" t="s">
        <v>96</v>
      </c>
      <c r="L11" s="93">
        <v>263160</v>
      </c>
      <c r="M11" s="93">
        <v>1693571</v>
      </c>
      <c r="N11" s="92" t="s">
        <v>96</v>
      </c>
      <c r="O11" s="91">
        <v>612</v>
      </c>
      <c r="P11" s="93">
        <v>1141</v>
      </c>
      <c r="R11" s="92">
        <v>515</v>
      </c>
      <c r="S11" s="96">
        <v>2619</v>
      </c>
      <c r="T11" s="96">
        <v>7821</v>
      </c>
      <c r="U11" s="96"/>
      <c r="V11" s="92">
        <v>1.6</v>
      </c>
      <c r="W11" s="92">
        <v>6.3</v>
      </c>
      <c r="X11" s="92">
        <v>9.1999999999999993</v>
      </c>
      <c r="Y11" s="92"/>
      <c r="Z11" s="92">
        <v>0.8</v>
      </c>
      <c r="AA11" s="92">
        <v>1</v>
      </c>
      <c r="AB11" s="92">
        <v>1</v>
      </c>
      <c r="AC11" s="92"/>
      <c r="AD11" s="96">
        <v>263160</v>
      </c>
      <c r="AE11" s="96">
        <v>1026242</v>
      </c>
      <c r="AF11" s="96">
        <v>1693571</v>
      </c>
      <c r="AH11" s="92">
        <v>612</v>
      </c>
      <c r="AI11" s="92">
        <v>992</v>
      </c>
      <c r="AJ11" s="96">
        <v>1141</v>
      </c>
    </row>
    <row r="12" spans="1:36" hidden="1" x14ac:dyDescent="0.3">
      <c r="A12" t="s">
        <v>111</v>
      </c>
      <c r="B12" s="101" t="s">
        <v>109</v>
      </c>
      <c r="C12" s="93">
        <v>1549</v>
      </c>
      <c r="D12" s="93">
        <v>3950</v>
      </c>
      <c r="E12" s="92" t="s">
        <v>96</v>
      </c>
      <c r="F12" s="91">
        <v>3.9</v>
      </c>
      <c r="G12" s="91">
        <v>15.1</v>
      </c>
      <c r="H12" s="92" t="s">
        <v>96</v>
      </c>
      <c r="I12" s="91">
        <v>0.64</v>
      </c>
      <c r="J12" s="91">
        <v>0.92</v>
      </c>
      <c r="K12" s="92" t="s">
        <v>96</v>
      </c>
      <c r="L12" s="93">
        <v>27579</v>
      </c>
      <c r="M12" s="93">
        <v>69486</v>
      </c>
      <c r="N12" s="92" t="s">
        <v>96</v>
      </c>
      <c r="O12" s="91">
        <v>69</v>
      </c>
      <c r="P12" s="91">
        <v>263</v>
      </c>
      <c r="R12" s="96">
        <v>1315</v>
      </c>
      <c r="S12" s="97">
        <v>4014</v>
      </c>
      <c r="T12" s="96">
        <v>8786</v>
      </c>
      <c r="U12" s="96"/>
      <c r="V12" s="92">
        <v>3.7</v>
      </c>
      <c r="W12" s="92">
        <v>9.4</v>
      </c>
      <c r="X12" s="92">
        <v>21</v>
      </c>
      <c r="Y12" s="92"/>
      <c r="Z12" s="92">
        <v>0.47</v>
      </c>
      <c r="AA12" s="92">
        <v>0.86</v>
      </c>
      <c r="AB12" s="92">
        <v>0.96</v>
      </c>
      <c r="AC12" s="92"/>
      <c r="AD12" s="96">
        <v>27015</v>
      </c>
      <c r="AE12" s="96">
        <v>91351</v>
      </c>
      <c r="AF12" s="96">
        <v>125124</v>
      </c>
      <c r="AH12" s="92">
        <v>78</v>
      </c>
      <c r="AI12" s="92">
        <v>205</v>
      </c>
      <c r="AJ12" s="92">
        <v>312</v>
      </c>
    </row>
    <row r="13" spans="1:36" hidden="1" x14ac:dyDescent="0.3">
      <c r="A13" t="s">
        <v>111</v>
      </c>
      <c r="B13" s="91" t="s">
        <v>110</v>
      </c>
      <c r="C13" s="98">
        <v>447</v>
      </c>
      <c r="D13" s="98">
        <v>692</v>
      </c>
      <c r="E13" s="91" t="s">
        <v>96</v>
      </c>
      <c r="F13" s="91">
        <v>7.5</v>
      </c>
      <c r="G13" s="91">
        <v>23.6</v>
      </c>
      <c r="H13" s="91" t="s">
        <v>96</v>
      </c>
      <c r="I13" s="91">
        <v>0.91</v>
      </c>
      <c r="J13" s="91">
        <v>0.97</v>
      </c>
      <c r="K13" s="91" t="s">
        <v>96</v>
      </c>
      <c r="L13" s="93">
        <v>6235</v>
      </c>
      <c r="M13" s="93">
        <v>9267</v>
      </c>
      <c r="N13" s="91" t="s">
        <v>96</v>
      </c>
      <c r="O13" s="91">
        <v>105</v>
      </c>
      <c r="P13" s="91">
        <v>317</v>
      </c>
      <c r="R13" s="92">
        <v>335</v>
      </c>
      <c r="S13" s="102">
        <v>574</v>
      </c>
      <c r="T13" s="92">
        <v>850</v>
      </c>
      <c r="U13" s="92"/>
      <c r="V13" s="92">
        <v>3.8</v>
      </c>
      <c r="W13" s="92">
        <v>10.7</v>
      </c>
      <c r="X13" s="92">
        <v>20.100000000000001</v>
      </c>
      <c r="Y13" s="92"/>
      <c r="Z13" s="92">
        <v>0.8</v>
      </c>
      <c r="AA13" s="92">
        <v>0.89</v>
      </c>
      <c r="AB13" s="92">
        <v>0.96</v>
      </c>
      <c r="AC13" s="92"/>
      <c r="AD13" s="96">
        <v>6265</v>
      </c>
      <c r="AE13" s="96">
        <v>10328</v>
      </c>
      <c r="AF13" s="96">
        <v>12391</v>
      </c>
      <c r="AH13" s="92">
        <v>68</v>
      </c>
      <c r="AI13" s="92">
        <v>186</v>
      </c>
      <c r="AJ13" s="92">
        <v>283</v>
      </c>
    </row>
    <row r="14" spans="1:36" hidden="1" x14ac:dyDescent="0.3">
      <c r="A14" s="91" t="s">
        <v>112</v>
      </c>
      <c r="B14" s="101" t="s">
        <v>107</v>
      </c>
      <c r="C14" s="91">
        <v>444</v>
      </c>
      <c r="D14" s="91">
        <v>677</v>
      </c>
      <c r="E14" s="92" t="s">
        <v>96</v>
      </c>
      <c r="F14" s="91">
        <v>4.0999999999999996</v>
      </c>
      <c r="G14" s="91">
        <v>8.6</v>
      </c>
      <c r="H14" s="92" t="s">
        <v>96</v>
      </c>
      <c r="I14" s="91">
        <v>0.92</v>
      </c>
      <c r="J14" s="91">
        <v>0.93</v>
      </c>
      <c r="K14" s="92" t="s">
        <v>96</v>
      </c>
      <c r="L14" s="93">
        <v>75571</v>
      </c>
      <c r="M14" s="93">
        <v>110868</v>
      </c>
      <c r="N14" s="92" t="s">
        <v>96</v>
      </c>
      <c r="O14" s="91">
        <v>603</v>
      </c>
      <c r="P14" s="93">
        <v>1174</v>
      </c>
      <c r="R14" s="92">
        <v>581</v>
      </c>
      <c r="S14" s="92">
        <v>762</v>
      </c>
      <c r="T14" s="92">
        <v>795</v>
      </c>
      <c r="U14" s="92"/>
      <c r="V14" s="92">
        <v>4.2</v>
      </c>
      <c r="W14" s="92">
        <v>6.9</v>
      </c>
      <c r="X14" s="92">
        <v>8.6999999999999993</v>
      </c>
      <c r="Y14" s="92"/>
      <c r="Z14" s="92">
        <v>1</v>
      </c>
      <c r="AA14" s="92">
        <v>1</v>
      </c>
      <c r="AB14" s="92">
        <v>1</v>
      </c>
      <c r="AC14" s="92"/>
      <c r="AD14" s="96">
        <v>95719</v>
      </c>
      <c r="AE14" s="96">
        <v>130225</v>
      </c>
      <c r="AF14" s="96">
        <v>129940</v>
      </c>
      <c r="AH14" s="92">
        <v>509</v>
      </c>
      <c r="AI14" s="92">
        <v>826</v>
      </c>
      <c r="AJ14" s="96">
        <v>1024</v>
      </c>
    </row>
    <row r="15" spans="1:36" hidden="1" x14ac:dyDescent="0.3">
      <c r="A15" s="91" t="s">
        <v>112</v>
      </c>
      <c r="B15" s="101" t="s">
        <v>108</v>
      </c>
      <c r="C15" s="93">
        <v>1125</v>
      </c>
      <c r="D15" s="93">
        <v>8499</v>
      </c>
      <c r="E15" s="92" t="s">
        <v>96</v>
      </c>
      <c r="F15" s="91">
        <v>2.2999999999999998</v>
      </c>
      <c r="G15" s="91">
        <v>9.3000000000000007</v>
      </c>
      <c r="H15" s="92" t="s">
        <v>96</v>
      </c>
      <c r="I15" s="91">
        <v>0.94</v>
      </c>
      <c r="J15" s="91">
        <v>1</v>
      </c>
      <c r="K15" s="92" t="s">
        <v>96</v>
      </c>
      <c r="L15" s="93">
        <v>564503</v>
      </c>
      <c r="M15" s="93">
        <v>1898126</v>
      </c>
      <c r="N15" s="92" t="s">
        <v>96</v>
      </c>
      <c r="O15" s="91">
        <v>739</v>
      </c>
      <c r="P15" s="93">
        <v>1148</v>
      </c>
      <c r="R15" s="96">
        <v>1125</v>
      </c>
      <c r="S15" s="96">
        <v>3269</v>
      </c>
      <c r="T15" s="96">
        <v>8499</v>
      </c>
      <c r="U15" s="96"/>
      <c r="V15" s="92">
        <v>2.2999999999999998</v>
      </c>
      <c r="W15" s="92">
        <v>6</v>
      </c>
      <c r="X15" s="92">
        <v>9.3000000000000007</v>
      </c>
      <c r="Y15" s="92"/>
      <c r="Z15" s="92">
        <v>0.94</v>
      </c>
      <c r="AA15" s="92">
        <v>1</v>
      </c>
      <c r="AB15" s="92">
        <v>1</v>
      </c>
      <c r="AC15" s="92"/>
      <c r="AD15" s="96">
        <v>564503</v>
      </c>
      <c r="AE15" s="96">
        <v>1277833</v>
      </c>
      <c r="AF15" s="96">
        <v>1898123</v>
      </c>
      <c r="AH15" s="92">
        <v>739</v>
      </c>
      <c r="AI15" s="92">
        <v>994</v>
      </c>
      <c r="AJ15" s="96">
        <v>1148</v>
      </c>
    </row>
    <row r="16" spans="1:36" hidden="1" x14ac:dyDescent="0.3">
      <c r="A16" s="80" t="s">
        <v>112</v>
      </c>
      <c r="B16" s="101" t="s">
        <v>109</v>
      </c>
      <c r="C16" s="91">
        <v>880</v>
      </c>
      <c r="D16" s="93">
        <v>2582</v>
      </c>
      <c r="E16" s="92" t="s">
        <v>96</v>
      </c>
      <c r="F16" s="91">
        <v>5.0999999999999996</v>
      </c>
      <c r="G16" s="91">
        <v>17.5</v>
      </c>
      <c r="H16" s="92" t="s">
        <v>96</v>
      </c>
      <c r="I16" s="91">
        <v>0.69</v>
      </c>
      <c r="J16" s="91">
        <v>0.78</v>
      </c>
      <c r="K16" s="92" t="s">
        <v>96</v>
      </c>
      <c r="L16" s="93">
        <v>16207</v>
      </c>
      <c r="M16" s="93">
        <v>47396</v>
      </c>
      <c r="N16" s="92" t="s">
        <v>96</v>
      </c>
      <c r="O16" s="91">
        <v>93</v>
      </c>
      <c r="P16" s="91">
        <v>316</v>
      </c>
      <c r="R16" s="96">
        <v>1081</v>
      </c>
      <c r="S16" s="97">
        <v>1773</v>
      </c>
      <c r="T16" s="96">
        <v>5099</v>
      </c>
      <c r="U16" s="96"/>
      <c r="V16" s="92">
        <v>5.2</v>
      </c>
      <c r="W16" s="92">
        <v>10.199999999999999</v>
      </c>
      <c r="X16" s="92">
        <v>22.4</v>
      </c>
      <c r="Y16" s="92"/>
      <c r="Z16" s="92">
        <v>0.79</v>
      </c>
      <c r="AA16" s="92">
        <v>0.84</v>
      </c>
      <c r="AB16" s="92">
        <v>0.91</v>
      </c>
      <c r="AC16" s="92"/>
      <c r="AD16" s="96">
        <v>19736</v>
      </c>
      <c r="AE16" s="96">
        <v>38648</v>
      </c>
      <c r="AF16" s="96">
        <v>54514</v>
      </c>
      <c r="AH16" s="92">
        <v>116</v>
      </c>
      <c r="AI16" s="92">
        <v>235</v>
      </c>
      <c r="AJ16" s="92">
        <v>347</v>
      </c>
    </row>
    <row r="17" spans="1:36" hidden="1" x14ac:dyDescent="0.3">
      <c r="A17" s="91" t="s">
        <v>112</v>
      </c>
      <c r="B17" s="91" t="s">
        <v>110</v>
      </c>
      <c r="C17" s="98">
        <v>220</v>
      </c>
      <c r="D17" s="98">
        <v>369</v>
      </c>
      <c r="E17" s="91" t="s">
        <v>96</v>
      </c>
      <c r="F17" s="91">
        <v>8</v>
      </c>
      <c r="G17" s="91">
        <v>24.7</v>
      </c>
      <c r="H17" s="91" t="s">
        <v>96</v>
      </c>
      <c r="I17" s="91">
        <v>0.91</v>
      </c>
      <c r="J17" s="91">
        <v>1</v>
      </c>
      <c r="K17" s="91" t="s">
        <v>96</v>
      </c>
      <c r="L17" s="93">
        <v>2876</v>
      </c>
      <c r="M17" s="93">
        <v>4820</v>
      </c>
      <c r="N17" s="91" t="s">
        <v>96</v>
      </c>
      <c r="O17" s="91">
        <v>103</v>
      </c>
      <c r="P17" s="91">
        <v>318</v>
      </c>
      <c r="R17" s="92">
        <v>206</v>
      </c>
      <c r="S17" s="102">
        <v>268</v>
      </c>
      <c r="T17" s="92">
        <v>515</v>
      </c>
      <c r="U17" s="92"/>
      <c r="V17" s="92">
        <v>5.2</v>
      </c>
      <c r="W17" s="92">
        <v>10.1</v>
      </c>
      <c r="X17" s="92">
        <v>20.100000000000001</v>
      </c>
      <c r="Y17" s="92"/>
      <c r="Z17" s="92">
        <v>0.91</v>
      </c>
      <c r="AA17" s="92">
        <v>1</v>
      </c>
      <c r="AB17" s="92">
        <v>1</v>
      </c>
      <c r="AC17" s="92"/>
      <c r="AD17" s="96">
        <v>2513</v>
      </c>
      <c r="AE17" s="96">
        <v>3414</v>
      </c>
      <c r="AF17" s="96">
        <v>4115</v>
      </c>
      <c r="AH17" s="92">
        <v>76</v>
      </c>
      <c r="AI17" s="92">
        <v>135</v>
      </c>
      <c r="AJ17" s="92">
        <v>174</v>
      </c>
    </row>
    <row r="18" spans="1:36" hidden="1" x14ac:dyDescent="0.3">
      <c r="A18" t="s">
        <v>113</v>
      </c>
      <c r="B18" s="101" t="s">
        <v>107</v>
      </c>
      <c r="C18" s="91">
        <v>482</v>
      </c>
      <c r="D18" s="91">
        <v>759</v>
      </c>
      <c r="E18" s="92" t="s">
        <v>96</v>
      </c>
      <c r="F18" s="91">
        <v>4.5</v>
      </c>
      <c r="G18" s="91">
        <v>8.3000000000000007</v>
      </c>
      <c r="H18" s="92" t="s">
        <v>96</v>
      </c>
      <c r="I18" s="91">
        <v>0.82</v>
      </c>
      <c r="J18" s="91">
        <v>0.82</v>
      </c>
      <c r="K18" s="92" t="s">
        <v>96</v>
      </c>
      <c r="L18" s="93">
        <v>127658</v>
      </c>
      <c r="M18" s="93">
        <v>208235</v>
      </c>
      <c r="N18" s="92" t="s">
        <v>96</v>
      </c>
      <c r="O18" s="91">
        <v>767</v>
      </c>
      <c r="P18" s="93">
        <v>1312</v>
      </c>
      <c r="R18" s="92">
        <v>386</v>
      </c>
      <c r="S18" s="92">
        <v>627</v>
      </c>
      <c r="T18" s="96">
        <v>1411</v>
      </c>
      <c r="U18" s="92" t="s">
        <v>96</v>
      </c>
      <c r="V18" s="92">
        <v>3.4</v>
      </c>
      <c r="W18" s="92">
        <v>6.4</v>
      </c>
      <c r="X18" s="92">
        <v>12.4</v>
      </c>
      <c r="Y18" s="92" t="s">
        <v>96</v>
      </c>
      <c r="Z18" s="92">
        <v>1</v>
      </c>
      <c r="AA18" s="92">
        <v>1</v>
      </c>
      <c r="AB18" s="92">
        <v>1</v>
      </c>
      <c r="AC18" s="92" t="s">
        <v>96</v>
      </c>
      <c r="AD18" s="96">
        <v>82397</v>
      </c>
      <c r="AE18" s="96">
        <v>141161</v>
      </c>
      <c r="AF18" s="96">
        <v>185456</v>
      </c>
      <c r="AG18" s="92" t="s">
        <v>96</v>
      </c>
      <c r="AH18" s="92">
        <v>522</v>
      </c>
      <c r="AI18" s="92">
        <v>924</v>
      </c>
      <c r="AJ18" s="96">
        <v>1177</v>
      </c>
    </row>
    <row r="19" spans="1:36" hidden="1" x14ac:dyDescent="0.3">
      <c r="A19" t="s">
        <v>113</v>
      </c>
      <c r="B19" s="101" t="s">
        <v>108</v>
      </c>
      <c r="C19" s="91">
        <v>121</v>
      </c>
      <c r="D19" s="93">
        <v>1615</v>
      </c>
      <c r="E19" s="92" t="s">
        <v>96</v>
      </c>
      <c r="F19" s="91">
        <v>1.7</v>
      </c>
      <c r="G19" s="91">
        <v>8.6</v>
      </c>
      <c r="H19" s="92" t="s">
        <v>96</v>
      </c>
      <c r="I19" s="91">
        <v>0.56999999999999995</v>
      </c>
      <c r="J19" s="91">
        <v>1</v>
      </c>
      <c r="K19" s="92" t="s">
        <v>96</v>
      </c>
      <c r="L19" s="93">
        <v>69066</v>
      </c>
      <c r="M19" s="93">
        <v>531083</v>
      </c>
      <c r="N19" s="92" t="s">
        <v>96</v>
      </c>
      <c r="O19" s="91">
        <v>656</v>
      </c>
      <c r="P19" s="93">
        <v>1138</v>
      </c>
      <c r="R19" s="92">
        <v>121</v>
      </c>
      <c r="S19" s="92">
        <v>624</v>
      </c>
      <c r="T19" s="96">
        <v>1615</v>
      </c>
      <c r="U19" s="92" t="s">
        <v>96</v>
      </c>
      <c r="V19" s="92">
        <v>1.7</v>
      </c>
      <c r="W19" s="92">
        <v>5.4</v>
      </c>
      <c r="X19" s="92">
        <v>8.6</v>
      </c>
      <c r="Y19" s="92" t="s">
        <v>96</v>
      </c>
      <c r="Z19" s="92">
        <v>0.56999999999999995</v>
      </c>
      <c r="AA19" s="92">
        <v>1</v>
      </c>
      <c r="AB19" s="92">
        <v>1</v>
      </c>
      <c r="AC19" s="92" t="s">
        <v>96</v>
      </c>
      <c r="AD19" s="96">
        <v>69066</v>
      </c>
      <c r="AE19" s="96">
        <v>319162</v>
      </c>
      <c r="AF19" s="96">
        <v>531083</v>
      </c>
      <c r="AG19" s="92" t="s">
        <v>96</v>
      </c>
      <c r="AH19" s="92">
        <v>656</v>
      </c>
      <c r="AI19" s="92">
        <v>972</v>
      </c>
      <c r="AJ19" s="96">
        <v>1138</v>
      </c>
    </row>
    <row r="20" spans="1:36" hidden="1" x14ac:dyDescent="0.3">
      <c r="A20" t="s">
        <v>113</v>
      </c>
      <c r="B20" s="101" t="s">
        <v>109</v>
      </c>
      <c r="C20" s="91">
        <v>441</v>
      </c>
      <c r="D20" s="91">
        <v>833</v>
      </c>
      <c r="E20" s="92" t="s">
        <v>96</v>
      </c>
      <c r="F20" s="91">
        <v>4.4000000000000004</v>
      </c>
      <c r="G20" s="91">
        <v>10.9</v>
      </c>
      <c r="H20" s="92" t="s">
        <v>96</v>
      </c>
      <c r="I20" s="91">
        <v>0.5</v>
      </c>
      <c r="J20" s="91">
        <v>0.69</v>
      </c>
      <c r="K20" s="92" t="s">
        <v>96</v>
      </c>
      <c r="L20" s="93">
        <v>4534</v>
      </c>
      <c r="M20" s="93">
        <v>15223</v>
      </c>
      <c r="N20" s="92" t="s">
        <v>96</v>
      </c>
      <c r="O20" s="91">
        <v>94</v>
      </c>
      <c r="P20" s="91">
        <v>236</v>
      </c>
      <c r="R20" s="92">
        <v>727</v>
      </c>
      <c r="S20" s="103">
        <v>881</v>
      </c>
      <c r="T20" s="96">
        <v>4055</v>
      </c>
      <c r="U20" s="92" t="s">
        <v>96</v>
      </c>
      <c r="V20" s="92">
        <v>4.5999999999999996</v>
      </c>
      <c r="W20" s="92">
        <v>6.9</v>
      </c>
      <c r="X20" s="92">
        <v>19.2</v>
      </c>
      <c r="Y20" s="92" t="s">
        <v>96</v>
      </c>
      <c r="Z20" s="92">
        <v>0.55000000000000004</v>
      </c>
      <c r="AA20" s="92">
        <v>0.77</v>
      </c>
      <c r="AB20" s="92">
        <v>0.89</v>
      </c>
      <c r="AC20" s="92" t="s">
        <v>96</v>
      </c>
      <c r="AD20" s="96">
        <v>4287</v>
      </c>
      <c r="AE20" s="96">
        <v>14942</v>
      </c>
      <c r="AF20" s="96">
        <v>23639</v>
      </c>
      <c r="AG20" s="92" t="s">
        <v>96</v>
      </c>
      <c r="AH20" s="92">
        <v>71</v>
      </c>
      <c r="AI20" s="92">
        <v>146</v>
      </c>
      <c r="AJ20" s="92">
        <v>259</v>
      </c>
    </row>
    <row r="21" spans="1:36" hidden="1" x14ac:dyDescent="0.3">
      <c r="A21" t="s">
        <v>113</v>
      </c>
      <c r="B21" s="91" t="s">
        <v>110</v>
      </c>
      <c r="C21" s="98">
        <v>134</v>
      </c>
      <c r="D21" s="98">
        <v>190</v>
      </c>
      <c r="E21" s="91" t="s">
        <v>96</v>
      </c>
      <c r="F21" s="91">
        <v>6.4</v>
      </c>
      <c r="G21" s="91">
        <v>17.3</v>
      </c>
      <c r="H21" s="91" t="s">
        <v>96</v>
      </c>
      <c r="I21" s="91">
        <v>0.99</v>
      </c>
      <c r="J21" s="91">
        <v>1</v>
      </c>
      <c r="K21" s="91" t="s">
        <v>96</v>
      </c>
      <c r="L21" s="93">
        <v>1877</v>
      </c>
      <c r="M21" s="93">
        <v>3040</v>
      </c>
      <c r="N21" s="91" t="s">
        <v>96</v>
      </c>
      <c r="O21" s="91">
        <v>130</v>
      </c>
      <c r="P21" s="91">
        <v>351</v>
      </c>
      <c r="R21" s="92">
        <v>155</v>
      </c>
      <c r="S21" s="102">
        <v>230</v>
      </c>
      <c r="T21" s="92">
        <v>339</v>
      </c>
      <c r="U21" s="92" t="s">
        <v>96</v>
      </c>
      <c r="V21" s="92">
        <v>4.4000000000000004</v>
      </c>
      <c r="W21" s="92">
        <v>9.5</v>
      </c>
      <c r="X21" s="92">
        <v>18.899999999999999</v>
      </c>
      <c r="Y21" s="92" t="s">
        <v>96</v>
      </c>
      <c r="Z21" s="92">
        <v>0.98</v>
      </c>
      <c r="AA21" s="92">
        <v>1</v>
      </c>
      <c r="AB21" s="92">
        <v>1</v>
      </c>
      <c r="AC21" s="92" t="s">
        <v>96</v>
      </c>
      <c r="AD21" s="96">
        <v>2623</v>
      </c>
      <c r="AE21" s="96">
        <v>4048</v>
      </c>
      <c r="AF21" s="96">
        <v>5006</v>
      </c>
      <c r="AG21" s="92" t="s">
        <v>96</v>
      </c>
      <c r="AH21" s="92">
        <v>75</v>
      </c>
      <c r="AI21" s="92">
        <v>163</v>
      </c>
      <c r="AJ21" s="92">
        <v>271</v>
      </c>
    </row>
    <row r="22" spans="1:36" hidden="1" x14ac:dyDescent="0.3">
      <c r="A22" t="s">
        <v>114</v>
      </c>
      <c r="B22" s="101" t="s">
        <v>107</v>
      </c>
      <c r="C22" s="91">
        <v>391</v>
      </c>
      <c r="D22" s="91">
        <v>872</v>
      </c>
      <c r="E22" s="92" t="s">
        <v>96</v>
      </c>
      <c r="F22" s="91">
        <v>4.3</v>
      </c>
      <c r="G22" s="91">
        <v>8.4</v>
      </c>
      <c r="H22" s="92" t="s">
        <v>96</v>
      </c>
      <c r="I22" s="91">
        <v>0.5</v>
      </c>
      <c r="J22" s="91">
        <v>0.88</v>
      </c>
      <c r="K22" s="92" t="s">
        <v>96</v>
      </c>
      <c r="L22" s="93">
        <v>112948</v>
      </c>
      <c r="M22" s="93">
        <v>223491</v>
      </c>
      <c r="N22" s="92" t="s">
        <v>96</v>
      </c>
      <c r="O22" s="91">
        <v>773</v>
      </c>
      <c r="P22" s="93">
        <v>1266</v>
      </c>
      <c r="R22" s="92">
        <v>455</v>
      </c>
      <c r="S22" s="92">
        <v>709</v>
      </c>
      <c r="T22" s="96">
        <v>1646</v>
      </c>
      <c r="U22" s="96"/>
      <c r="V22" s="92">
        <v>3.6</v>
      </c>
      <c r="W22" s="92">
        <v>6.1</v>
      </c>
      <c r="X22" s="92">
        <v>11.5</v>
      </c>
      <c r="Y22" s="92"/>
      <c r="Z22" s="92">
        <v>1</v>
      </c>
      <c r="AA22" s="92">
        <v>1</v>
      </c>
      <c r="AB22" s="92">
        <v>1</v>
      </c>
      <c r="AC22" s="92"/>
      <c r="AD22" s="96">
        <v>101917</v>
      </c>
      <c r="AE22" s="96">
        <v>168583</v>
      </c>
      <c r="AF22" s="96">
        <v>217323</v>
      </c>
      <c r="AH22" s="92">
        <v>557</v>
      </c>
      <c r="AI22" s="92">
        <v>897</v>
      </c>
      <c r="AJ22" s="96">
        <v>1125</v>
      </c>
    </row>
    <row r="23" spans="1:36" hidden="1" x14ac:dyDescent="0.3">
      <c r="A23" t="s">
        <v>114</v>
      </c>
      <c r="B23" s="101" t="s">
        <v>108</v>
      </c>
      <c r="C23" s="91">
        <v>182</v>
      </c>
      <c r="D23" s="93">
        <v>1878</v>
      </c>
      <c r="E23" s="92" t="s">
        <v>96</v>
      </c>
      <c r="F23" s="91">
        <v>2.1</v>
      </c>
      <c r="G23" s="91">
        <v>9.3000000000000007</v>
      </c>
      <c r="H23" s="92" t="s">
        <v>96</v>
      </c>
      <c r="I23" s="91">
        <v>1</v>
      </c>
      <c r="J23" s="91">
        <v>1</v>
      </c>
      <c r="K23" s="92" t="s">
        <v>96</v>
      </c>
      <c r="L23" s="93">
        <v>114902</v>
      </c>
      <c r="M23" s="93">
        <v>668348</v>
      </c>
      <c r="N23" s="92" t="s">
        <v>96</v>
      </c>
      <c r="O23" s="91">
        <v>760</v>
      </c>
      <c r="P23" s="93">
        <v>1218</v>
      </c>
      <c r="R23" s="92">
        <v>182</v>
      </c>
      <c r="S23" s="92">
        <v>619</v>
      </c>
      <c r="T23" s="96">
        <v>1878</v>
      </c>
      <c r="U23" s="96"/>
      <c r="V23" s="92">
        <v>2.1</v>
      </c>
      <c r="W23" s="92">
        <v>5.9</v>
      </c>
      <c r="X23" s="92">
        <v>9.3000000000000007</v>
      </c>
      <c r="Y23" s="92"/>
      <c r="Z23" s="92">
        <v>1</v>
      </c>
      <c r="AA23" s="92">
        <v>1</v>
      </c>
      <c r="AB23" s="92">
        <v>1</v>
      </c>
      <c r="AC23" s="92"/>
      <c r="AD23" s="96">
        <v>114902</v>
      </c>
      <c r="AE23" s="96">
        <v>374578</v>
      </c>
      <c r="AF23" s="96">
        <v>668348</v>
      </c>
      <c r="AH23" s="92">
        <v>760</v>
      </c>
      <c r="AI23" s="96">
        <v>1054</v>
      </c>
      <c r="AJ23" s="96">
        <v>1218</v>
      </c>
    </row>
    <row r="24" spans="1:36" hidden="1" x14ac:dyDescent="0.3">
      <c r="A24" t="s">
        <v>114</v>
      </c>
      <c r="B24" s="101" t="s">
        <v>109</v>
      </c>
      <c r="C24" s="91">
        <v>553</v>
      </c>
      <c r="D24" s="93">
        <v>1099</v>
      </c>
      <c r="E24" s="92" t="s">
        <v>96</v>
      </c>
      <c r="F24" s="91">
        <v>4.5999999999999996</v>
      </c>
      <c r="G24" s="91">
        <v>10.4</v>
      </c>
      <c r="H24" s="92" t="s">
        <v>96</v>
      </c>
      <c r="I24" s="91">
        <v>0.46</v>
      </c>
      <c r="J24" s="91">
        <v>0.83</v>
      </c>
      <c r="K24" s="92" t="s">
        <v>96</v>
      </c>
      <c r="L24" s="93">
        <v>7269</v>
      </c>
      <c r="M24" s="93">
        <v>22158</v>
      </c>
      <c r="N24" s="92" t="s">
        <v>96</v>
      </c>
      <c r="O24" s="91">
        <v>100</v>
      </c>
      <c r="P24" s="91">
        <v>225</v>
      </c>
      <c r="R24" s="92">
        <v>800</v>
      </c>
      <c r="S24" s="97">
        <v>1279</v>
      </c>
      <c r="T24" s="96">
        <v>4302</v>
      </c>
      <c r="U24" s="96"/>
      <c r="V24" s="92">
        <v>4.7</v>
      </c>
      <c r="W24" s="92">
        <v>8.1</v>
      </c>
      <c r="X24" s="92">
        <v>20</v>
      </c>
      <c r="Y24" s="92"/>
      <c r="Z24" s="92">
        <v>0.62</v>
      </c>
      <c r="AA24" s="92">
        <v>0.78</v>
      </c>
      <c r="AB24" s="92">
        <v>0.92</v>
      </c>
      <c r="AC24" s="92"/>
      <c r="AD24" s="96">
        <v>13575</v>
      </c>
      <c r="AE24" s="96">
        <v>28734</v>
      </c>
      <c r="AF24" s="96">
        <v>40595</v>
      </c>
      <c r="AH24" s="92">
        <v>92</v>
      </c>
      <c r="AI24" s="92">
        <v>183</v>
      </c>
      <c r="AJ24" s="92">
        <v>286</v>
      </c>
    </row>
    <row r="25" spans="1:36" hidden="1" x14ac:dyDescent="0.3">
      <c r="A25" t="s">
        <v>114</v>
      </c>
      <c r="B25" s="91" t="s">
        <v>110</v>
      </c>
      <c r="C25" s="98">
        <v>238</v>
      </c>
      <c r="D25" s="98">
        <v>395</v>
      </c>
      <c r="E25" s="91" t="s">
        <v>96</v>
      </c>
      <c r="F25" s="91">
        <v>4.9000000000000004</v>
      </c>
      <c r="G25" s="91">
        <v>16.899999999999999</v>
      </c>
      <c r="H25" s="91" t="s">
        <v>96</v>
      </c>
      <c r="I25" s="91">
        <v>0.99</v>
      </c>
      <c r="J25" s="91">
        <v>1</v>
      </c>
      <c r="K25" s="91" t="s">
        <v>96</v>
      </c>
      <c r="L25" s="93">
        <v>3976</v>
      </c>
      <c r="M25" s="93">
        <v>6914</v>
      </c>
      <c r="N25" s="91" t="s">
        <v>96</v>
      </c>
      <c r="O25" s="91">
        <v>93</v>
      </c>
      <c r="P25" s="91">
        <v>323</v>
      </c>
      <c r="R25" s="92">
        <v>395</v>
      </c>
      <c r="S25" s="102">
        <v>541</v>
      </c>
      <c r="T25" s="92">
        <v>962</v>
      </c>
      <c r="U25" s="92"/>
      <c r="V25" s="92">
        <v>4.9000000000000004</v>
      </c>
      <c r="W25" s="92">
        <v>9.3000000000000007</v>
      </c>
      <c r="X25" s="92">
        <v>19.899999999999999</v>
      </c>
      <c r="Y25" s="92"/>
      <c r="Z25" s="92">
        <v>1</v>
      </c>
      <c r="AA25" s="92">
        <v>1</v>
      </c>
      <c r="AB25" s="92">
        <v>1</v>
      </c>
      <c r="AC25" s="92"/>
      <c r="AD25" s="96">
        <v>5254</v>
      </c>
      <c r="AE25" s="96">
        <v>8474</v>
      </c>
      <c r="AF25" s="96">
        <v>10558</v>
      </c>
      <c r="AH25" s="92">
        <v>49</v>
      </c>
      <c r="AI25" s="92">
        <v>118</v>
      </c>
      <c r="AJ25" s="92">
        <v>161</v>
      </c>
    </row>
    <row r="26" spans="1:36" hidden="1" x14ac:dyDescent="0.3">
      <c r="A26" t="s">
        <v>115</v>
      </c>
      <c r="B26" s="101" t="s">
        <v>107</v>
      </c>
      <c r="C26" s="91">
        <v>545</v>
      </c>
      <c r="D26" s="91">
        <v>843</v>
      </c>
      <c r="E26" s="92" t="s">
        <v>96</v>
      </c>
      <c r="F26" s="91">
        <v>4.3</v>
      </c>
      <c r="G26" s="91">
        <v>8.5</v>
      </c>
      <c r="H26" s="92" t="s">
        <v>96</v>
      </c>
      <c r="I26" s="91">
        <v>0.85</v>
      </c>
      <c r="J26" s="91">
        <v>0.85</v>
      </c>
      <c r="K26" s="92" t="s">
        <v>96</v>
      </c>
      <c r="L26" s="93">
        <v>124717</v>
      </c>
      <c r="M26" s="93">
        <v>200846</v>
      </c>
      <c r="N26" s="92" t="s">
        <v>96</v>
      </c>
      <c r="O26" s="91">
        <v>724</v>
      </c>
      <c r="P26" s="93">
        <v>1303</v>
      </c>
      <c r="R26" s="92">
        <v>524</v>
      </c>
      <c r="S26" s="92">
        <v>736</v>
      </c>
      <c r="T26" s="96">
        <v>1798</v>
      </c>
      <c r="U26" s="96"/>
      <c r="V26" s="92">
        <v>3.3</v>
      </c>
      <c r="W26" s="92">
        <v>6.4</v>
      </c>
      <c r="X26" s="92">
        <v>11.8</v>
      </c>
      <c r="Y26" s="92"/>
      <c r="Z26" s="92">
        <v>1</v>
      </c>
      <c r="AA26" s="92">
        <v>1</v>
      </c>
      <c r="AB26" s="92">
        <v>1</v>
      </c>
      <c r="AC26" s="92"/>
      <c r="AD26" s="96">
        <v>120843</v>
      </c>
      <c r="AE26" s="96">
        <v>194235</v>
      </c>
      <c r="AF26" s="96">
        <v>271309</v>
      </c>
      <c r="AH26" s="92">
        <v>497</v>
      </c>
      <c r="AI26" s="92">
        <v>944</v>
      </c>
      <c r="AJ26" s="96">
        <v>1175</v>
      </c>
    </row>
    <row r="27" spans="1:36" hidden="1" x14ac:dyDescent="0.3">
      <c r="A27" t="s">
        <v>115</v>
      </c>
      <c r="B27" s="101" t="s">
        <v>108</v>
      </c>
      <c r="C27" s="91">
        <v>300</v>
      </c>
      <c r="D27" s="93">
        <v>3094</v>
      </c>
      <c r="E27" s="92" t="s">
        <v>96</v>
      </c>
      <c r="F27" s="91">
        <v>1.9</v>
      </c>
      <c r="G27" s="91">
        <v>8.6999999999999993</v>
      </c>
      <c r="H27" s="92" t="s">
        <v>96</v>
      </c>
      <c r="I27" s="91">
        <v>0.99</v>
      </c>
      <c r="J27" s="91">
        <v>1</v>
      </c>
      <c r="K27" s="92" t="s">
        <v>96</v>
      </c>
      <c r="L27" s="93">
        <v>169971</v>
      </c>
      <c r="M27" s="93">
        <v>1038737</v>
      </c>
      <c r="N27" s="92" t="s">
        <v>96</v>
      </c>
      <c r="O27" s="91">
        <v>675</v>
      </c>
      <c r="P27" s="93">
        <v>1175</v>
      </c>
      <c r="R27" s="92">
        <v>300</v>
      </c>
      <c r="S27" s="92">
        <v>886</v>
      </c>
      <c r="T27" s="96">
        <v>3094</v>
      </c>
      <c r="U27" s="96"/>
      <c r="V27" s="92">
        <v>1.9</v>
      </c>
      <c r="W27" s="92">
        <v>5.6</v>
      </c>
      <c r="X27" s="92">
        <v>8.6999999999999993</v>
      </c>
      <c r="Y27" s="92"/>
      <c r="Z27" s="92">
        <v>0.99</v>
      </c>
      <c r="AA27" s="92">
        <v>1</v>
      </c>
      <c r="AB27" s="92">
        <v>1</v>
      </c>
      <c r="AC27" s="92"/>
      <c r="AD27" s="96">
        <v>169971</v>
      </c>
      <c r="AE27" s="96">
        <v>528781</v>
      </c>
      <c r="AF27" s="96">
        <v>1038737</v>
      </c>
      <c r="AH27" s="92">
        <v>675</v>
      </c>
      <c r="AI27" s="96">
        <v>1016</v>
      </c>
      <c r="AJ27" s="96">
        <v>1175</v>
      </c>
    </row>
    <row r="28" spans="1:36" hidden="1" x14ac:dyDescent="0.3">
      <c r="A28" t="s">
        <v>115</v>
      </c>
      <c r="B28" s="101" t="s">
        <v>109</v>
      </c>
      <c r="C28" s="91">
        <v>375</v>
      </c>
      <c r="D28" s="91">
        <v>866</v>
      </c>
      <c r="E28" s="92" t="s">
        <v>96</v>
      </c>
      <c r="F28" s="91">
        <v>4.3</v>
      </c>
      <c r="G28" s="91">
        <v>11.5</v>
      </c>
      <c r="H28" s="92" t="s">
        <v>96</v>
      </c>
      <c r="I28" s="91">
        <v>0.47</v>
      </c>
      <c r="J28" s="91">
        <v>0.91</v>
      </c>
      <c r="K28" s="92" t="s">
        <v>96</v>
      </c>
      <c r="L28" s="93">
        <v>6662</v>
      </c>
      <c r="M28" s="93">
        <v>18428</v>
      </c>
      <c r="N28" s="92" t="s">
        <v>96</v>
      </c>
      <c r="O28" s="91">
        <v>96</v>
      </c>
      <c r="P28" s="91">
        <v>252</v>
      </c>
      <c r="R28" s="92">
        <v>518</v>
      </c>
      <c r="S28" s="103">
        <v>850</v>
      </c>
      <c r="T28" s="96">
        <v>2264</v>
      </c>
      <c r="U28" s="96"/>
      <c r="V28" s="92">
        <v>4.9000000000000004</v>
      </c>
      <c r="W28" s="92">
        <v>8.9</v>
      </c>
      <c r="X28" s="92">
        <v>20.100000000000001</v>
      </c>
      <c r="Y28" s="92"/>
      <c r="Z28" s="92">
        <v>0.62</v>
      </c>
      <c r="AA28" s="92">
        <v>0.7</v>
      </c>
      <c r="AB28" s="92">
        <v>0.9</v>
      </c>
      <c r="AC28" s="92"/>
      <c r="AD28" s="96">
        <v>11040</v>
      </c>
      <c r="AE28" s="96">
        <v>19941</v>
      </c>
      <c r="AF28" s="96">
        <v>26386</v>
      </c>
      <c r="AH28" s="92">
        <v>111</v>
      </c>
      <c r="AI28" s="92">
        <v>210</v>
      </c>
      <c r="AJ28" s="92">
        <v>298</v>
      </c>
    </row>
    <row r="29" spans="1:36" hidden="1" x14ac:dyDescent="0.3">
      <c r="A29" t="s">
        <v>115</v>
      </c>
      <c r="B29" s="91" t="s">
        <v>110</v>
      </c>
      <c r="C29" s="98">
        <v>182</v>
      </c>
      <c r="D29" s="98">
        <v>295</v>
      </c>
      <c r="E29" s="91" t="s">
        <v>96</v>
      </c>
      <c r="F29" s="91">
        <v>4.4000000000000004</v>
      </c>
      <c r="G29" s="91">
        <v>16.100000000000001</v>
      </c>
      <c r="H29" s="91" t="s">
        <v>96</v>
      </c>
      <c r="I29" s="91">
        <v>0.97</v>
      </c>
      <c r="J29" s="91">
        <v>0.1</v>
      </c>
      <c r="K29" s="91" t="s">
        <v>96</v>
      </c>
      <c r="L29" s="93">
        <v>3003</v>
      </c>
      <c r="M29" s="93">
        <v>5028</v>
      </c>
      <c r="N29" s="91" t="s">
        <v>96</v>
      </c>
      <c r="O29" s="91">
        <v>83</v>
      </c>
      <c r="P29" s="91">
        <v>309</v>
      </c>
      <c r="R29" s="92">
        <v>347</v>
      </c>
      <c r="S29" s="102">
        <v>420</v>
      </c>
      <c r="T29" s="92">
        <v>665</v>
      </c>
      <c r="U29" s="92"/>
      <c r="V29" s="92">
        <v>5.8</v>
      </c>
      <c r="W29" s="92">
        <v>9.1999999999999993</v>
      </c>
      <c r="X29" s="92">
        <v>18.5</v>
      </c>
      <c r="Y29" s="92"/>
      <c r="Z29" s="92">
        <v>1</v>
      </c>
      <c r="AA29" s="92">
        <v>0.97</v>
      </c>
      <c r="AB29" s="92">
        <v>0.97</v>
      </c>
      <c r="AC29" s="92"/>
      <c r="AD29" s="96">
        <v>5846</v>
      </c>
      <c r="AE29" s="96">
        <v>7689</v>
      </c>
      <c r="AF29" s="96">
        <v>9805</v>
      </c>
      <c r="AH29" s="92">
        <v>73</v>
      </c>
      <c r="AI29" s="92">
        <v>140</v>
      </c>
      <c r="AJ29" s="92">
        <v>219</v>
      </c>
    </row>
    <row r="30" spans="1:36" hidden="1" x14ac:dyDescent="0.3">
      <c r="A30" t="s">
        <v>116</v>
      </c>
      <c r="B30" s="101" t="s">
        <v>107</v>
      </c>
      <c r="C30" s="93">
        <v>3097</v>
      </c>
      <c r="D30" s="93">
        <v>17613</v>
      </c>
      <c r="E30" s="91"/>
      <c r="F30" s="91">
        <v>2.5</v>
      </c>
      <c r="G30" s="91">
        <v>9.1</v>
      </c>
      <c r="H30" s="91"/>
      <c r="I30" s="91">
        <v>0.6</v>
      </c>
      <c r="J30" s="91">
        <v>1</v>
      </c>
      <c r="K30" s="91"/>
      <c r="L30" s="93">
        <v>465080</v>
      </c>
      <c r="M30" s="93">
        <v>1779088</v>
      </c>
      <c r="N30" s="91"/>
      <c r="O30" s="91">
        <v>237</v>
      </c>
      <c r="P30" s="91">
        <v>518</v>
      </c>
      <c r="R30" s="96">
        <v>3097</v>
      </c>
      <c r="S30" s="96">
        <v>6516</v>
      </c>
      <c r="T30" s="96">
        <v>17613</v>
      </c>
      <c r="U30" s="92" t="s">
        <v>96</v>
      </c>
      <c r="V30" s="92">
        <v>2.5</v>
      </c>
      <c r="W30" s="92">
        <v>3.6</v>
      </c>
      <c r="X30" s="92">
        <v>9.1</v>
      </c>
      <c r="Y30" s="92" t="s">
        <v>96</v>
      </c>
      <c r="Z30" s="92">
        <v>0.6</v>
      </c>
      <c r="AA30" s="92">
        <v>0.7</v>
      </c>
      <c r="AB30" s="92">
        <v>1</v>
      </c>
      <c r="AC30" s="92" t="s">
        <v>96</v>
      </c>
      <c r="AD30" s="96">
        <v>465080</v>
      </c>
      <c r="AE30" s="96">
        <v>818516</v>
      </c>
      <c r="AF30" s="96">
        <v>1779088</v>
      </c>
      <c r="AG30" s="92" t="s">
        <v>96</v>
      </c>
      <c r="AH30" s="92">
        <v>237</v>
      </c>
      <c r="AI30" s="92">
        <v>274</v>
      </c>
      <c r="AJ30" s="92">
        <v>518</v>
      </c>
    </row>
    <row r="31" spans="1:36" x14ac:dyDescent="0.3">
      <c r="A31" t="s">
        <v>116</v>
      </c>
      <c r="B31" s="101" t="s">
        <v>117</v>
      </c>
      <c r="C31" s="93">
        <v>3019</v>
      </c>
      <c r="D31" s="93">
        <v>21750</v>
      </c>
      <c r="E31" s="91"/>
      <c r="F31" s="91">
        <v>2.5</v>
      </c>
      <c r="G31" s="91">
        <v>15.8</v>
      </c>
      <c r="H31" s="91"/>
      <c r="I31" s="91">
        <v>0.41</v>
      </c>
      <c r="J31" s="91">
        <v>1</v>
      </c>
      <c r="K31" s="91"/>
      <c r="L31" s="93">
        <v>175993</v>
      </c>
      <c r="M31" s="93">
        <v>1707591</v>
      </c>
      <c r="N31" s="91"/>
      <c r="O31" s="91">
        <v>77</v>
      </c>
      <c r="P31" s="91">
        <v>270</v>
      </c>
      <c r="R31" s="96">
        <v>3019</v>
      </c>
      <c r="S31" s="96">
        <v>6426</v>
      </c>
      <c r="T31" s="96">
        <v>21750</v>
      </c>
      <c r="U31" s="92" t="s">
        <v>96</v>
      </c>
      <c r="V31" s="92">
        <v>2.5</v>
      </c>
      <c r="W31" s="92">
        <v>4.5</v>
      </c>
      <c r="X31" s="92">
        <v>15.8</v>
      </c>
      <c r="Y31" s="92" t="s">
        <v>96</v>
      </c>
      <c r="Z31" s="92">
        <v>0.41</v>
      </c>
      <c r="AA31" s="92">
        <v>0.45</v>
      </c>
      <c r="AB31" s="92">
        <v>1</v>
      </c>
      <c r="AC31" s="92" t="s">
        <v>96</v>
      </c>
      <c r="AD31" s="96">
        <v>175993</v>
      </c>
      <c r="AE31" s="96">
        <v>384052</v>
      </c>
      <c r="AF31" s="96">
        <v>1707591</v>
      </c>
      <c r="AG31" s="92" t="s">
        <v>96</v>
      </c>
      <c r="AH31" s="92">
        <v>77</v>
      </c>
      <c r="AI31" s="92">
        <v>115</v>
      </c>
      <c r="AJ31" s="92">
        <v>270</v>
      </c>
    </row>
    <row r="32" spans="1:36" hidden="1" x14ac:dyDescent="0.3">
      <c r="A32" t="s">
        <v>116</v>
      </c>
      <c r="B32" s="101" t="s">
        <v>109</v>
      </c>
      <c r="C32" s="93">
        <v>11039</v>
      </c>
      <c r="D32" s="93">
        <v>17654</v>
      </c>
      <c r="E32" s="91"/>
      <c r="F32" s="91">
        <v>3</v>
      </c>
      <c r="G32" s="91">
        <v>21.4</v>
      </c>
      <c r="H32" s="91"/>
      <c r="I32" s="91">
        <v>0.56999999999999995</v>
      </c>
      <c r="J32" s="91">
        <v>0.92</v>
      </c>
      <c r="K32" s="91"/>
      <c r="L32" s="93">
        <v>317625</v>
      </c>
      <c r="M32" s="93">
        <v>272111</v>
      </c>
      <c r="N32" s="91"/>
      <c r="O32" s="91">
        <v>76</v>
      </c>
      <c r="P32" s="91">
        <v>316</v>
      </c>
      <c r="R32" s="96">
        <v>11039</v>
      </c>
      <c r="S32" s="96">
        <v>23633</v>
      </c>
      <c r="T32" s="96">
        <v>17654</v>
      </c>
      <c r="U32" s="92" t="s">
        <v>96</v>
      </c>
      <c r="V32" s="92">
        <v>3</v>
      </c>
      <c r="W32" s="92">
        <v>7.3</v>
      </c>
      <c r="X32" s="92">
        <v>21.4</v>
      </c>
      <c r="Y32" s="92" t="s">
        <v>96</v>
      </c>
      <c r="Z32" s="92">
        <v>0.56999999999999995</v>
      </c>
      <c r="AA32" s="92">
        <v>0.61</v>
      </c>
      <c r="AB32" s="92">
        <v>0.92</v>
      </c>
      <c r="AC32" s="92" t="s">
        <v>96</v>
      </c>
      <c r="AD32" s="96">
        <v>317625</v>
      </c>
      <c r="AE32" s="96">
        <v>644219</v>
      </c>
      <c r="AF32" s="96">
        <v>272111</v>
      </c>
      <c r="AG32" s="92" t="s">
        <v>96</v>
      </c>
      <c r="AH32" s="92">
        <v>76</v>
      </c>
      <c r="AI32" s="92">
        <v>157</v>
      </c>
      <c r="AJ32" s="92">
        <v>316</v>
      </c>
    </row>
    <row r="33" spans="1:36" hidden="1" x14ac:dyDescent="0.3">
      <c r="A33" t="s">
        <v>116</v>
      </c>
      <c r="B33" s="91" t="s">
        <v>110</v>
      </c>
      <c r="C33" s="98">
        <v>855</v>
      </c>
      <c r="D33" s="99">
        <v>1973</v>
      </c>
      <c r="E33" s="91"/>
      <c r="F33" s="91">
        <v>4.8</v>
      </c>
      <c r="G33" s="91">
        <v>15.1</v>
      </c>
      <c r="H33" s="91"/>
      <c r="I33" s="91">
        <v>0.72</v>
      </c>
      <c r="J33" s="91">
        <v>0.86</v>
      </c>
      <c r="K33" s="91"/>
      <c r="L33" s="93">
        <v>17196</v>
      </c>
      <c r="M33" s="93">
        <v>28802</v>
      </c>
      <c r="N33" s="91"/>
      <c r="O33" s="91">
        <v>94</v>
      </c>
      <c r="P33" s="91">
        <v>213</v>
      </c>
      <c r="R33" s="92">
        <v>855</v>
      </c>
      <c r="S33" s="100">
        <v>1402</v>
      </c>
      <c r="T33" s="96">
        <v>1973</v>
      </c>
      <c r="U33" s="92" t="s">
        <v>96</v>
      </c>
      <c r="V33" s="92">
        <v>4.8</v>
      </c>
      <c r="W33" s="92">
        <v>9.3000000000000007</v>
      </c>
      <c r="X33" s="92">
        <v>15.1</v>
      </c>
      <c r="Y33" s="92" t="s">
        <v>96</v>
      </c>
      <c r="Z33" s="92">
        <v>0.72</v>
      </c>
      <c r="AA33" s="92">
        <v>0.78</v>
      </c>
      <c r="AB33" s="92">
        <v>0.86</v>
      </c>
      <c r="AC33" s="92" t="s">
        <v>96</v>
      </c>
      <c r="AD33" s="96">
        <v>17196</v>
      </c>
      <c r="AE33" s="96">
        <v>25080</v>
      </c>
      <c r="AF33" s="96">
        <v>28802</v>
      </c>
      <c r="AG33" s="92" t="s">
        <v>96</v>
      </c>
      <c r="AH33" s="92">
        <v>94</v>
      </c>
      <c r="AI33" s="92">
        <v>163</v>
      </c>
      <c r="AJ33" s="92">
        <v>213</v>
      </c>
    </row>
    <row r="34" spans="1:36" hidden="1" x14ac:dyDescent="0.3">
      <c r="A34" t="s">
        <v>118</v>
      </c>
      <c r="B34" s="101" t="s">
        <v>107</v>
      </c>
      <c r="C34" s="91">
        <v>934</v>
      </c>
      <c r="D34" s="93">
        <v>5792</v>
      </c>
      <c r="E34" s="91"/>
      <c r="F34" s="91">
        <v>1.8</v>
      </c>
      <c r="G34" s="91">
        <v>7.2</v>
      </c>
      <c r="H34" s="91"/>
      <c r="I34" s="91">
        <v>0.49</v>
      </c>
      <c r="J34" s="91">
        <v>1</v>
      </c>
      <c r="K34" s="91"/>
      <c r="L34" s="93">
        <v>129831</v>
      </c>
      <c r="M34" s="93">
        <v>607842</v>
      </c>
      <c r="N34" s="91"/>
      <c r="O34" s="91">
        <v>176</v>
      </c>
      <c r="P34" s="91">
        <v>426</v>
      </c>
      <c r="R34" s="92">
        <v>934</v>
      </c>
      <c r="S34" s="96">
        <v>2055</v>
      </c>
      <c r="T34" s="96">
        <v>5792</v>
      </c>
      <c r="U34" s="92" t="s">
        <v>96</v>
      </c>
      <c r="V34" s="92">
        <v>1.8</v>
      </c>
      <c r="W34" s="92">
        <v>2.9</v>
      </c>
      <c r="X34" s="92">
        <v>7.2</v>
      </c>
      <c r="Y34" s="92" t="s">
        <v>96</v>
      </c>
      <c r="Z34" s="92">
        <v>0.49</v>
      </c>
      <c r="AA34" s="92">
        <v>0.7</v>
      </c>
      <c r="AB34" s="92">
        <v>1</v>
      </c>
      <c r="AC34" s="92" t="s">
        <v>96</v>
      </c>
      <c r="AD34" s="96">
        <v>129631</v>
      </c>
      <c r="AE34" s="96">
        <v>282394</v>
      </c>
      <c r="AF34" s="96">
        <v>607842</v>
      </c>
      <c r="AG34" s="92" t="s">
        <v>96</v>
      </c>
      <c r="AH34" s="92">
        <v>176</v>
      </c>
      <c r="AI34" s="92">
        <v>245</v>
      </c>
      <c r="AJ34" s="92">
        <v>426</v>
      </c>
    </row>
    <row r="35" spans="1:36" x14ac:dyDescent="0.3">
      <c r="A35" t="s">
        <v>118</v>
      </c>
      <c r="B35" s="101" t="s">
        <v>117</v>
      </c>
      <c r="C35" s="91">
        <v>718</v>
      </c>
      <c r="D35" s="93">
        <v>7791</v>
      </c>
      <c r="E35" s="91"/>
      <c r="F35" s="91">
        <v>1.9</v>
      </c>
      <c r="G35" s="91">
        <v>14</v>
      </c>
      <c r="H35" s="91"/>
      <c r="I35" s="91">
        <v>0.27</v>
      </c>
      <c r="J35" s="91">
        <v>1</v>
      </c>
      <c r="K35" s="91"/>
      <c r="L35" s="93">
        <v>52519</v>
      </c>
      <c r="M35" s="93">
        <v>790464</v>
      </c>
      <c r="N35" s="91"/>
      <c r="O35" s="91">
        <v>79</v>
      </c>
      <c r="P35" s="91">
        <v>297</v>
      </c>
      <c r="R35" s="92">
        <v>718</v>
      </c>
      <c r="S35" s="96">
        <v>1803</v>
      </c>
      <c r="T35" s="96">
        <v>7791</v>
      </c>
      <c r="U35" s="92" t="s">
        <v>96</v>
      </c>
      <c r="V35" s="92">
        <v>1.9</v>
      </c>
      <c r="W35" s="92">
        <v>3.5</v>
      </c>
      <c r="X35" s="92">
        <v>14</v>
      </c>
      <c r="Y35" s="92" t="s">
        <v>96</v>
      </c>
      <c r="Z35" s="92">
        <v>0.27</v>
      </c>
      <c r="AA35" s="92">
        <v>0.37</v>
      </c>
      <c r="AB35" s="92">
        <v>1</v>
      </c>
      <c r="AC35" s="92" t="s">
        <v>96</v>
      </c>
      <c r="AD35" s="96">
        <v>52519</v>
      </c>
      <c r="AE35" s="96">
        <v>191009</v>
      </c>
      <c r="AF35" s="96">
        <v>790464</v>
      </c>
      <c r="AG35" s="92" t="s">
        <v>96</v>
      </c>
      <c r="AH35" s="92">
        <v>79</v>
      </c>
      <c r="AI35" s="92">
        <v>141</v>
      </c>
      <c r="AJ35" s="92">
        <v>297</v>
      </c>
    </row>
    <row r="36" spans="1:36" hidden="1" x14ac:dyDescent="0.3">
      <c r="A36" t="s">
        <v>118</v>
      </c>
      <c r="B36" s="101" t="s">
        <v>109</v>
      </c>
      <c r="C36" s="93">
        <v>3752</v>
      </c>
      <c r="D36" s="93">
        <v>8029</v>
      </c>
      <c r="E36" s="91"/>
      <c r="F36" s="91">
        <v>4</v>
      </c>
      <c r="G36" s="91">
        <v>22.1</v>
      </c>
      <c r="H36" s="91"/>
      <c r="I36" s="91">
        <v>0.33</v>
      </c>
      <c r="J36" s="91">
        <v>0.73</v>
      </c>
      <c r="K36" s="91"/>
      <c r="L36" s="93">
        <v>98166</v>
      </c>
      <c r="M36" s="93">
        <v>120143</v>
      </c>
      <c r="N36" s="91"/>
      <c r="O36" s="91">
        <v>90</v>
      </c>
      <c r="P36" s="91">
        <v>309</v>
      </c>
      <c r="R36" s="96">
        <v>3752</v>
      </c>
      <c r="S36" s="97">
        <v>5351</v>
      </c>
      <c r="T36" s="96">
        <v>8029</v>
      </c>
      <c r="U36" s="92" t="s">
        <v>96</v>
      </c>
      <c r="V36" s="92">
        <v>4</v>
      </c>
      <c r="W36" s="92">
        <v>7.5</v>
      </c>
      <c r="X36" s="92">
        <v>22.1</v>
      </c>
      <c r="Y36" s="92" t="s">
        <v>96</v>
      </c>
      <c r="Z36" s="92">
        <v>0.33</v>
      </c>
      <c r="AA36" s="92">
        <v>0.37</v>
      </c>
      <c r="AB36" s="92">
        <v>0.73</v>
      </c>
      <c r="AC36" s="92" t="s">
        <v>96</v>
      </c>
      <c r="AD36" s="96">
        <v>98166</v>
      </c>
      <c r="AE36" s="96">
        <v>124684</v>
      </c>
      <c r="AF36" s="96">
        <v>120143</v>
      </c>
      <c r="AG36" s="92" t="s">
        <v>96</v>
      </c>
      <c r="AH36" s="92">
        <v>90</v>
      </c>
      <c r="AI36" s="92">
        <v>153</v>
      </c>
      <c r="AJ36" s="92">
        <v>309</v>
      </c>
    </row>
    <row r="37" spans="1:36" hidden="1" x14ac:dyDescent="0.3">
      <c r="A37" t="s">
        <v>118</v>
      </c>
      <c r="B37" s="91" t="s">
        <v>110</v>
      </c>
      <c r="C37" s="98">
        <v>624</v>
      </c>
      <c r="D37" s="99">
        <v>1504</v>
      </c>
      <c r="E37" s="91"/>
      <c r="F37" s="91">
        <v>4.2</v>
      </c>
      <c r="G37" s="91">
        <v>13.1</v>
      </c>
      <c r="H37" s="91"/>
      <c r="I37" s="91">
        <v>0.85</v>
      </c>
      <c r="J37" s="91">
        <v>0.98</v>
      </c>
      <c r="K37" s="91"/>
      <c r="L37" s="93">
        <v>12576</v>
      </c>
      <c r="M37" s="93">
        <v>22084</v>
      </c>
      <c r="N37" s="91"/>
      <c r="O37" s="91">
        <v>83</v>
      </c>
      <c r="P37" s="91">
        <v>185</v>
      </c>
      <c r="R37" s="92">
        <v>624</v>
      </c>
      <c r="S37" s="100">
        <v>1001</v>
      </c>
      <c r="T37" s="96">
        <v>1504</v>
      </c>
      <c r="U37" s="92" t="s">
        <v>96</v>
      </c>
      <c r="V37" s="92">
        <v>4.2</v>
      </c>
      <c r="W37" s="92">
        <v>7.4</v>
      </c>
      <c r="X37" s="92">
        <v>13.1</v>
      </c>
      <c r="Y37" s="92" t="s">
        <v>96</v>
      </c>
      <c r="Z37" s="92">
        <v>0.85</v>
      </c>
      <c r="AA37" s="92">
        <v>0.94</v>
      </c>
      <c r="AB37" s="92">
        <v>0.98</v>
      </c>
      <c r="AC37" s="92" t="s">
        <v>96</v>
      </c>
      <c r="AD37" s="96">
        <v>12576</v>
      </c>
      <c r="AE37" s="96">
        <v>18112</v>
      </c>
      <c r="AF37" s="96">
        <v>22084</v>
      </c>
      <c r="AG37" s="92" t="s">
        <v>96</v>
      </c>
      <c r="AH37" s="92">
        <v>83</v>
      </c>
      <c r="AI37" s="92">
        <v>131</v>
      </c>
      <c r="AJ37" s="92">
        <v>185</v>
      </c>
    </row>
    <row r="38" spans="1:36" hidden="1" x14ac:dyDescent="0.3">
      <c r="A38" t="s">
        <v>119</v>
      </c>
      <c r="B38" s="101" t="s">
        <v>107</v>
      </c>
      <c r="C38" s="93">
        <v>1025</v>
      </c>
      <c r="D38" s="93">
        <v>4610</v>
      </c>
      <c r="E38" s="91"/>
      <c r="F38" s="91">
        <v>2</v>
      </c>
      <c r="G38" s="91">
        <v>8.6</v>
      </c>
      <c r="H38" s="91"/>
      <c r="I38" s="91">
        <v>0.35</v>
      </c>
      <c r="J38" s="91">
        <v>0.9</v>
      </c>
      <c r="K38" s="91"/>
      <c r="L38" s="93">
        <v>137656</v>
      </c>
      <c r="M38" s="93">
        <v>337240</v>
      </c>
      <c r="N38" s="91"/>
      <c r="O38" s="91">
        <v>211</v>
      </c>
      <c r="P38" s="91">
        <v>465</v>
      </c>
      <c r="R38" s="96">
        <v>1025</v>
      </c>
      <c r="S38" s="96">
        <v>2475</v>
      </c>
      <c r="T38" s="96">
        <v>4610</v>
      </c>
      <c r="U38" s="92" t="s">
        <v>96</v>
      </c>
      <c r="V38" s="92">
        <v>2</v>
      </c>
      <c r="W38" s="92">
        <v>4.5</v>
      </c>
      <c r="X38" s="92">
        <v>8.6</v>
      </c>
      <c r="Y38" s="92" t="s">
        <v>96</v>
      </c>
      <c r="Z38" s="92">
        <v>0.35</v>
      </c>
      <c r="AA38" s="92">
        <v>0.9</v>
      </c>
      <c r="AB38" s="92">
        <v>0.9</v>
      </c>
      <c r="AC38" s="92" t="s">
        <v>96</v>
      </c>
      <c r="AD38" s="96">
        <v>137656</v>
      </c>
      <c r="AE38" s="96">
        <v>264812</v>
      </c>
      <c r="AF38" s="96">
        <v>337240</v>
      </c>
      <c r="AG38" s="92" t="s">
        <v>96</v>
      </c>
      <c r="AH38" s="92">
        <v>211</v>
      </c>
      <c r="AI38" s="92">
        <v>359</v>
      </c>
      <c r="AJ38" s="92">
        <v>465</v>
      </c>
    </row>
    <row r="39" spans="1:36" x14ac:dyDescent="0.3">
      <c r="A39" t="s">
        <v>119</v>
      </c>
      <c r="B39" s="101" t="s">
        <v>117</v>
      </c>
      <c r="C39" s="91">
        <v>868</v>
      </c>
      <c r="D39" s="93">
        <v>5436</v>
      </c>
      <c r="E39" s="91"/>
      <c r="F39" s="91">
        <v>1.9</v>
      </c>
      <c r="G39" s="91">
        <v>15.1</v>
      </c>
      <c r="H39" s="91"/>
      <c r="I39" s="91">
        <v>0.2</v>
      </c>
      <c r="J39" s="91">
        <v>0.93</v>
      </c>
      <c r="K39" s="91"/>
      <c r="L39" s="93">
        <v>63454</v>
      </c>
      <c r="M39" s="93">
        <v>246459</v>
      </c>
      <c r="N39" s="91"/>
      <c r="O39" s="91">
        <v>92</v>
      </c>
      <c r="P39" s="91">
        <v>251</v>
      </c>
      <c r="R39" s="92">
        <v>868</v>
      </c>
      <c r="S39" s="96">
        <v>3176</v>
      </c>
      <c r="T39" s="96">
        <v>5436</v>
      </c>
      <c r="U39" s="92" t="s">
        <v>96</v>
      </c>
      <c r="V39" s="92">
        <v>1.9</v>
      </c>
      <c r="W39" s="92">
        <v>7.2</v>
      </c>
      <c r="X39" s="92">
        <v>15.1</v>
      </c>
      <c r="Y39" s="92" t="s">
        <v>96</v>
      </c>
      <c r="Z39" s="92">
        <v>0.2</v>
      </c>
      <c r="AA39" s="92">
        <v>0.78</v>
      </c>
      <c r="AB39" s="92">
        <v>0.93</v>
      </c>
      <c r="AC39" s="92" t="s">
        <v>96</v>
      </c>
      <c r="AD39" s="96">
        <v>63454</v>
      </c>
      <c r="AE39" s="96">
        <v>195918</v>
      </c>
      <c r="AF39" s="96">
        <v>246459</v>
      </c>
      <c r="AG39" s="92" t="s">
        <v>96</v>
      </c>
      <c r="AH39" s="92">
        <v>92</v>
      </c>
      <c r="AI39" s="92">
        <v>188</v>
      </c>
      <c r="AJ39" s="92">
        <v>251</v>
      </c>
    </row>
    <row r="40" spans="1:36" hidden="1" x14ac:dyDescent="0.3">
      <c r="A40" t="s">
        <v>119</v>
      </c>
      <c r="B40" s="101" t="s">
        <v>109</v>
      </c>
      <c r="C40" s="91">
        <v>261</v>
      </c>
      <c r="D40" s="93">
        <v>5599</v>
      </c>
      <c r="E40" s="91"/>
      <c r="F40" s="91">
        <v>2.6</v>
      </c>
      <c r="G40" s="91">
        <v>24.9</v>
      </c>
      <c r="H40" s="91"/>
      <c r="I40" s="91">
        <v>0.32</v>
      </c>
      <c r="J40" s="91">
        <v>0.9</v>
      </c>
      <c r="K40" s="91"/>
      <c r="L40" s="93">
        <v>8741</v>
      </c>
      <c r="M40" s="93">
        <v>82075</v>
      </c>
      <c r="N40" s="91"/>
      <c r="O40" s="91">
        <v>72</v>
      </c>
      <c r="P40" s="91">
        <v>352</v>
      </c>
      <c r="R40" s="92">
        <v>261</v>
      </c>
      <c r="S40" s="97">
        <v>3233</v>
      </c>
      <c r="T40" s="96">
        <v>5599</v>
      </c>
      <c r="U40" s="92" t="s">
        <v>96</v>
      </c>
      <c r="V40" s="92">
        <v>2.6</v>
      </c>
      <c r="W40" s="92">
        <v>12.6</v>
      </c>
      <c r="X40" s="92">
        <v>24.9</v>
      </c>
      <c r="Y40" s="92" t="s">
        <v>96</v>
      </c>
      <c r="Z40" s="92">
        <v>0.32</v>
      </c>
      <c r="AA40" s="92">
        <v>0.84</v>
      </c>
      <c r="AB40" s="92">
        <v>0.9</v>
      </c>
      <c r="AC40" s="92" t="s">
        <v>96</v>
      </c>
      <c r="AD40" s="96">
        <v>8741</v>
      </c>
      <c r="AE40" s="96">
        <v>67197</v>
      </c>
      <c r="AF40" s="96">
        <v>82075</v>
      </c>
      <c r="AG40" s="92" t="s">
        <v>96</v>
      </c>
      <c r="AH40" s="92">
        <v>72</v>
      </c>
      <c r="AI40" s="92">
        <v>256</v>
      </c>
      <c r="AJ40" s="92">
        <v>352</v>
      </c>
    </row>
    <row r="41" spans="1:36" hidden="1" x14ac:dyDescent="0.3">
      <c r="A41" t="s">
        <v>119</v>
      </c>
      <c r="B41" s="91" t="s">
        <v>110</v>
      </c>
      <c r="C41" s="98">
        <v>219</v>
      </c>
      <c r="D41" s="99">
        <v>1741</v>
      </c>
      <c r="E41" s="91"/>
      <c r="F41" s="91">
        <v>2.2999999999999998</v>
      </c>
      <c r="G41" s="91">
        <v>16.5</v>
      </c>
      <c r="H41" s="91"/>
      <c r="I41" s="91">
        <v>0.21</v>
      </c>
      <c r="J41" s="91">
        <v>1</v>
      </c>
      <c r="K41" s="91"/>
      <c r="L41" s="93">
        <v>4484</v>
      </c>
      <c r="M41" s="93">
        <v>26042</v>
      </c>
      <c r="N41" s="91"/>
      <c r="O41" s="91">
        <v>44</v>
      </c>
      <c r="P41" s="91">
        <v>234</v>
      </c>
      <c r="R41" s="92">
        <v>219</v>
      </c>
      <c r="S41" s="100">
        <v>1093</v>
      </c>
      <c r="T41" s="96">
        <v>1741</v>
      </c>
      <c r="U41" s="92" t="s">
        <v>96</v>
      </c>
      <c r="V41" s="92">
        <v>2.2999999999999998</v>
      </c>
      <c r="W41" s="92">
        <v>9.6999999999999993</v>
      </c>
      <c r="X41" s="92">
        <v>16.5</v>
      </c>
      <c r="Y41" s="92" t="s">
        <v>96</v>
      </c>
      <c r="Z41" s="92">
        <v>0.21</v>
      </c>
      <c r="AA41" s="92">
        <v>0.91</v>
      </c>
      <c r="AB41" s="92">
        <v>1</v>
      </c>
      <c r="AC41" s="92" t="s">
        <v>96</v>
      </c>
      <c r="AD41" s="96">
        <v>4484</v>
      </c>
      <c r="AE41" s="96">
        <v>19991</v>
      </c>
      <c r="AF41" s="96">
        <v>26042</v>
      </c>
      <c r="AG41" s="92" t="s">
        <v>96</v>
      </c>
      <c r="AH41" s="92">
        <v>44</v>
      </c>
      <c r="AI41" s="92">
        <v>170</v>
      </c>
      <c r="AJ41" s="92">
        <v>234</v>
      </c>
    </row>
    <row r="42" spans="1:36" hidden="1" x14ac:dyDescent="0.3">
      <c r="A42" t="s">
        <v>120</v>
      </c>
      <c r="B42" s="101" t="s">
        <v>107</v>
      </c>
      <c r="C42" s="93">
        <v>8218</v>
      </c>
      <c r="D42" s="93">
        <v>23980</v>
      </c>
      <c r="E42" s="91"/>
      <c r="F42" s="91">
        <v>5.6</v>
      </c>
      <c r="G42" s="91">
        <v>14.3</v>
      </c>
      <c r="H42" s="91"/>
      <c r="I42" s="91">
        <v>0.64</v>
      </c>
      <c r="J42" s="91">
        <v>1</v>
      </c>
      <c r="K42" s="91"/>
      <c r="L42" s="93">
        <v>1344061</v>
      </c>
      <c r="M42" s="93">
        <v>3511194</v>
      </c>
      <c r="N42" s="91"/>
      <c r="O42" s="91">
        <v>536</v>
      </c>
      <c r="P42" s="93">
        <v>1307</v>
      </c>
      <c r="R42" s="96">
        <v>8873</v>
      </c>
      <c r="S42" s="96">
        <v>20865</v>
      </c>
      <c r="T42" s="96">
        <v>24356</v>
      </c>
      <c r="U42" s="92" t="s">
        <v>96</v>
      </c>
      <c r="V42" s="92">
        <v>5.9</v>
      </c>
      <c r="W42" s="92">
        <v>11</v>
      </c>
      <c r="X42" s="92">
        <v>14.5</v>
      </c>
      <c r="Y42" s="92" t="s">
        <v>96</v>
      </c>
      <c r="Z42" s="92">
        <v>0.65</v>
      </c>
      <c r="AA42" s="92">
        <v>1</v>
      </c>
      <c r="AB42" s="92">
        <v>1</v>
      </c>
      <c r="AC42" s="92" t="s">
        <v>96</v>
      </c>
      <c r="AD42" s="96">
        <v>1484327</v>
      </c>
      <c r="AE42" s="96">
        <v>3049618</v>
      </c>
      <c r="AF42" s="96">
        <v>3809863</v>
      </c>
      <c r="AG42" s="92" t="s">
        <v>96</v>
      </c>
      <c r="AH42" s="92">
        <v>551</v>
      </c>
      <c r="AI42" s="92">
        <v>998</v>
      </c>
      <c r="AJ42" s="96">
        <v>1295</v>
      </c>
    </row>
    <row r="43" spans="1:36" hidden="1" x14ac:dyDescent="0.3">
      <c r="A43" t="s">
        <v>120</v>
      </c>
      <c r="B43" s="101" t="s">
        <v>108</v>
      </c>
      <c r="C43" s="93">
        <v>6239</v>
      </c>
      <c r="D43" s="93">
        <v>166140</v>
      </c>
      <c r="E43" s="91"/>
      <c r="F43" s="91">
        <v>1.9</v>
      </c>
      <c r="G43" s="91">
        <v>9.8000000000000007</v>
      </c>
      <c r="H43" s="91"/>
      <c r="I43" s="91">
        <v>0.44</v>
      </c>
      <c r="J43" s="91">
        <v>1</v>
      </c>
      <c r="K43" s="91"/>
      <c r="L43" s="93">
        <v>3080762</v>
      </c>
      <c r="M43" s="93">
        <v>48310830</v>
      </c>
      <c r="N43" s="91"/>
      <c r="O43" s="91">
        <v>582</v>
      </c>
      <c r="P43" s="93">
        <v>1042</v>
      </c>
      <c r="R43" s="96">
        <v>6239</v>
      </c>
      <c r="S43" s="96">
        <v>46130</v>
      </c>
      <c r="T43" s="96">
        <v>166140</v>
      </c>
      <c r="U43" s="92" t="s">
        <v>96</v>
      </c>
      <c r="V43" s="92">
        <v>1.9</v>
      </c>
      <c r="W43" s="92">
        <v>6.7</v>
      </c>
      <c r="X43" s="92">
        <v>9.8000000000000007</v>
      </c>
      <c r="Y43" s="92" t="s">
        <v>96</v>
      </c>
      <c r="Z43" s="92">
        <v>0.44</v>
      </c>
      <c r="AA43" s="92">
        <v>1</v>
      </c>
      <c r="AB43" s="92">
        <v>1</v>
      </c>
      <c r="AC43" s="92" t="s">
        <v>96</v>
      </c>
      <c r="AD43" s="96">
        <v>3080762</v>
      </c>
      <c r="AE43" s="96">
        <v>21871960</v>
      </c>
      <c r="AF43" s="96">
        <v>48310830</v>
      </c>
      <c r="AG43" s="92" t="s">
        <v>96</v>
      </c>
      <c r="AH43" s="92">
        <v>582</v>
      </c>
      <c r="AI43" s="92">
        <v>883</v>
      </c>
      <c r="AJ43" s="96">
        <v>1042</v>
      </c>
    </row>
    <row r="44" spans="1:36" hidden="1" x14ac:dyDescent="0.3">
      <c r="A44" t="s">
        <v>120</v>
      </c>
      <c r="B44" s="101" t="s">
        <v>109</v>
      </c>
      <c r="C44" s="93">
        <v>4629</v>
      </c>
      <c r="D44" s="93">
        <v>18200</v>
      </c>
      <c r="E44" s="91"/>
      <c r="F44" s="91">
        <v>3.6</v>
      </c>
      <c r="G44" s="91">
        <v>16.399999999999999</v>
      </c>
      <c r="H44" s="91"/>
      <c r="I44" s="91">
        <v>0.79</v>
      </c>
      <c r="J44" s="91">
        <v>1</v>
      </c>
      <c r="K44" s="91"/>
      <c r="L44" s="93">
        <v>88808</v>
      </c>
      <c r="M44" s="93">
        <v>352126</v>
      </c>
      <c r="N44" s="91"/>
      <c r="O44" s="91">
        <v>70</v>
      </c>
      <c r="P44" s="91">
        <v>307</v>
      </c>
      <c r="R44" s="96">
        <v>4144</v>
      </c>
      <c r="S44" s="97">
        <v>15655</v>
      </c>
      <c r="T44" s="96">
        <v>17626</v>
      </c>
      <c r="U44" s="92" t="s">
        <v>96</v>
      </c>
      <c r="V44" s="92">
        <v>4.2</v>
      </c>
      <c r="W44" s="92">
        <v>12.4</v>
      </c>
      <c r="X44" s="92">
        <v>17.100000000000001</v>
      </c>
      <c r="Y44" s="92" t="s">
        <v>96</v>
      </c>
      <c r="Z44" s="92">
        <v>0.81</v>
      </c>
      <c r="AA44" s="92">
        <v>0.96</v>
      </c>
      <c r="AB44" s="92">
        <v>1</v>
      </c>
      <c r="AC44" s="92" t="s">
        <v>96</v>
      </c>
      <c r="AD44" s="96">
        <v>83989</v>
      </c>
      <c r="AE44" s="96">
        <v>338523</v>
      </c>
      <c r="AF44" s="96">
        <v>381605</v>
      </c>
      <c r="AG44" s="92" t="s">
        <v>96</v>
      </c>
      <c r="AH44" s="92">
        <v>91</v>
      </c>
      <c r="AI44" s="92">
        <v>264</v>
      </c>
      <c r="AJ44" s="92">
        <v>359</v>
      </c>
    </row>
    <row r="45" spans="1:36" hidden="1" x14ac:dyDescent="0.3">
      <c r="A45" t="s">
        <v>120</v>
      </c>
      <c r="B45" s="91" t="s">
        <v>110</v>
      </c>
      <c r="C45" s="98">
        <v>450</v>
      </c>
      <c r="D45" s="99">
        <v>1358</v>
      </c>
      <c r="E45" s="91"/>
      <c r="F45" s="91">
        <v>2.8</v>
      </c>
      <c r="G45" s="91">
        <v>16.899999999999999</v>
      </c>
      <c r="H45" s="91"/>
      <c r="I45" s="91">
        <v>0.5</v>
      </c>
      <c r="J45" s="91">
        <v>0.9</v>
      </c>
      <c r="K45" s="91"/>
      <c r="L45" s="93">
        <v>8746</v>
      </c>
      <c r="M45" s="93">
        <v>25046</v>
      </c>
      <c r="N45" s="91"/>
      <c r="O45" s="91">
        <v>56</v>
      </c>
      <c r="P45" s="91">
        <v>316</v>
      </c>
      <c r="R45" s="92">
        <v>198</v>
      </c>
      <c r="S45" s="100">
        <v>1352</v>
      </c>
      <c r="T45" s="96">
        <v>1727</v>
      </c>
      <c r="U45" s="92" t="s">
        <v>96</v>
      </c>
      <c r="V45" s="92">
        <v>2.2999999999999998</v>
      </c>
      <c r="W45" s="92">
        <v>10</v>
      </c>
      <c r="X45" s="92">
        <v>26.1</v>
      </c>
      <c r="Y45" s="92" t="s">
        <v>96</v>
      </c>
      <c r="Z45" s="92">
        <v>0.23</v>
      </c>
      <c r="AA45" s="92">
        <v>0.39</v>
      </c>
      <c r="AB45" s="92">
        <v>1</v>
      </c>
      <c r="AC45" s="92" t="s">
        <v>96</v>
      </c>
      <c r="AD45" s="96">
        <v>3913</v>
      </c>
      <c r="AE45" s="96">
        <v>25618</v>
      </c>
      <c r="AF45" s="96">
        <v>17101</v>
      </c>
      <c r="AG45" s="92" t="s">
        <v>96</v>
      </c>
      <c r="AH45" s="92">
        <v>45</v>
      </c>
      <c r="AI45" s="92">
        <v>193</v>
      </c>
      <c r="AJ45" s="92">
        <v>271</v>
      </c>
    </row>
    <row r="46" spans="1:36" hidden="1" x14ac:dyDescent="0.3">
      <c r="A46" t="s">
        <v>33</v>
      </c>
      <c r="B46" s="101" t="s">
        <v>107</v>
      </c>
      <c r="C46" s="93">
        <v>1911</v>
      </c>
      <c r="D46" s="93">
        <v>3520</v>
      </c>
      <c r="E46" s="91" t="s">
        <v>96</v>
      </c>
      <c r="F46" s="91">
        <v>4.2</v>
      </c>
      <c r="G46" s="91">
        <v>10.7</v>
      </c>
      <c r="H46" s="91" t="s">
        <v>96</v>
      </c>
      <c r="I46" s="91">
        <v>1</v>
      </c>
      <c r="J46" s="91">
        <v>1</v>
      </c>
      <c r="K46" s="91" t="s">
        <v>96</v>
      </c>
      <c r="L46" s="93">
        <v>220570</v>
      </c>
      <c r="M46" s="93">
        <v>396000</v>
      </c>
      <c r="N46" s="91" t="s">
        <v>96</v>
      </c>
      <c r="O46" s="91">
        <v>449</v>
      </c>
      <c r="P46" s="93">
        <v>1075</v>
      </c>
      <c r="R46" s="96">
        <v>1839</v>
      </c>
      <c r="S46" s="96">
        <v>2877</v>
      </c>
      <c r="T46" s="96">
        <v>3270</v>
      </c>
      <c r="U46" s="92" t="s">
        <v>96</v>
      </c>
      <c r="V46" s="92">
        <v>4.3</v>
      </c>
      <c r="W46" s="92">
        <v>8.6</v>
      </c>
      <c r="X46" s="92">
        <v>11</v>
      </c>
      <c r="Y46" s="92" t="s">
        <v>96</v>
      </c>
      <c r="Z46" s="92">
        <v>1</v>
      </c>
      <c r="AA46" s="92">
        <v>1</v>
      </c>
      <c r="AB46" s="92">
        <v>1</v>
      </c>
      <c r="AC46" s="92" t="s">
        <v>96</v>
      </c>
      <c r="AD46" s="96">
        <v>218075</v>
      </c>
      <c r="AE46" s="96">
        <v>324661</v>
      </c>
      <c r="AF46" s="96">
        <v>374482</v>
      </c>
      <c r="AG46" s="92" t="s">
        <v>96</v>
      </c>
      <c r="AH46" s="92">
        <v>480</v>
      </c>
      <c r="AI46" s="92">
        <v>879</v>
      </c>
      <c r="AJ46" s="96">
        <v>1115</v>
      </c>
    </row>
    <row r="47" spans="1:36" hidden="1" x14ac:dyDescent="0.3">
      <c r="A47" t="s">
        <v>33</v>
      </c>
      <c r="B47" s="101" t="s">
        <v>108</v>
      </c>
      <c r="C47" s="91">
        <v>277</v>
      </c>
      <c r="D47" s="93">
        <v>3217</v>
      </c>
      <c r="E47" s="91" t="s">
        <v>96</v>
      </c>
      <c r="F47" s="91">
        <v>2.1</v>
      </c>
      <c r="G47" s="91">
        <v>10</v>
      </c>
      <c r="H47" s="91" t="s">
        <v>96</v>
      </c>
      <c r="I47" s="91">
        <v>0.97</v>
      </c>
      <c r="J47" s="91">
        <v>1</v>
      </c>
      <c r="K47" s="91" t="s">
        <v>96</v>
      </c>
      <c r="L47" s="93">
        <v>132516</v>
      </c>
      <c r="M47" s="93">
        <v>636146</v>
      </c>
      <c r="N47" s="91" t="s">
        <v>96</v>
      </c>
      <c r="O47" s="91">
        <v>667</v>
      </c>
      <c r="P47" s="93">
        <v>1152</v>
      </c>
      <c r="R47" s="92">
        <v>277</v>
      </c>
      <c r="S47" s="92">
        <v>932</v>
      </c>
      <c r="T47" s="96">
        <v>3217</v>
      </c>
      <c r="U47" s="92" t="s">
        <v>96</v>
      </c>
      <c r="V47" s="92">
        <v>2.1</v>
      </c>
      <c r="W47" s="92">
        <v>7</v>
      </c>
      <c r="X47" s="92">
        <v>10</v>
      </c>
      <c r="Y47" s="92" t="s">
        <v>96</v>
      </c>
      <c r="Z47" s="92">
        <v>0.97</v>
      </c>
      <c r="AA47" s="92">
        <v>1</v>
      </c>
      <c r="AB47" s="92">
        <v>1</v>
      </c>
      <c r="AC47" s="92" t="s">
        <v>96</v>
      </c>
      <c r="AD47" s="96">
        <v>132516</v>
      </c>
      <c r="AE47" s="96">
        <v>340763</v>
      </c>
      <c r="AF47" s="96">
        <v>636146</v>
      </c>
      <c r="AG47" s="92" t="s">
        <v>96</v>
      </c>
      <c r="AH47" s="92">
        <v>667</v>
      </c>
      <c r="AI47" s="96">
        <v>1023</v>
      </c>
      <c r="AJ47" s="96">
        <v>1152</v>
      </c>
    </row>
    <row r="48" spans="1:36" hidden="1" x14ac:dyDescent="0.3">
      <c r="A48" t="s">
        <v>33</v>
      </c>
      <c r="B48" s="101" t="s">
        <v>109</v>
      </c>
      <c r="C48" s="91">
        <v>931</v>
      </c>
      <c r="D48" s="93">
        <v>5023</v>
      </c>
      <c r="E48" s="91" t="s">
        <v>96</v>
      </c>
      <c r="F48" s="91">
        <v>2.7</v>
      </c>
      <c r="G48" s="91">
        <v>11.1</v>
      </c>
      <c r="H48" s="91" t="s">
        <v>96</v>
      </c>
      <c r="I48" s="91">
        <v>0.49</v>
      </c>
      <c r="J48" s="91">
        <v>0.83</v>
      </c>
      <c r="K48" s="91" t="s">
        <v>96</v>
      </c>
      <c r="L48" s="93">
        <v>17612</v>
      </c>
      <c r="M48" s="93">
        <v>100296</v>
      </c>
      <c r="N48" s="91" t="s">
        <v>96</v>
      </c>
      <c r="O48" s="91">
        <v>52</v>
      </c>
      <c r="P48" s="91">
        <v>217</v>
      </c>
      <c r="R48" s="96">
        <v>1873</v>
      </c>
      <c r="S48" s="97">
        <v>6225</v>
      </c>
      <c r="T48" s="96">
        <v>8434</v>
      </c>
      <c r="U48" s="92" t="s">
        <v>96</v>
      </c>
      <c r="V48" s="92">
        <v>3.4</v>
      </c>
      <c r="W48" s="92">
        <v>8.1</v>
      </c>
      <c r="X48" s="92">
        <v>12.5</v>
      </c>
      <c r="Y48" s="92" t="s">
        <v>96</v>
      </c>
      <c r="Z48" s="92">
        <v>0.51</v>
      </c>
      <c r="AA48" s="92">
        <v>0.82</v>
      </c>
      <c r="AB48" s="92">
        <v>0.87</v>
      </c>
      <c r="AC48" s="92" t="s">
        <v>96</v>
      </c>
      <c r="AD48" s="96">
        <v>33578</v>
      </c>
      <c r="AE48" s="96">
        <v>130350</v>
      </c>
      <c r="AF48" s="96">
        <v>178656</v>
      </c>
      <c r="AG48" s="92" t="s">
        <v>96</v>
      </c>
      <c r="AH48" s="92">
        <v>65</v>
      </c>
      <c r="AI48" s="92">
        <v>165</v>
      </c>
      <c r="AJ48" s="92">
        <v>253</v>
      </c>
    </row>
    <row r="49" spans="1:36" hidden="1" x14ac:dyDescent="0.3">
      <c r="A49" t="s">
        <v>33</v>
      </c>
      <c r="B49" s="91" t="s">
        <v>110</v>
      </c>
      <c r="C49" s="98">
        <v>427</v>
      </c>
      <c r="D49" s="98">
        <v>895</v>
      </c>
      <c r="E49" s="91" t="s">
        <v>96</v>
      </c>
      <c r="F49" s="91">
        <v>3.3</v>
      </c>
      <c r="G49" s="91">
        <v>14.3</v>
      </c>
      <c r="H49" s="91" t="s">
        <v>96</v>
      </c>
      <c r="I49" s="91">
        <v>0.76</v>
      </c>
      <c r="J49" s="91">
        <v>0.98</v>
      </c>
      <c r="K49" s="91" t="s">
        <v>96</v>
      </c>
      <c r="L49" s="93">
        <v>7680</v>
      </c>
      <c r="M49" s="93">
        <v>16160</v>
      </c>
      <c r="N49" s="91" t="s">
        <v>96</v>
      </c>
      <c r="O49" s="91">
        <v>63</v>
      </c>
      <c r="P49" s="91">
        <v>270</v>
      </c>
      <c r="R49" s="92">
        <v>653</v>
      </c>
      <c r="S49" s="100">
        <v>1017</v>
      </c>
      <c r="T49" s="96">
        <v>2423</v>
      </c>
      <c r="U49" s="92" t="s">
        <v>96</v>
      </c>
      <c r="V49" s="92">
        <v>3.9</v>
      </c>
      <c r="W49" s="92">
        <v>9</v>
      </c>
      <c r="X49" s="92">
        <v>28.2</v>
      </c>
      <c r="Y49" s="92" t="s">
        <v>96</v>
      </c>
      <c r="Z49" s="92">
        <v>0.86</v>
      </c>
      <c r="AA49" s="92">
        <v>0.98</v>
      </c>
      <c r="AB49" s="92">
        <v>1</v>
      </c>
      <c r="AC49" s="92" t="s">
        <v>96</v>
      </c>
      <c r="AD49" s="96">
        <v>11599</v>
      </c>
      <c r="AE49" s="96">
        <v>18040</v>
      </c>
      <c r="AF49" s="96">
        <v>22929</v>
      </c>
      <c r="AG49" s="92" t="s">
        <v>96</v>
      </c>
      <c r="AH49" s="92">
        <v>73</v>
      </c>
      <c r="AI49" s="92">
        <v>165</v>
      </c>
      <c r="AJ49" s="92">
        <v>275</v>
      </c>
    </row>
    <row r="50" spans="1:36" hidden="1" x14ac:dyDescent="0.3">
      <c r="A50" t="s">
        <v>32</v>
      </c>
      <c r="B50" s="101" t="s">
        <v>107</v>
      </c>
      <c r="C50" s="93">
        <v>4568</v>
      </c>
      <c r="D50" s="93">
        <v>10938</v>
      </c>
      <c r="E50" s="92" t="s">
        <v>96</v>
      </c>
      <c r="F50" s="91">
        <v>3.1</v>
      </c>
      <c r="G50" s="91">
        <v>10.7</v>
      </c>
      <c r="H50" s="92" t="s">
        <v>96</v>
      </c>
      <c r="I50" s="91">
        <v>0.63</v>
      </c>
      <c r="J50" s="91">
        <v>1</v>
      </c>
      <c r="K50" s="92" t="s">
        <v>96</v>
      </c>
      <c r="L50" s="93">
        <v>483371</v>
      </c>
      <c r="M50" s="93">
        <v>1033237</v>
      </c>
      <c r="N50" s="92" t="s">
        <v>96</v>
      </c>
      <c r="O50" s="91">
        <v>285</v>
      </c>
      <c r="P50" s="91">
        <v>907</v>
      </c>
      <c r="R50" s="96">
        <v>4370</v>
      </c>
      <c r="S50" s="96">
        <v>9066</v>
      </c>
      <c r="T50" s="96">
        <v>10046</v>
      </c>
      <c r="U50" s="92" t="s">
        <v>96</v>
      </c>
      <c r="V50" s="92">
        <v>3.2</v>
      </c>
      <c r="W50" s="92">
        <v>8.3000000000000007</v>
      </c>
      <c r="X50" s="92">
        <v>10.7</v>
      </c>
      <c r="Y50" s="92" t="s">
        <v>96</v>
      </c>
      <c r="Z50" s="92">
        <v>0.66</v>
      </c>
      <c r="AA50" s="92">
        <v>1</v>
      </c>
      <c r="AB50" s="92">
        <v>1</v>
      </c>
      <c r="AC50" s="92" t="s">
        <v>96</v>
      </c>
      <c r="AD50" s="96">
        <v>499147</v>
      </c>
      <c r="AE50" s="96">
        <v>919467</v>
      </c>
      <c r="AF50" s="96">
        <v>1022259</v>
      </c>
      <c r="AG50" s="92" t="s">
        <v>96</v>
      </c>
      <c r="AH50" s="92">
        <v>306</v>
      </c>
      <c r="AI50" s="92">
        <v>738</v>
      </c>
      <c r="AJ50" s="92">
        <v>937</v>
      </c>
    </row>
    <row r="51" spans="1:36" x14ac:dyDescent="0.3">
      <c r="A51" t="s">
        <v>32</v>
      </c>
      <c r="B51" s="101" t="s">
        <v>117</v>
      </c>
      <c r="C51" s="104" t="s">
        <v>121</v>
      </c>
      <c r="D51" s="93">
        <v>3147</v>
      </c>
      <c r="E51" s="92" t="s">
        <v>96</v>
      </c>
      <c r="F51" s="104" t="s">
        <v>121</v>
      </c>
      <c r="G51" s="91">
        <v>16.5</v>
      </c>
      <c r="H51" s="92" t="s">
        <v>96</v>
      </c>
      <c r="I51" s="91">
        <v>0</v>
      </c>
      <c r="J51" s="91">
        <v>1</v>
      </c>
      <c r="K51" s="92" t="s">
        <v>96</v>
      </c>
      <c r="L51" s="104" t="s">
        <v>121</v>
      </c>
      <c r="M51" s="93">
        <v>102934</v>
      </c>
      <c r="N51" s="92" t="s">
        <v>96</v>
      </c>
      <c r="O51" s="104" t="s">
        <v>121</v>
      </c>
      <c r="P51" s="91">
        <v>519</v>
      </c>
      <c r="R51" s="92">
        <v>0</v>
      </c>
      <c r="S51" s="96">
        <v>2703</v>
      </c>
      <c r="T51" s="96">
        <v>3083</v>
      </c>
      <c r="U51" s="92" t="s">
        <v>96</v>
      </c>
      <c r="V51" s="92">
        <v>0</v>
      </c>
      <c r="W51" s="92">
        <v>10.9</v>
      </c>
      <c r="X51" s="92">
        <v>15.8</v>
      </c>
      <c r="Y51" s="92" t="s">
        <v>96</v>
      </c>
      <c r="Z51" s="92">
        <v>0</v>
      </c>
      <c r="AA51" s="92">
        <v>1</v>
      </c>
      <c r="AB51" s="92">
        <v>1</v>
      </c>
      <c r="AC51" s="92" t="s">
        <v>96</v>
      </c>
      <c r="AD51" s="92">
        <v>0</v>
      </c>
      <c r="AE51" s="96">
        <v>85801</v>
      </c>
      <c r="AF51" s="96">
        <v>96292</v>
      </c>
      <c r="AG51" s="92" t="s">
        <v>96</v>
      </c>
      <c r="AH51" s="92">
        <v>0</v>
      </c>
      <c r="AI51" s="92">
        <v>319</v>
      </c>
      <c r="AJ51" s="92">
        <v>454</v>
      </c>
    </row>
    <row r="52" spans="1:36" hidden="1" x14ac:dyDescent="0.3">
      <c r="A52" t="s">
        <v>32</v>
      </c>
      <c r="B52" s="101" t="s">
        <v>108</v>
      </c>
      <c r="C52" s="93">
        <v>1376</v>
      </c>
      <c r="D52" s="93">
        <v>25984</v>
      </c>
      <c r="E52" s="92" t="s">
        <v>96</v>
      </c>
      <c r="F52" s="91">
        <v>1.9</v>
      </c>
      <c r="G52" s="91">
        <v>10.5</v>
      </c>
      <c r="H52" s="92" t="s">
        <v>96</v>
      </c>
      <c r="I52" s="91">
        <v>0.39</v>
      </c>
      <c r="J52" s="91">
        <v>1</v>
      </c>
      <c r="K52" s="92" t="s">
        <v>96</v>
      </c>
      <c r="L52" s="93">
        <v>595692</v>
      </c>
      <c r="M52" s="93">
        <v>4495859</v>
      </c>
      <c r="N52" s="92" t="s">
        <v>96</v>
      </c>
      <c r="O52" s="91">
        <v>548</v>
      </c>
      <c r="P52" s="93">
        <v>1057</v>
      </c>
      <c r="S52"/>
    </row>
    <row r="53" spans="1:36" hidden="1" x14ac:dyDescent="0.3">
      <c r="A53" t="s">
        <v>32</v>
      </c>
      <c r="B53" s="101" t="s">
        <v>109</v>
      </c>
      <c r="C53" s="93">
        <v>3164</v>
      </c>
      <c r="D53" s="93">
        <v>27453</v>
      </c>
      <c r="E53" s="92" t="s">
        <v>96</v>
      </c>
      <c r="F53" s="91">
        <v>2.7</v>
      </c>
      <c r="G53" s="91">
        <v>14.1</v>
      </c>
      <c r="H53" s="92" t="s">
        <v>96</v>
      </c>
      <c r="I53" s="91">
        <v>0.32</v>
      </c>
      <c r="J53" s="91">
        <v>0.91</v>
      </c>
      <c r="K53" s="92" t="s">
        <v>96</v>
      </c>
      <c r="L53" s="93">
        <v>60503</v>
      </c>
      <c r="M53" s="93">
        <v>504253</v>
      </c>
      <c r="N53" s="92" t="s">
        <v>96</v>
      </c>
      <c r="O53" s="91">
        <v>51</v>
      </c>
      <c r="P53" s="91">
        <v>254</v>
      </c>
      <c r="R53" s="96">
        <v>1376</v>
      </c>
      <c r="S53" s="97">
        <v>8196</v>
      </c>
      <c r="T53" s="96">
        <v>25984</v>
      </c>
      <c r="U53" s="92" t="s">
        <v>96</v>
      </c>
      <c r="V53" s="92">
        <v>1.9</v>
      </c>
      <c r="W53" s="92">
        <v>7.1</v>
      </c>
      <c r="X53" s="92">
        <v>10.5</v>
      </c>
      <c r="Y53" s="92" t="s">
        <v>96</v>
      </c>
      <c r="Z53" s="92">
        <v>0.39</v>
      </c>
      <c r="AA53" s="92">
        <v>1</v>
      </c>
      <c r="AB53" s="92">
        <v>1</v>
      </c>
      <c r="AC53" s="92" t="s">
        <v>96</v>
      </c>
      <c r="AD53" s="96">
        <v>595692</v>
      </c>
      <c r="AE53" s="96">
        <v>2731905</v>
      </c>
      <c r="AF53" s="96">
        <v>4495859</v>
      </c>
      <c r="AG53" s="92" t="s">
        <v>96</v>
      </c>
      <c r="AH53" s="92">
        <v>548</v>
      </c>
      <c r="AI53" s="92">
        <v>901</v>
      </c>
      <c r="AJ53" s="96">
        <v>1057</v>
      </c>
    </row>
    <row r="54" spans="1:36" hidden="1" x14ac:dyDescent="0.3">
      <c r="A54" t="s">
        <v>32</v>
      </c>
      <c r="B54" s="91" t="s">
        <v>110</v>
      </c>
      <c r="C54" s="98">
        <v>603</v>
      </c>
      <c r="D54" s="99">
        <v>3558</v>
      </c>
      <c r="E54" s="91" t="s">
        <v>96</v>
      </c>
      <c r="F54" s="91">
        <v>2.7</v>
      </c>
      <c r="G54" s="91">
        <v>19.3</v>
      </c>
      <c r="H54" s="91" t="s">
        <v>96</v>
      </c>
      <c r="I54" s="91">
        <v>0.38</v>
      </c>
      <c r="J54" s="91">
        <v>0.96</v>
      </c>
      <c r="K54" s="91" t="s">
        <v>96</v>
      </c>
      <c r="L54" s="93">
        <v>13403</v>
      </c>
      <c r="M54" s="93">
        <v>62722</v>
      </c>
      <c r="N54" s="91" t="s">
        <v>96</v>
      </c>
      <c r="O54" s="91">
        <v>55</v>
      </c>
      <c r="P54" s="91">
        <v>337</v>
      </c>
      <c r="R54" s="96">
        <v>1343</v>
      </c>
      <c r="S54" s="100">
        <v>4766</v>
      </c>
      <c r="T54" s="96">
        <v>10330</v>
      </c>
      <c r="U54" s="92" t="s">
        <v>96</v>
      </c>
      <c r="V54" s="92">
        <v>3.1</v>
      </c>
      <c r="W54" s="92">
        <v>13</v>
      </c>
      <c r="X54" s="92">
        <v>36.1</v>
      </c>
      <c r="Y54" s="92" t="s">
        <v>96</v>
      </c>
      <c r="Z54" s="92">
        <v>0.45</v>
      </c>
      <c r="AA54" s="92">
        <v>0.94</v>
      </c>
      <c r="AB54" s="92">
        <v>0.99</v>
      </c>
      <c r="AC54" s="92" t="s">
        <v>96</v>
      </c>
      <c r="AD54" s="96">
        <v>29188</v>
      </c>
      <c r="AE54" s="96">
        <v>86779</v>
      </c>
      <c r="AF54" s="96">
        <v>100718</v>
      </c>
      <c r="AG54" s="92" t="s">
        <v>96</v>
      </c>
      <c r="AH54" s="92">
        <v>64</v>
      </c>
      <c r="AI54" s="92">
        <v>233</v>
      </c>
      <c r="AJ54" s="92">
        <v>345</v>
      </c>
    </row>
    <row r="55" spans="1:36" hidden="1" x14ac:dyDescent="0.3">
      <c r="A55" t="s">
        <v>1</v>
      </c>
      <c r="B55" s="101" t="s">
        <v>107</v>
      </c>
      <c r="C55" s="93">
        <v>1560</v>
      </c>
      <c r="D55" s="93">
        <v>2696</v>
      </c>
      <c r="E55" s="91" t="s">
        <v>96</v>
      </c>
      <c r="F55" s="91">
        <v>3.9</v>
      </c>
      <c r="G55" s="91">
        <v>10.6</v>
      </c>
      <c r="H55" s="91" t="s">
        <v>96</v>
      </c>
      <c r="I55" s="91">
        <v>1</v>
      </c>
      <c r="J55" s="91">
        <v>1</v>
      </c>
      <c r="K55" s="91" t="s">
        <v>96</v>
      </c>
      <c r="L55" s="93">
        <v>262852</v>
      </c>
      <c r="M55" s="93">
        <v>489937</v>
      </c>
      <c r="N55" s="91" t="s">
        <v>96</v>
      </c>
      <c r="O55" s="91">
        <v>484</v>
      </c>
      <c r="P55" s="93">
        <v>1225</v>
      </c>
      <c r="R55" s="96">
        <v>1581</v>
      </c>
      <c r="S55" s="96">
        <v>2367</v>
      </c>
      <c r="T55" s="96">
        <v>2760</v>
      </c>
      <c r="U55" s="92" t="s">
        <v>96</v>
      </c>
      <c r="V55" s="92">
        <v>3.3</v>
      </c>
      <c r="W55" s="92">
        <v>6.9</v>
      </c>
      <c r="X55" s="92">
        <v>8.6999999999999993</v>
      </c>
      <c r="Y55" s="92" t="s">
        <v>96</v>
      </c>
      <c r="Z55" s="92">
        <v>1</v>
      </c>
      <c r="AA55" s="92">
        <v>1</v>
      </c>
      <c r="AB55" s="92">
        <v>1</v>
      </c>
      <c r="AC55" s="92" t="s">
        <v>96</v>
      </c>
      <c r="AD55" s="96">
        <v>248620</v>
      </c>
      <c r="AE55" s="96">
        <v>371277</v>
      </c>
      <c r="AF55" s="96">
        <v>463354</v>
      </c>
      <c r="AG55" s="92" t="s">
        <v>96</v>
      </c>
      <c r="AH55" s="92">
        <v>398</v>
      </c>
      <c r="AI55" s="92">
        <v>772</v>
      </c>
      <c r="AJ55" s="92">
        <v>959</v>
      </c>
    </row>
    <row r="56" spans="1:36" x14ac:dyDescent="0.3">
      <c r="A56" t="s">
        <v>1</v>
      </c>
      <c r="B56" s="101" t="s">
        <v>117</v>
      </c>
      <c r="C56" s="91">
        <v>353</v>
      </c>
      <c r="D56" s="93">
        <v>4906</v>
      </c>
      <c r="E56" s="91" t="s">
        <v>96</v>
      </c>
      <c r="F56" s="91">
        <v>1.6</v>
      </c>
      <c r="G56" s="91">
        <v>15.3</v>
      </c>
      <c r="H56" s="91" t="s">
        <v>96</v>
      </c>
      <c r="I56" s="91">
        <v>0.65</v>
      </c>
      <c r="J56" s="91">
        <v>1</v>
      </c>
      <c r="K56" s="91" t="s">
        <v>96</v>
      </c>
      <c r="L56" s="93">
        <v>71873</v>
      </c>
      <c r="M56" s="93">
        <v>304131</v>
      </c>
      <c r="N56" s="91" t="s">
        <v>96</v>
      </c>
      <c r="O56" s="91">
        <v>279</v>
      </c>
      <c r="P56" s="91">
        <v>741</v>
      </c>
      <c r="R56" s="92">
        <v>413</v>
      </c>
      <c r="S56" s="92">
        <v>756</v>
      </c>
      <c r="T56" s="96">
        <v>4862</v>
      </c>
      <c r="U56" s="92" t="s">
        <v>96</v>
      </c>
      <c r="V56" s="92">
        <v>1.8</v>
      </c>
      <c r="W56" s="92">
        <v>3.1</v>
      </c>
      <c r="X56" s="92">
        <v>17.2</v>
      </c>
      <c r="Y56" s="92" t="s">
        <v>96</v>
      </c>
      <c r="Z56" s="92">
        <v>0.79</v>
      </c>
      <c r="AA56" s="92">
        <v>1</v>
      </c>
      <c r="AB56" s="92">
        <v>1</v>
      </c>
      <c r="AC56" s="92" t="s">
        <v>96</v>
      </c>
      <c r="AD56" s="96">
        <v>87930</v>
      </c>
      <c r="AE56" s="96">
        <v>175350</v>
      </c>
      <c r="AF56" s="96">
        <v>286925</v>
      </c>
      <c r="AG56" s="92" t="s">
        <v>96</v>
      </c>
      <c r="AH56" s="92">
        <v>327</v>
      </c>
      <c r="AI56" s="92">
        <v>601</v>
      </c>
      <c r="AJ56" s="92">
        <v>809</v>
      </c>
    </row>
    <row r="57" spans="1:36" hidden="1" x14ac:dyDescent="0.3">
      <c r="A57" t="s">
        <v>1</v>
      </c>
      <c r="B57" s="101" t="s">
        <v>108</v>
      </c>
      <c r="C57" s="93">
        <v>1615</v>
      </c>
      <c r="D57" s="93">
        <v>20637</v>
      </c>
      <c r="E57" s="91" t="s">
        <v>96</v>
      </c>
      <c r="F57" s="91">
        <v>2</v>
      </c>
      <c r="G57" s="91">
        <v>9.6999999999999993</v>
      </c>
      <c r="H57" s="91" t="s">
        <v>96</v>
      </c>
      <c r="I57" s="91">
        <v>0.84</v>
      </c>
      <c r="J57" s="91">
        <v>1</v>
      </c>
      <c r="K57" s="91" t="s">
        <v>96</v>
      </c>
      <c r="L57" s="93">
        <v>901866</v>
      </c>
      <c r="M57" s="93">
        <v>4323376</v>
      </c>
      <c r="N57" s="91" t="s">
        <v>96</v>
      </c>
      <c r="O57" s="91">
        <v>703</v>
      </c>
      <c r="P57" s="93">
        <v>1147</v>
      </c>
      <c r="R57" s="96">
        <v>1615</v>
      </c>
      <c r="S57" s="96">
        <v>6014</v>
      </c>
      <c r="T57" s="96">
        <v>20637</v>
      </c>
      <c r="U57" s="92" t="s">
        <v>96</v>
      </c>
      <c r="V57" s="92">
        <v>2</v>
      </c>
      <c r="W57" s="92">
        <v>6.5</v>
      </c>
      <c r="X57" s="92">
        <v>9.6999999999999993</v>
      </c>
      <c r="Y57" s="92" t="s">
        <v>96</v>
      </c>
      <c r="Z57" s="92">
        <v>0.84</v>
      </c>
      <c r="AA57" s="92">
        <v>1</v>
      </c>
      <c r="AB57" s="92">
        <v>1</v>
      </c>
      <c r="AC57" s="92" t="s">
        <v>96</v>
      </c>
      <c r="AD57" s="96">
        <v>901866</v>
      </c>
      <c r="AE57" s="96">
        <v>2573274</v>
      </c>
      <c r="AF57" s="96">
        <v>4323376</v>
      </c>
      <c r="AG57" s="92" t="s">
        <v>96</v>
      </c>
      <c r="AH57" s="92">
        <v>703</v>
      </c>
      <c r="AI57" s="92">
        <v>997</v>
      </c>
      <c r="AJ57" s="96">
        <v>1147</v>
      </c>
    </row>
    <row r="58" spans="1:36" hidden="1" x14ac:dyDescent="0.3">
      <c r="A58" t="s">
        <v>1</v>
      </c>
      <c r="B58" s="101" t="s">
        <v>109</v>
      </c>
      <c r="C58" s="91">
        <v>222</v>
      </c>
      <c r="D58" s="91">
        <v>796</v>
      </c>
      <c r="E58" s="91" t="s">
        <v>96</v>
      </c>
      <c r="F58" s="91">
        <v>4.3</v>
      </c>
      <c r="G58" s="91">
        <v>11.3</v>
      </c>
      <c r="H58" s="91" t="s">
        <v>96</v>
      </c>
      <c r="I58" s="91">
        <v>0.28000000000000003</v>
      </c>
      <c r="J58" s="91">
        <v>1</v>
      </c>
      <c r="K58" s="91" t="s">
        <v>96</v>
      </c>
      <c r="L58" s="93">
        <v>2588</v>
      </c>
      <c r="M58" s="93">
        <v>16974</v>
      </c>
      <c r="N58" s="91" t="s">
        <v>96</v>
      </c>
      <c r="O58" s="91">
        <v>101</v>
      </c>
      <c r="P58" s="91">
        <v>242</v>
      </c>
      <c r="R58" s="92">
        <v>484</v>
      </c>
      <c r="S58" s="97">
        <v>1033</v>
      </c>
      <c r="T58" s="96">
        <v>1306</v>
      </c>
      <c r="U58" s="92" t="s">
        <v>96</v>
      </c>
      <c r="V58" s="92">
        <v>3.8</v>
      </c>
      <c r="W58" s="92">
        <v>8.6999999999999993</v>
      </c>
      <c r="X58" s="92">
        <v>12.5</v>
      </c>
      <c r="Y58" s="92" t="s">
        <v>96</v>
      </c>
      <c r="Z58" s="92">
        <v>0.37</v>
      </c>
      <c r="AA58" s="92">
        <v>1</v>
      </c>
      <c r="AB58" s="92">
        <v>1</v>
      </c>
      <c r="AC58" s="92" t="s">
        <v>96</v>
      </c>
      <c r="AD58" s="96">
        <v>5192</v>
      </c>
      <c r="AE58" s="96">
        <v>23024</v>
      </c>
      <c r="AF58" s="96">
        <v>30151</v>
      </c>
      <c r="AG58" s="92" t="s">
        <v>96</v>
      </c>
      <c r="AH58" s="92">
        <v>84</v>
      </c>
      <c r="AI58" s="92">
        <v>194</v>
      </c>
      <c r="AJ58" s="92">
        <v>283</v>
      </c>
    </row>
    <row r="59" spans="1:36" hidden="1" x14ac:dyDescent="0.3">
      <c r="A59" t="s">
        <v>1</v>
      </c>
      <c r="B59" s="101" t="s">
        <v>122</v>
      </c>
      <c r="C59" s="91">
        <v>592</v>
      </c>
      <c r="D59" s="93">
        <v>1038</v>
      </c>
      <c r="E59" s="91" t="s">
        <v>96</v>
      </c>
      <c r="F59" s="91">
        <v>3.2</v>
      </c>
      <c r="G59" s="91">
        <v>10.3</v>
      </c>
      <c r="H59" s="91" t="s">
        <v>96</v>
      </c>
      <c r="I59" s="91">
        <v>0.87</v>
      </c>
      <c r="J59" s="91">
        <v>0.9</v>
      </c>
      <c r="K59" s="91" t="s">
        <v>96</v>
      </c>
      <c r="L59" s="93">
        <v>11032</v>
      </c>
      <c r="M59" s="93">
        <v>18954</v>
      </c>
      <c r="N59" s="91" t="s">
        <v>96</v>
      </c>
      <c r="O59" s="91">
        <v>60</v>
      </c>
      <c r="P59" s="91">
        <v>187</v>
      </c>
      <c r="R59" s="92">
        <v>445</v>
      </c>
      <c r="S59" s="92">
        <v>614</v>
      </c>
      <c r="T59" s="92">
        <v>885</v>
      </c>
      <c r="U59" s="92" t="s">
        <v>96</v>
      </c>
      <c r="V59" s="92">
        <v>4</v>
      </c>
      <c r="W59" s="92">
        <v>9.1999999999999993</v>
      </c>
      <c r="X59" s="92">
        <v>17.2</v>
      </c>
      <c r="Y59" s="92" t="s">
        <v>96</v>
      </c>
      <c r="Z59" s="92">
        <v>0.91</v>
      </c>
      <c r="AA59" s="92">
        <v>0.98</v>
      </c>
      <c r="AB59" s="92">
        <v>1</v>
      </c>
      <c r="AC59" s="92" t="s">
        <v>96</v>
      </c>
      <c r="AD59" s="96">
        <v>8032</v>
      </c>
      <c r="AE59" s="96">
        <v>10980</v>
      </c>
      <c r="AF59" s="96">
        <v>13309</v>
      </c>
      <c r="AG59" s="92" t="s">
        <v>96</v>
      </c>
      <c r="AH59" s="92">
        <v>71</v>
      </c>
      <c r="AI59" s="92">
        <v>167</v>
      </c>
      <c r="AJ59" s="92">
        <v>265</v>
      </c>
    </row>
    <row r="60" spans="1:36" hidden="1" x14ac:dyDescent="0.3">
      <c r="A60" t="s">
        <v>1</v>
      </c>
      <c r="B60" s="91" t="s">
        <v>110</v>
      </c>
      <c r="C60" s="98">
        <v>379</v>
      </c>
      <c r="D60" s="98">
        <v>756</v>
      </c>
      <c r="E60" s="91" t="s">
        <v>96</v>
      </c>
      <c r="F60" s="91">
        <v>3</v>
      </c>
      <c r="G60" s="91">
        <v>12.8</v>
      </c>
      <c r="H60" s="91" t="s">
        <v>96</v>
      </c>
      <c r="I60" s="91">
        <v>0.8</v>
      </c>
      <c r="J60" s="91">
        <v>0.98</v>
      </c>
      <c r="K60" s="91" t="s">
        <v>96</v>
      </c>
      <c r="L60" s="93">
        <v>6415</v>
      </c>
      <c r="M60" s="93">
        <v>12964</v>
      </c>
      <c r="N60" s="91" t="s">
        <v>96</v>
      </c>
      <c r="O60" s="91">
        <v>56</v>
      </c>
      <c r="P60" s="91">
        <v>246</v>
      </c>
      <c r="R60" s="92">
        <v>788</v>
      </c>
      <c r="S60" s="102">
        <v>953</v>
      </c>
      <c r="T60" s="96">
        <v>1209</v>
      </c>
      <c r="U60" s="92" t="s">
        <v>96</v>
      </c>
      <c r="V60" s="92">
        <v>4.5</v>
      </c>
      <c r="W60" s="92">
        <v>8.1999999999999993</v>
      </c>
      <c r="X60" s="92">
        <v>13.2</v>
      </c>
      <c r="Y60" s="92" t="s">
        <v>96</v>
      </c>
      <c r="Z60" s="92">
        <v>0.99</v>
      </c>
      <c r="AA60" s="92">
        <v>0.99</v>
      </c>
      <c r="AB60" s="92">
        <v>0.99</v>
      </c>
      <c r="AC60" s="92" t="s">
        <v>96</v>
      </c>
      <c r="AD60" s="96">
        <v>14657</v>
      </c>
      <c r="AE60" s="96">
        <v>17583</v>
      </c>
      <c r="AF60" s="96">
        <v>21378</v>
      </c>
      <c r="AG60" s="92" t="s">
        <v>96</v>
      </c>
      <c r="AH60" s="92">
        <v>83</v>
      </c>
      <c r="AI60" s="92">
        <v>150</v>
      </c>
      <c r="AJ60" s="92">
        <v>231</v>
      </c>
    </row>
    <row r="61" spans="1:36" hidden="1" x14ac:dyDescent="0.3">
      <c r="A61" t="s">
        <v>123</v>
      </c>
      <c r="B61" s="91" t="s">
        <v>107</v>
      </c>
      <c r="C61" s="93">
        <v>21372</v>
      </c>
      <c r="D61" s="93">
        <v>23047</v>
      </c>
      <c r="E61" s="91" t="s">
        <v>96</v>
      </c>
      <c r="F61" s="91">
        <v>17.2</v>
      </c>
      <c r="G61" s="91">
        <v>28.2</v>
      </c>
      <c r="H61" s="91" t="s">
        <v>96</v>
      </c>
      <c r="I61" s="91">
        <v>1</v>
      </c>
      <c r="J61" s="91">
        <v>1</v>
      </c>
      <c r="K61" s="91" t="s">
        <v>96</v>
      </c>
      <c r="L61" s="93">
        <v>742631</v>
      </c>
      <c r="M61" s="93">
        <v>773735</v>
      </c>
      <c r="N61" s="91" t="s">
        <v>96</v>
      </c>
      <c r="O61" s="91">
        <v>416</v>
      </c>
      <c r="P61" s="91">
        <v>669</v>
      </c>
      <c r="R61" s="96">
        <v>9388</v>
      </c>
      <c r="S61" s="96">
        <v>10134</v>
      </c>
      <c r="T61" s="96">
        <v>11200</v>
      </c>
      <c r="U61" s="92" t="s">
        <v>96</v>
      </c>
      <c r="V61" s="92">
        <v>11.2</v>
      </c>
      <c r="W61" s="92">
        <v>12.3</v>
      </c>
      <c r="X61" s="92">
        <v>14.7</v>
      </c>
      <c r="Y61" s="92" t="s">
        <v>96</v>
      </c>
      <c r="Z61" s="92">
        <v>0.75</v>
      </c>
      <c r="AA61" s="92">
        <v>0.75</v>
      </c>
      <c r="AB61" s="92">
        <v>1</v>
      </c>
      <c r="AC61" s="92" t="s">
        <v>96</v>
      </c>
      <c r="AD61" s="96">
        <v>886535</v>
      </c>
      <c r="AE61" s="96">
        <v>918159</v>
      </c>
      <c r="AF61" s="96">
        <v>1047550</v>
      </c>
      <c r="AG61" s="92" t="s">
        <v>96</v>
      </c>
      <c r="AH61" s="92">
        <v>506</v>
      </c>
      <c r="AI61" s="92">
        <v>539</v>
      </c>
      <c r="AJ61" s="92">
        <v>680</v>
      </c>
    </row>
    <row r="62" spans="1:36" hidden="1" x14ac:dyDescent="0.3">
      <c r="A62" t="s">
        <v>123</v>
      </c>
      <c r="B62" s="91" t="s">
        <v>108</v>
      </c>
      <c r="C62" s="93">
        <v>4418</v>
      </c>
      <c r="D62" s="93">
        <v>79061</v>
      </c>
      <c r="E62" s="91" t="s">
        <v>96</v>
      </c>
      <c r="F62" s="91">
        <v>2.7</v>
      </c>
      <c r="G62" s="91">
        <v>9.3000000000000007</v>
      </c>
      <c r="H62" s="91" t="s">
        <v>96</v>
      </c>
      <c r="I62" s="91">
        <v>0.79</v>
      </c>
      <c r="J62" s="91">
        <v>1</v>
      </c>
      <c r="K62" s="91" t="s">
        <v>96</v>
      </c>
      <c r="L62" s="93">
        <v>3133646</v>
      </c>
      <c r="M62" s="93">
        <v>19208380</v>
      </c>
      <c r="N62" s="91" t="s">
        <v>96</v>
      </c>
      <c r="O62" s="91">
        <v>832</v>
      </c>
      <c r="P62" s="91">
        <v>987</v>
      </c>
      <c r="R62" s="96">
        <v>4418</v>
      </c>
      <c r="S62" s="96">
        <v>13511</v>
      </c>
      <c r="T62" s="96">
        <v>79061</v>
      </c>
      <c r="U62" s="92" t="s">
        <v>96</v>
      </c>
      <c r="V62" s="92">
        <v>2.7</v>
      </c>
      <c r="W62" s="92">
        <v>6.5</v>
      </c>
      <c r="X62" s="92">
        <v>9.3000000000000007</v>
      </c>
      <c r="Y62" s="92" t="s">
        <v>96</v>
      </c>
      <c r="Z62" s="92">
        <v>0.79</v>
      </c>
      <c r="AA62" s="92">
        <v>1</v>
      </c>
      <c r="AB62" s="92">
        <v>1</v>
      </c>
      <c r="AC62" s="92" t="s">
        <v>96</v>
      </c>
      <c r="AD62" s="96">
        <v>3133646</v>
      </c>
      <c r="AE62" s="96">
        <v>7443617</v>
      </c>
      <c r="AF62" s="96">
        <v>19208380</v>
      </c>
      <c r="AG62" s="92" t="s">
        <v>96</v>
      </c>
      <c r="AH62" s="92">
        <v>832</v>
      </c>
      <c r="AI62" s="92">
        <v>880</v>
      </c>
      <c r="AJ62" s="92">
        <v>987</v>
      </c>
    </row>
    <row r="63" spans="1:36" hidden="1" x14ac:dyDescent="0.3">
      <c r="A63" t="s">
        <v>123</v>
      </c>
      <c r="B63" s="91" t="s">
        <v>109</v>
      </c>
      <c r="C63" s="93">
        <v>2018</v>
      </c>
      <c r="D63" s="93">
        <v>5890</v>
      </c>
      <c r="E63" s="91" t="s">
        <v>96</v>
      </c>
      <c r="F63" s="91">
        <v>4.5999999999999996</v>
      </c>
      <c r="G63" s="91">
        <v>13.2</v>
      </c>
      <c r="H63" s="91" t="s">
        <v>96</v>
      </c>
      <c r="I63" s="91">
        <v>0.7</v>
      </c>
      <c r="J63" s="91">
        <v>0.97</v>
      </c>
      <c r="K63" s="91" t="s">
        <v>96</v>
      </c>
      <c r="L63" s="93">
        <v>45547</v>
      </c>
      <c r="M63" s="93">
        <v>133332</v>
      </c>
      <c r="N63" s="91" t="s">
        <v>96</v>
      </c>
      <c r="O63" s="91">
        <v>106</v>
      </c>
      <c r="P63" s="91">
        <v>290</v>
      </c>
      <c r="R63" s="96">
        <v>2367</v>
      </c>
      <c r="S63" s="97">
        <v>4771</v>
      </c>
      <c r="T63" s="96">
        <v>6025</v>
      </c>
      <c r="U63" s="92" t="s">
        <v>96</v>
      </c>
      <c r="V63" s="92">
        <v>5.2</v>
      </c>
      <c r="W63" s="92">
        <v>8.9</v>
      </c>
      <c r="X63" s="92">
        <v>11.9</v>
      </c>
      <c r="Y63" s="92" t="s">
        <v>96</v>
      </c>
      <c r="Z63" s="92">
        <v>0.88</v>
      </c>
      <c r="AA63" s="92">
        <v>0.99</v>
      </c>
      <c r="AB63" s="92">
        <v>0.99</v>
      </c>
      <c r="AC63" s="92" t="s">
        <v>96</v>
      </c>
      <c r="AD63" s="96">
        <v>54883</v>
      </c>
      <c r="AE63" s="96">
        <v>112226</v>
      </c>
      <c r="AF63" s="96">
        <v>142734</v>
      </c>
      <c r="AG63" s="92" t="s">
        <v>96</v>
      </c>
      <c r="AH63" s="92">
        <v>121</v>
      </c>
      <c r="AI63" s="92">
        <v>205</v>
      </c>
      <c r="AJ63" s="92">
        <v>274</v>
      </c>
    </row>
    <row r="64" spans="1:36" hidden="1" x14ac:dyDescent="0.3">
      <c r="A64" t="s">
        <v>123</v>
      </c>
      <c r="B64" s="91" t="s">
        <v>110</v>
      </c>
      <c r="C64" s="98">
        <v>289</v>
      </c>
      <c r="D64" s="98">
        <v>547</v>
      </c>
      <c r="E64" s="91" t="s">
        <v>96</v>
      </c>
      <c r="F64" s="91">
        <v>3.5</v>
      </c>
      <c r="G64" s="91">
        <v>15.8</v>
      </c>
      <c r="H64" s="91" t="s">
        <v>96</v>
      </c>
      <c r="I64" s="91">
        <v>0.45</v>
      </c>
      <c r="J64" s="91">
        <v>0.66</v>
      </c>
      <c r="K64" s="91" t="s">
        <v>96</v>
      </c>
      <c r="L64" s="93">
        <v>5192</v>
      </c>
      <c r="M64" s="93">
        <v>9655</v>
      </c>
      <c r="N64" s="91" t="s">
        <v>96</v>
      </c>
      <c r="O64" s="91">
        <v>63</v>
      </c>
      <c r="P64" s="91">
        <v>287</v>
      </c>
      <c r="R64" s="92">
        <v>367</v>
      </c>
      <c r="S64" s="102">
        <v>505</v>
      </c>
      <c r="T64" s="96">
        <v>1161</v>
      </c>
      <c r="U64" s="92" t="s">
        <v>96</v>
      </c>
      <c r="V64" s="92">
        <v>5.3</v>
      </c>
      <c r="W64" s="92">
        <v>12.2</v>
      </c>
      <c r="X64" s="92">
        <v>24.7</v>
      </c>
      <c r="Y64" s="92" t="s">
        <v>96</v>
      </c>
      <c r="Z64" s="92">
        <v>0.4</v>
      </c>
      <c r="AA64" s="92">
        <v>0.39</v>
      </c>
      <c r="AB64" s="92">
        <v>0.8</v>
      </c>
      <c r="AC64" s="92" t="s">
        <v>96</v>
      </c>
      <c r="AD64" s="96">
        <v>6171</v>
      </c>
      <c r="AE64" s="96">
        <v>8488</v>
      </c>
      <c r="AF64" s="96">
        <v>10142</v>
      </c>
      <c r="AG64" s="92" t="s">
        <v>96</v>
      </c>
      <c r="AH64" s="92">
        <v>98</v>
      </c>
      <c r="AI64" s="92">
        <v>224</v>
      </c>
      <c r="AJ64" s="92">
        <v>253</v>
      </c>
    </row>
    <row r="65" spans="1:36" x14ac:dyDescent="0.3">
      <c r="A65" t="s">
        <v>124</v>
      </c>
      <c r="B65" s="91" t="s">
        <v>117</v>
      </c>
      <c r="C65" s="93">
        <v>1624</v>
      </c>
      <c r="D65" s="93">
        <v>10560</v>
      </c>
      <c r="E65" s="91" t="s">
        <v>96</v>
      </c>
      <c r="F65" s="91">
        <v>4.7</v>
      </c>
      <c r="G65" s="91">
        <v>15</v>
      </c>
      <c r="H65" s="91" t="s">
        <v>96</v>
      </c>
      <c r="I65" s="91">
        <v>0.3</v>
      </c>
      <c r="J65" s="91">
        <v>0.99</v>
      </c>
      <c r="K65" s="91" t="s">
        <v>96</v>
      </c>
      <c r="L65" s="93">
        <v>66195</v>
      </c>
      <c r="M65" s="93">
        <v>335351</v>
      </c>
      <c r="N65" s="91" t="s">
        <v>96</v>
      </c>
      <c r="O65" s="91">
        <v>176</v>
      </c>
      <c r="P65" s="91">
        <v>424</v>
      </c>
      <c r="R65" s="96">
        <v>1624</v>
      </c>
      <c r="S65" s="96">
        <v>3079</v>
      </c>
      <c r="T65" s="96">
        <v>10560</v>
      </c>
      <c r="U65" s="92" t="s">
        <v>96</v>
      </c>
      <c r="V65" s="92">
        <v>4.7</v>
      </c>
      <c r="W65" s="92">
        <v>8</v>
      </c>
      <c r="X65" s="92">
        <v>15</v>
      </c>
      <c r="Y65" s="92" t="s">
        <v>96</v>
      </c>
      <c r="Z65" s="92">
        <v>0.3</v>
      </c>
      <c r="AA65" s="92">
        <v>0.44</v>
      </c>
      <c r="AB65" s="92">
        <v>0.99</v>
      </c>
      <c r="AC65" s="92" t="s">
        <v>96</v>
      </c>
      <c r="AD65" s="96">
        <v>66195</v>
      </c>
      <c r="AE65" s="96">
        <v>114944</v>
      </c>
      <c r="AF65" s="96">
        <v>335351</v>
      </c>
      <c r="AG65" s="92" t="s">
        <v>96</v>
      </c>
      <c r="AH65" s="92">
        <v>176</v>
      </c>
      <c r="AI65" s="92">
        <v>290</v>
      </c>
      <c r="AJ65" s="92">
        <v>424</v>
      </c>
    </row>
    <row r="66" spans="1:36" hidden="1" x14ac:dyDescent="0.3">
      <c r="A66" t="s">
        <v>124</v>
      </c>
      <c r="B66" s="91" t="s">
        <v>109</v>
      </c>
      <c r="C66" s="93">
        <v>11526</v>
      </c>
      <c r="D66" s="93">
        <v>23332</v>
      </c>
      <c r="E66" s="91" t="s">
        <v>96</v>
      </c>
      <c r="F66" s="91">
        <v>4.7</v>
      </c>
      <c r="G66" s="91">
        <v>21.8</v>
      </c>
      <c r="H66" s="91" t="s">
        <v>96</v>
      </c>
      <c r="I66" s="91">
        <v>0.48</v>
      </c>
      <c r="J66" s="91">
        <v>0.97</v>
      </c>
      <c r="K66" s="91" t="s">
        <v>96</v>
      </c>
      <c r="L66" s="93">
        <v>254912</v>
      </c>
      <c r="M66" s="93">
        <v>345473</v>
      </c>
      <c r="N66" s="91" t="s">
        <v>96</v>
      </c>
      <c r="O66" s="91">
        <v>92</v>
      </c>
      <c r="P66" s="91">
        <v>295</v>
      </c>
      <c r="R66" s="96">
        <v>11526</v>
      </c>
      <c r="S66" s="97">
        <v>16208</v>
      </c>
      <c r="T66" s="96">
        <v>23332</v>
      </c>
      <c r="U66" s="92" t="s">
        <v>96</v>
      </c>
      <c r="V66" s="92">
        <v>4.7</v>
      </c>
      <c r="W66" s="92">
        <v>7.7</v>
      </c>
      <c r="X66" s="92">
        <v>21.8</v>
      </c>
      <c r="Y66" s="92" t="s">
        <v>96</v>
      </c>
      <c r="Z66" s="92">
        <v>0.48</v>
      </c>
      <c r="AA66" s="92">
        <v>0.59</v>
      </c>
      <c r="AB66" s="92">
        <v>0.97</v>
      </c>
      <c r="AC66" s="92" t="s">
        <v>96</v>
      </c>
      <c r="AD66" s="96">
        <v>254912</v>
      </c>
      <c r="AE66" s="96">
        <v>358878</v>
      </c>
      <c r="AF66" s="96">
        <v>345473</v>
      </c>
      <c r="AG66" s="92" t="s">
        <v>96</v>
      </c>
      <c r="AH66" s="92">
        <v>92</v>
      </c>
      <c r="AI66" s="92">
        <v>150</v>
      </c>
      <c r="AJ66" s="92">
        <v>295</v>
      </c>
    </row>
    <row r="67" spans="1:36" hidden="1" x14ac:dyDescent="0.3">
      <c r="A67" t="s">
        <v>124</v>
      </c>
      <c r="B67" s="91" t="s">
        <v>110</v>
      </c>
      <c r="C67" s="99">
        <v>1952</v>
      </c>
      <c r="D67" s="99">
        <v>4954</v>
      </c>
      <c r="E67" s="91" t="s">
        <v>96</v>
      </c>
      <c r="F67" s="91">
        <v>8</v>
      </c>
      <c r="G67" s="91">
        <v>24.1</v>
      </c>
      <c r="H67" s="91" t="s">
        <v>96</v>
      </c>
      <c r="I67" s="91">
        <v>0.42</v>
      </c>
      <c r="J67" s="91">
        <v>0.98</v>
      </c>
      <c r="K67" s="91" t="s">
        <v>96</v>
      </c>
      <c r="L67" s="93">
        <v>32330</v>
      </c>
      <c r="M67" s="93">
        <v>73470</v>
      </c>
      <c r="N67" s="91" t="s">
        <v>96</v>
      </c>
      <c r="O67" s="91">
        <v>131</v>
      </c>
      <c r="P67" s="91">
        <v>350</v>
      </c>
      <c r="R67" s="96">
        <v>1952</v>
      </c>
      <c r="S67" s="100">
        <v>2533</v>
      </c>
      <c r="T67" s="96">
        <v>4954</v>
      </c>
      <c r="U67" s="92" t="s">
        <v>96</v>
      </c>
      <c r="V67" s="92">
        <v>8</v>
      </c>
      <c r="W67" s="92">
        <v>15</v>
      </c>
      <c r="X67" s="92">
        <v>24.1</v>
      </c>
      <c r="Y67" s="92" t="s">
        <v>96</v>
      </c>
      <c r="Z67" s="92">
        <v>0.42</v>
      </c>
      <c r="AA67" s="92">
        <v>0.43</v>
      </c>
      <c r="AB67" s="92">
        <v>0.98</v>
      </c>
      <c r="AC67" s="92" t="s">
        <v>96</v>
      </c>
      <c r="AD67" s="96">
        <v>32330</v>
      </c>
      <c r="AE67" s="96">
        <v>41276</v>
      </c>
      <c r="AF67" s="96">
        <v>73470</v>
      </c>
      <c r="AG67" s="92" t="s">
        <v>96</v>
      </c>
      <c r="AH67" s="92">
        <v>131</v>
      </c>
      <c r="AI67" s="92">
        <v>240</v>
      </c>
      <c r="AJ67" s="92">
        <v>350</v>
      </c>
    </row>
    <row r="68" spans="1:36" hidden="1" x14ac:dyDescent="0.3">
      <c r="A68" t="s">
        <v>125</v>
      </c>
      <c r="B68" s="91" t="s">
        <v>107</v>
      </c>
      <c r="C68" s="93">
        <v>1491</v>
      </c>
      <c r="D68" s="93">
        <v>2618</v>
      </c>
      <c r="E68" s="91"/>
      <c r="F68" s="91">
        <v>3.3</v>
      </c>
      <c r="G68" s="91">
        <v>8.3000000000000007</v>
      </c>
      <c r="H68" s="91"/>
      <c r="I68" s="91">
        <v>0.98</v>
      </c>
      <c r="J68" s="91">
        <v>1</v>
      </c>
      <c r="K68" s="91"/>
      <c r="L68" s="93">
        <v>186551</v>
      </c>
      <c r="M68" s="93">
        <v>331777</v>
      </c>
      <c r="N68" s="91"/>
      <c r="O68" s="91">
        <v>371</v>
      </c>
      <c r="P68" s="91">
        <v>884</v>
      </c>
      <c r="R68" s="96">
        <v>1380</v>
      </c>
      <c r="S68" s="96">
        <v>2223</v>
      </c>
      <c r="T68" s="96">
        <v>2690</v>
      </c>
      <c r="U68" s="92" t="s">
        <v>96</v>
      </c>
      <c r="V68" s="92">
        <v>3.5</v>
      </c>
      <c r="W68" s="92">
        <v>7</v>
      </c>
      <c r="X68" s="92">
        <v>8.8000000000000007</v>
      </c>
      <c r="Y68" s="92" t="s">
        <v>96</v>
      </c>
      <c r="Z68" s="92">
        <v>0.96</v>
      </c>
      <c r="AA68" s="92">
        <v>1</v>
      </c>
      <c r="AB68" s="92">
        <v>1</v>
      </c>
      <c r="AC68" s="92" t="s">
        <v>96</v>
      </c>
      <c r="AD68" s="96">
        <v>194805</v>
      </c>
      <c r="AE68" s="96">
        <v>323012</v>
      </c>
      <c r="AF68" s="96">
        <v>411593</v>
      </c>
      <c r="AG68" s="92" t="s">
        <v>96</v>
      </c>
      <c r="AH68" s="92">
        <v>384</v>
      </c>
      <c r="AI68" s="105">
        <v>725</v>
      </c>
      <c r="AJ68" s="105">
        <v>913</v>
      </c>
    </row>
    <row r="69" spans="1:36" hidden="1" x14ac:dyDescent="0.3">
      <c r="A69" t="s">
        <v>125</v>
      </c>
      <c r="B69" s="91" t="s">
        <v>108</v>
      </c>
      <c r="C69" s="93">
        <v>4652</v>
      </c>
      <c r="D69" s="93">
        <v>45517</v>
      </c>
      <c r="E69" s="91"/>
      <c r="F69" s="91">
        <v>2</v>
      </c>
      <c r="G69" s="91">
        <v>10.4</v>
      </c>
      <c r="H69" s="91"/>
      <c r="I69" s="91">
        <v>0.97</v>
      </c>
      <c r="J69" s="91">
        <v>1</v>
      </c>
      <c r="K69" s="91"/>
      <c r="L69" s="93">
        <v>2200608</v>
      </c>
      <c r="M69" s="93">
        <v>10474620</v>
      </c>
      <c r="N69" s="91"/>
      <c r="O69" s="91">
        <v>641</v>
      </c>
      <c r="P69" s="93">
        <v>1122</v>
      </c>
      <c r="R69" s="96">
        <v>4652</v>
      </c>
      <c r="S69" s="96">
        <v>16540</v>
      </c>
      <c r="T69" s="96">
        <v>45517</v>
      </c>
      <c r="U69" s="92" t="s">
        <v>96</v>
      </c>
      <c r="V69" s="92">
        <v>2</v>
      </c>
      <c r="W69" s="92">
        <v>6.7</v>
      </c>
      <c r="X69" s="92">
        <v>10.4</v>
      </c>
      <c r="Y69" s="92" t="s">
        <v>96</v>
      </c>
      <c r="Z69" s="92">
        <v>0.97</v>
      </c>
      <c r="AA69" s="92">
        <v>1</v>
      </c>
      <c r="AB69" s="92">
        <v>1</v>
      </c>
      <c r="AC69" s="92" t="s">
        <v>96</v>
      </c>
      <c r="AD69" s="96">
        <v>2200608</v>
      </c>
      <c r="AE69" s="96">
        <v>6194596</v>
      </c>
      <c r="AF69" s="96">
        <v>10474620</v>
      </c>
      <c r="AG69" s="92" t="s">
        <v>96</v>
      </c>
      <c r="AH69" s="92">
        <v>641</v>
      </c>
      <c r="AI69" s="105">
        <v>960</v>
      </c>
      <c r="AJ69" s="106">
        <v>1122</v>
      </c>
    </row>
    <row r="70" spans="1:36" hidden="1" x14ac:dyDescent="0.3">
      <c r="A70" t="s">
        <v>125</v>
      </c>
      <c r="B70" s="91" t="s">
        <v>109</v>
      </c>
      <c r="C70" s="91">
        <v>568</v>
      </c>
      <c r="D70" s="93">
        <v>5053</v>
      </c>
      <c r="E70" s="91"/>
      <c r="F70" s="91">
        <v>2.4</v>
      </c>
      <c r="G70" s="91">
        <v>19.2</v>
      </c>
      <c r="H70" s="91"/>
      <c r="I70" s="91">
        <v>0.56000000000000005</v>
      </c>
      <c r="J70" s="91">
        <v>0.99</v>
      </c>
      <c r="K70" s="91"/>
      <c r="L70" s="93">
        <v>12475</v>
      </c>
      <c r="M70" s="93">
        <v>68929</v>
      </c>
      <c r="N70" s="91"/>
      <c r="O70" s="91">
        <v>54</v>
      </c>
      <c r="P70" s="91">
        <v>266</v>
      </c>
      <c r="R70" s="96">
        <v>1066</v>
      </c>
      <c r="S70" s="97">
        <v>3306</v>
      </c>
      <c r="T70" s="96">
        <v>4280</v>
      </c>
      <c r="U70" s="92" t="s">
        <v>96</v>
      </c>
      <c r="V70" s="92">
        <v>2.6</v>
      </c>
      <c r="W70" s="92">
        <v>8.8000000000000007</v>
      </c>
      <c r="X70" s="92">
        <v>12.6</v>
      </c>
      <c r="Y70" s="92" t="s">
        <v>96</v>
      </c>
      <c r="Z70" s="92">
        <v>0.71</v>
      </c>
      <c r="AA70" s="92">
        <v>1</v>
      </c>
      <c r="AB70" s="92">
        <v>1</v>
      </c>
      <c r="AC70" s="92" t="s">
        <v>96</v>
      </c>
      <c r="AD70" s="96">
        <v>20097</v>
      </c>
      <c r="AE70" s="96">
        <v>77730</v>
      </c>
      <c r="AF70" s="96">
        <v>102601</v>
      </c>
      <c r="AG70" s="92" t="s">
        <v>96</v>
      </c>
      <c r="AH70" s="92">
        <v>56</v>
      </c>
      <c r="AI70" s="105">
        <v>206</v>
      </c>
      <c r="AJ70" s="105">
        <v>294</v>
      </c>
    </row>
    <row r="71" spans="1:36" hidden="1" x14ac:dyDescent="0.3">
      <c r="A71" t="s">
        <v>125</v>
      </c>
      <c r="B71" s="91" t="s">
        <v>110</v>
      </c>
      <c r="C71" s="98">
        <v>467</v>
      </c>
      <c r="D71" s="98">
        <v>923</v>
      </c>
      <c r="E71" s="91"/>
      <c r="F71" s="91">
        <v>4.4000000000000004</v>
      </c>
      <c r="G71" s="91">
        <v>15.2</v>
      </c>
      <c r="H71" s="91"/>
      <c r="I71" s="91">
        <v>0.69</v>
      </c>
      <c r="J71" s="91">
        <v>0.92</v>
      </c>
      <c r="K71" s="91"/>
      <c r="L71" s="93">
        <v>7740</v>
      </c>
      <c r="M71" s="93">
        <v>15246</v>
      </c>
      <c r="N71" s="91"/>
      <c r="O71" s="91">
        <v>80</v>
      </c>
      <c r="P71" s="91">
        <v>275</v>
      </c>
      <c r="R71" s="92">
        <v>631</v>
      </c>
      <c r="S71" s="100">
        <v>1109</v>
      </c>
      <c r="T71" s="96">
        <v>2517</v>
      </c>
      <c r="U71" s="92" t="s">
        <v>96</v>
      </c>
      <c r="V71" s="92">
        <v>3.7</v>
      </c>
      <c r="W71" s="92">
        <v>10.4</v>
      </c>
      <c r="X71" s="92">
        <v>29.9</v>
      </c>
      <c r="Y71" s="92" t="s">
        <v>96</v>
      </c>
      <c r="Z71" s="92">
        <v>0.77</v>
      </c>
      <c r="AA71" s="92">
        <v>0.84</v>
      </c>
      <c r="AB71" s="92">
        <v>1</v>
      </c>
      <c r="AC71" s="92" t="s">
        <v>96</v>
      </c>
      <c r="AD71" s="96">
        <v>10560</v>
      </c>
      <c r="AE71" s="96">
        <v>18414</v>
      </c>
      <c r="AF71" s="96">
        <v>22539</v>
      </c>
      <c r="AG71" s="92" t="s">
        <v>96</v>
      </c>
      <c r="AH71" s="92">
        <v>69</v>
      </c>
      <c r="AI71" s="105">
        <v>188</v>
      </c>
      <c r="AJ71" s="105">
        <v>292</v>
      </c>
    </row>
    <row r="72" spans="1:36" hidden="1" x14ac:dyDescent="0.3">
      <c r="A72" s="30" t="s">
        <v>125</v>
      </c>
      <c r="B72" s="107" t="s">
        <v>122</v>
      </c>
      <c r="C72" s="107">
        <v>197</v>
      </c>
      <c r="D72" s="107">
        <v>563</v>
      </c>
      <c r="E72" s="107"/>
      <c r="F72" s="107">
        <v>2.1</v>
      </c>
      <c r="G72" s="107">
        <v>8.6</v>
      </c>
      <c r="H72" s="107"/>
      <c r="I72" s="107">
        <v>0.84</v>
      </c>
      <c r="J72" s="107">
        <v>0.97</v>
      </c>
      <c r="K72" s="107"/>
      <c r="L72" s="108">
        <v>3647</v>
      </c>
      <c r="M72" s="108">
        <v>10403</v>
      </c>
      <c r="N72" s="107"/>
      <c r="O72" s="107">
        <v>38</v>
      </c>
      <c r="P72" s="107">
        <v>158</v>
      </c>
      <c r="R72" s="109">
        <v>187</v>
      </c>
      <c r="S72" s="109">
        <v>338</v>
      </c>
      <c r="T72" s="109">
        <v>893</v>
      </c>
      <c r="U72" s="109" t="s">
        <v>96</v>
      </c>
      <c r="V72" s="109">
        <v>2.6</v>
      </c>
      <c r="W72" s="109">
        <v>5.3</v>
      </c>
      <c r="X72" s="109">
        <v>17.399999999999999</v>
      </c>
      <c r="Y72" s="109" t="s">
        <v>96</v>
      </c>
      <c r="Z72" s="109">
        <v>0.94</v>
      </c>
      <c r="AA72" s="109">
        <v>1</v>
      </c>
      <c r="AB72" s="109">
        <v>1</v>
      </c>
      <c r="AC72" s="109" t="s">
        <v>96</v>
      </c>
      <c r="AD72" s="110">
        <v>3500</v>
      </c>
      <c r="AE72" s="110">
        <v>6247</v>
      </c>
      <c r="AF72" s="110">
        <v>8797</v>
      </c>
      <c r="AG72" s="109" t="s">
        <v>96</v>
      </c>
      <c r="AH72" s="109">
        <v>48</v>
      </c>
      <c r="AI72" s="111">
        <v>97</v>
      </c>
      <c r="AJ72" s="111">
        <v>170</v>
      </c>
    </row>
    <row r="73" spans="1:36" hidden="1" x14ac:dyDescent="0.3">
      <c r="A73" t="s">
        <v>126</v>
      </c>
      <c r="B73" s="91" t="s">
        <v>107</v>
      </c>
      <c r="C73" s="91">
        <v>91</v>
      </c>
      <c r="D73" s="91">
        <v>444</v>
      </c>
      <c r="E73" s="91"/>
      <c r="F73" s="91">
        <v>1.6</v>
      </c>
      <c r="G73" s="91">
        <v>7.7</v>
      </c>
      <c r="H73" s="91"/>
      <c r="I73" s="91">
        <v>0.43</v>
      </c>
      <c r="J73" s="91">
        <v>1</v>
      </c>
      <c r="K73" s="91"/>
      <c r="L73" s="93">
        <v>13341</v>
      </c>
      <c r="M73" s="93">
        <v>58100</v>
      </c>
      <c r="N73" s="91"/>
      <c r="O73" s="91">
        <v>219</v>
      </c>
      <c r="P73" s="91">
        <v>869</v>
      </c>
      <c r="R73" s="94">
        <v>91</v>
      </c>
      <c r="S73" s="94">
        <v>414</v>
      </c>
      <c r="T73" s="94">
        <v>444</v>
      </c>
      <c r="U73" s="94" t="s">
        <v>96</v>
      </c>
      <c r="V73" s="94">
        <v>1.6</v>
      </c>
      <c r="W73" s="94">
        <v>6.6</v>
      </c>
      <c r="X73" s="94">
        <v>7.7</v>
      </c>
      <c r="Y73" s="94" t="s">
        <v>96</v>
      </c>
      <c r="Z73" s="94">
        <v>0.43</v>
      </c>
      <c r="AA73" s="94">
        <v>1</v>
      </c>
      <c r="AB73" s="94">
        <v>1</v>
      </c>
      <c r="AC73" s="94" t="s">
        <v>96</v>
      </c>
      <c r="AD73" s="95">
        <v>13341</v>
      </c>
      <c r="AE73" s="95">
        <v>53922</v>
      </c>
      <c r="AF73" s="95">
        <v>58100</v>
      </c>
      <c r="AG73" s="94" t="s">
        <v>96</v>
      </c>
      <c r="AH73" s="94">
        <v>219</v>
      </c>
      <c r="AI73" s="94">
        <v>746</v>
      </c>
      <c r="AJ73" s="94">
        <v>869</v>
      </c>
    </row>
    <row r="74" spans="1:36" hidden="1" x14ac:dyDescent="0.3">
      <c r="A74" t="s">
        <v>126</v>
      </c>
      <c r="B74" s="91" t="s">
        <v>108</v>
      </c>
      <c r="C74" s="91">
        <v>0</v>
      </c>
      <c r="D74" s="93">
        <v>4482</v>
      </c>
      <c r="E74" s="91"/>
      <c r="F74" s="91">
        <v>1</v>
      </c>
      <c r="G74" s="91">
        <v>9.5</v>
      </c>
      <c r="H74" s="91"/>
      <c r="I74" s="91">
        <v>0</v>
      </c>
      <c r="J74" s="91">
        <v>1</v>
      </c>
      <c r="K74" s="91"/>
      <c r="L74" s="91">
        <v>0</v>
      </c>
      <c r="M74" s="93">
        <v>802195</v>
      </c>
      <c r="N74" s="91"/>
      <c r="O74" s="91">
        <v>406</v>
      </c>
      <c r="P74" s="93">
        <v>1078</v>
      </c>
      <c r="R74" s="92">
        <v>0</v>
      </c>
      <c r="S74" s="96">
        <v>1789</v>
      </c>
      <c r="T74" s="96">
        <v>4482</v>
      </c>
      <c r="U74" s="92" t="s">
        <v>96</v>
      </c>
      <c r="V74" s="92">
        <v>1</v>
      </c>
      <c r="W74" s="92">
        <v>6.5</v>
      </c>
      <c r="X74" s="92">
        <v>9.5</v>
      </c>
      <c r="Y74" s="92" t="s">
        <v>96</v>
      </c>
      <c r="Z74" s="92">
        <v>0</v>
      </c>
      <c r="AA74" s="92">
        <v>1</v>
      </c>
      <c r="AB74" s="92">
        <v>1</v>
      </c>
      <c r="AC74" s="92" t="s">
        <v>96</v>
      </c>
      <c r="AD74" s="92">
        <v>0</v>
      </c>
      <c r="AE74" s="96">
        <v>483833</v>
      </c>
      <c r="AF74" s="96">
        <v>802195</v>
      </c>
      <c r="AG74" s="92" t="s">
        <v>96</v>
      </c>
      <c r="AH74" s="92">
        <v>406</v>
      </c>
      <c r="AI74" s="92">
        <v>968</v>
      </c>
      <c r="AJ74" s="96">
        <v>1078</v>
      </c>
    </row>
    <row r="75" spans="1:36" hidden="1" x14ac:dyDescent="0.3">
      <c r="A75" t="s">
        <v>126</v>
      </c>
      <c r="B75" s="91" t="s">
        <v>109</v>
      </c>
      <c r="C75" s="91">
        <v>772</v>
      </c>
      <c r="D75" s="93">
        <v>5266</v>
      </c>
      <c r="E75" s="91"/>
      <c r="F75" s="91">
        <v>2.2000000000000002</v>
      </c>
      <c r="G75" s="91">
        <v>14.3</v>
      </c>
      <c r="H75" s="91"/>
      <c r="I75" s="91">
        <v>0.43</v>
      </c>
      <c r="J75" s="91">
        <v>1</v>
      </c>
      <c r="K75" s="91"/>
      <c r="L75" s="93">
        <v>17887</v>
      </c>
      <c r="M75" s="93">
        <v>129864</v>
      </c>
      <c r="N75" s="91"/>
      <c r="O75" s="91">
        <v>51</v>
      </c>
      <c r="P75" s="91">
        <v>338</v>
      </c>
      <c r="R75" s="92">
        <v>772</v>
      </c>
      <c r="S75" s="97">
        <v>4621</v>
      </c>
      <c r="T75" s="96">
        <v>5266</v>
      </c>
      <c r="U75" s="92" t="s">
        <v>96</v>
      </c>
      <c r="V75" s="92">
        <v>2.2000000000000002</v>
      </c>
      <c r="W75" s="92">
        <v>11</v>
      </c>
      <c r="X75" s="92">
        <v>14.3</v>
      </c>
      <c r="Y75" s="92" t="s">
        <v>96</v>
      </c>
      <c r="Z75" s="92">
        <v>0.43</v>
      </c>
      <c r="AA75" s="92">
        <v>0.99</v>
      </c>
      <c r="AB75" s="92">
        <v>1</v>
      </c>
      <c r="AC75" s="92" t="s">
        <v>96</v>
      </c>
      <c r="AD75" s="96">
        <v>17887</v>
      </c>
      <c r="AE75" s="96">
        <v>114139</v>
      </c>
      <c r="AF75" s="96">
        <v>129864</v>
      </c>
      <c r="AG75" s="92" t="s">
        <v>96</v>
      </c>
      <c r="AH75" s="92">
        <v>51</v>
      </c>
      <c r="AI75" s="92">
        <v>260</v>
      </c>
      <c r="AJ75" s="92">
        <v>338</v>
      </c>
    </row>
    <row r="76" spans="1:36" hidden="1" x14ac:dyDescent="0.3">
      <c r="A76" t="s">
        <v>126</v>
      </c>
      <c r="B76" s="91" t="s">
        <v>110</v>
      </c>
      <c r="C76" s="98">
        <v>64</v>
      </c>
      <c r="D76" s="98">
        <v>486</v>
      </c>
      <c r="E76" s="91"/>
      <c r="F76" s="91">
        <v>2.4</v>
      </c>
      <c r="G76" s="91">
        <v>36.4</v>
      </c>
      <c r="H76" s="91"/>
      <c r="I76" s="91">
        <v>0.39</v>
      </c>
      <c r="J76" s="91">
        <v>1</v>
      </c>
      <c r="K76" s="91"/>
      <c r="L76" s="93">
        <v>1136</v>
      </c>
      <c r="M76" s="93">
        <v>4655</v>
      </c>
      <c r="N76" s="91"/>
      <c r="O76" s="91">
        <v>43</v>
      </c>
      <c r="P76" s="91">
        <v>354</v>
      </c>
      <c r="R76" s="92">
        <v>64</v>
      </c>
      <c r="S76" s="102">
        <v>223</v>
      </c>
      <c r="T76" s="92">
        <v>486</v>
      </c>
      <c r="U76" s="92" t="s">
        <v>96</v>
      </c>
      <c r="V76" s="92">
        <v>2.4</v>
      </c>
      <c r="W76" s="92">
        <v>13.9</v>
      </c>
      <c r="X76" s="92">
        <v>36.4</v>
      </c>
      <c r="Y76" s="92" t="s">
        <v>96</v>
      </c>
      <c r="Z76" s="92">
        <v>0.39</v>
      </c>
      <c r="AA76" s="92">
        <v>0.98</v>
      </c>
      <c r="AB76" s="92">
        <v>1</v>
      </c>
      <c r="AC76" s="92" t="s">
        <v>96</v>
      </c>
      <c r="AD76" s="96">
        <v>1136</v>
      </c>
      <c r="AE76" s="96">
        <v>4038</v>
      </c>
      <c r="AF76" s="96">
        <v>4655</v>
      </c>
      <c r="AG76" s="92" t="s">
        <v>96</v>
      </c>
      <c r="AH76" s="92">
        <v>43</v>
      </c>
      <c r="AI76" s="92">
        <v>255</v>
      </c>
      <c r="AJ76" s="92">
        <v>354</v>
      </c>
    </row>
    <row r="77" spans="1:36" hidden="1" x14ac:dyDescent="0.3">
      <c r="A77" t="s">
        <v>34</v>
      </c>
      <c r="B77" s="91" t="s">
        <v>107</v>
      </c>
      <c r="C77" s="93">
        <v>1747</v>
      </c>
      <c r="D77" s="93">
        <v>2560</v>
      </c>
      <c r="E77" s="91" t="s">
        <v>96</v>
      </c>
      <c r="F77" s="91">
        <v>3.8</v>
      </c>
      <c r="G77" s="91">
        <v>10.3</v>
      </c>
      <c r="H77" s="91" t="s">
        <v>96</v>
      </c>
      <c r="I77" s="91">
        <v>0.89</v>
      </c>
      <c r="J77" s="91">
        <v>0.74</v>
      </c>
      <c r="K77" s="91" t="s">
        <v>96</v>
      </c>
      <c r="L77" s="93">
        <v>286800</v>
      </c>
      <c r="M77" s="93">
        <v>461869</v>
      </c>
      <c r="N77" s="91" t="s">
        <v>96</v>
      </c>
      <c r="O77" s="91">
        <v>487</v>
      </c>
      <c r="P77" s="93">
        <v>1262</v>
      </c>
      <c r="R77" s="96">
        <v>1624</v>
      </c>
      <c r="S77" s="96">
        <v>2810</v>
      </c>
      <c r="T77" s="96">
        <v>3037</v>
      </c>
      <c r="U77" s="92" t="s">
        <v>96</v>
      </c>
      <c r="V77" s="92">
        <v>3.8</v>
      </c>
      <c r="W77" s="92">
        <v>8</v>
      </c>
      <c r="X77" s="92">
        <v>10.199999999999999</v>
      </c>
      <c r="Y77" s="92" t="s">
        <v>96</v>
      </c>
      <c r="Z77" s="92">
        <v>0.96</v>
      </c>
      <c r="AA77" s="92">
        <v>1</v>
      </c>
      <c r="AB77" s="92">
        <v>1</v>
      </c>
      <c r="AC77" s="92" t="s">
        <v>96</v>
      </c>
      <c r="AD77" s="96">
        <v>282145</v>
      </c>
      <c r="AE77" s="96">
        <v>507734</v>
      </c>
      <c r="AF77" s="96">
        <v>559240</v>
      </c>
      <c r="AG77" s="92" t="s">
        <v>96</v>
      </c>
      <c r="AH77" s="92">
        <v>488</v>
      </c>
      <c r="AI77" s="92">
        <v>971</v>
      </c>
      <c r="AJ77" s="96">
        <v>1221</v>
      </c>
    </row>
    <row r="78" spans="1:36" hidden="1" x14ac:dyDescent="0.3">
      <c r="A78" t="s">
        <v>34</v>
      </c>
      <c r="B78" s="91" t="s">
        <v>108</v>
      </c>
      <c r="C78" s="91">
        <v>699</v>
      </c>
      <c r="D78" s="93">
        <v>18072</v>
      </c>
      <c r="E78" s="91" t="s">
        <v>96</v>
      </c>
      <c r="F78" s="91">
        <v>1.6</v>
      </c>
      <c r="G78" s="91">
        <v>10.5</v>
      </c>
      <c r="H78" s="91" t="s">
        <v>96</v>
      </c>
      <c r="I78" s="91">
        <v>0.69</v>
      </c>
      <c r="J78" s="91">
        <v>1</v>
      </c>
      <c r="K78" s="91" t="s">
        <v>96</v>
      </c>
      <c r="L78" s="93">
        <v>338274</v>
      </c>
      <c r="M78" s="93">
        <v>4703217</v>
      </c>
      <c r="N78" s="91" t="s">
        <v>96</v>
      </c>
      <c r="O78" s="91">
        <v>532</v>
      </c>
      <c r="P78" s="93">
        <v>1175</v>
      </c>
      <c r="R78" s="92">
        <v>699</v>
      </c>
      <c r="S78" s="96">
        <v>3971</v>
      </c>
      <c r="T78" s="96">
        <v>18072</v>
      </c>
      <c r="U78" s="92" t="s">
        <v>96</v>
      </c>
      <c r="V78" s="92">
        <v>1.6</v>
      </c>
      <c r="W78" s="92">
        <v>7.1</v>
      </c>
      <c r="X78" s="92">
        <v>10.5</v>
      </c>
      <c r="Y78" s="92" t="s">
        <v>96</v>
      </c>
      <c r="Z78" s="92">
        <v>0.69</v>
      </c>
      <c r="AA78" s="92">
        <v>1</v>
      </c>
      <c r="AB78" s="92">
        <v>1</v>
      </c>
      <c r="AC78" s="92" t="s">
        <v>96</v>
      </c>
      <c r="AD78" s="96">
        <v>338274</v>
      </c>
      <c r="AE78" s="96">
        <v>2255690</v>
      </c>
      <c r="AF78" s="96">
        <v>4703217</v>
      </c>
      <c r="AG78" s="92" t="s">
        <v>96</v>
      </c>
      <c r="AH78" s="92">
        <v>532</v>
      </c>
      <c r="AI78" s="96">
        <v>1024</v>
      </c>
      <c r="AJ78" s="96">
        <v>1175</v>
      </c>
    </row>
    <row r="79" spans="1:36" hidden="1" x14ac:dyDescent="0.3">
      <c r="A79" t="s">
        <v>34</v>
      </c>
      <c r="B79" s="91" t="s">
        <v>109</v>
      </c>
      <c r="C79" s="91">
        <v>473</v>
      </c>
      <c r="D79" s="93">
        <v>2862</v>
      </c>
      <c r="E79" s="91" t="s">
        <v>96</v>
      </c>
      <c r="F79" s="91">
        <v>3</v>
      </c>
      <c r="G79" s="91">
        <v>10.1</v>
      </c>
      <c r="H79" s="91" t="s">
        <v>96</v>
      </c>
      <c r="I79" s="91">
        <v>0.45</v>
      </c>
      <c r="J79" s="91">
        <v>0.98</v>
      </c>
      <c r="K79" s="91" t="s">
        <v>96</v>
      </c>
      <c r="L79" s="93">
        <v>11774</v>
      </c>
      <c r="M79" s="93">
        <v>76939</v>
      </c>
      <c r="N79" s="91" t="s">
        <v>96</v>
      </c>
      <c r="O79" s="91">
        <v>78</v>
      </c>
      <c r="P79" s="91">
        <v>269</v>
      </c>
      <c r="R79" s="92">
        <v>824</v>
      </c>
      <c r="S79" s="97">
        <v>3362</v>
      </c>
      <c r="T79" s="96">
        <v>3934</v>
      </c>
      <c r="U79" s="92" t="s">
        <v>96</v>
      </c>
      <c r="V79" s="92">
        <v>2.2000000000000002</v>
      </c>
      <c r="W79" s="92">
        <v>7.6</v>
      </c>
      <c r="X79" s="92">
        <v>10.5</v>
      </c>
      <c r="Y79" s="92" t="s">
        <v>96</v>
      </c>
      <c r="Z79" s="92">
        <v>0.47</v>
      </c>
      <c r="AA79" s="92">
        <v>0.89</v>
      </c>
      <c r="AB79" s="92">
        <v>0.98</v>
      </c>
      <c r="AC79" s="92" t="s">
        <v>96</v>
      </c>
      <c r="AD79" s="96">
        <v>19934</v>
      </c>
      <c r="AE79" s="96">
        <v>96963</v>
      </c>
      <c r="AF79" s="96">
        <v>113303</v>
      </c>
      <c r="AG79" s="92" t="s">
        <v>96</v>
      </c>
      <c r="AH79" s="92">
        <v>51</v>
      </c>
      <c r="AI79" s="92">
        <v>211</v>
      </c>
      <c r="AJ79" s="92">
        <v>293</v>
      </c>
    </row>
    <row r="80" spans="1:36" hidden="1" x14ac:dyDescent="0.3">
      <c r="A80" t="s">
        <v>34</v>
      </c>
      <c r="B80" s="91" t="s">
        <v>110</v>
      </c>
      <c r="C80" s="98">
        <v>410</v>
      </c>
      <c r="D80" s="98">
        <v>860</v>
      </c>
      <c r="E80" s="91" t="s">
        <v>96</v>
      </c>
      <c r="F80" s="91">
        <v>3.9</v>
      </c>
      <c r="G80" s="91">
        <v>17.600000000000001</v>
      </c>
      <c r="H80" s="91" t="s">
        <v>96</v>
      </c>
      <c r="I80" s="91">
        <v>0.55000000000000004</v>
      </c>
      <c r="J80" s="91">
        <v>1</v>
      </c>
      <c r="K80" s="91" t="s">
        <v>96</v>
      </c>
      <c r="L80" s="93">
        <v>5596</v>
      </c>
      <c r="M80" s="93">
        <v>13094</v>
      </c>
      <c r="N80" s="91" t="s">
        <v>96</v>
      </c>
      <c r="O80" s="91">
        <v>72</v>
      </c>
      <c r="P80" s="91">
        <v>336</v>
      </c>
      <c r="R80" s="92">
        <v>500</v>
      </c>
      <c r="S80" s="102">
        <v>909</v>
      </c>
      <c r="T80" s="96">
        <v>1947</v>
      </c>
      <c r="U80" s="92" t="s">
        <v>96</v>
      </c>
      <c r="V80" s="92">
        <v>3.8</v>
      </c>
      <c r="W80" s="92">
        <v>12.6</v>
      </c>
      <c r="X80" s="92">
        <v>33.799999999999997</v>
      </c>
      <c r="Y80" s="92" t="s">
        <v>96</v>
      </c>
      <c r="Z80" s="92">
        <v>0.72</v>
      </c>
      <c r="AA80" s="92">
        <v>1</v>
      </c>
      <c r="AB80" s="92">
        <v>1</v>
      </c>
      <c r="AC80" s="92" t="s">
        <v>96</v>
      </c>
      <c r="AD80" s="96">
        <v>7065</v>
      </c>
      <c r="AE80" s="96">
        <v>13699</v>
      </c>
      <c r="AF80" s="96">
        <v>15906</v>
      </c>
      <c r="AG80" s="92" t="s">
        <v>96</v>
      </c>
      <c r="AH80" s="92">
        <v>69</v>
      </c>
      <c r="AI80" s="92">
        <v>242</v>
      </c>
      <c r="AJ80" s="92">
        <v>352</v>
      </c>
    </row>
    <row r="81" spans="1:36" hidden="1" x14ac:dyDescent="0.3">
      <c r="A81" s="30" t="s">
        <v>34</v>
      </c>
      <c r="B81" s="107" t="s">
        <v>122</v>
      </c>
      <c r="C81" s="107">
        <v>449</v>
      </c>
      <c r="D81" s="107">
        <v>782</v>
      </c>
      <c r="E81" s="107" t="s">
        <v>96</v>
      </c>
      <c r="F81" s="107">
        <v>4.3</v>
      </c>
      <c r="G81" s="107">
        <v>10.4</v>
      </c>
      <c r="H81" s="107" t="s">
        <v>96</v>
      </c>
      <c r="I81" s="107">
        <v>0.87</v>
      </c>
      <c r="J81" s="107">
        <v>0.99</v>
      </c>
      <c r="K81" s="107" t="s">
        <v>96</v>
      </c>
      <c r="L81" s="108">
        <v>8499</v>
      </c>
      <c r="M81" s="108">
        <v>14195</v>
      </c>
      <c r="N81" s="107" t="s">
        <v>96</v>
      </c>
      <c r="O81" s="107">
        <v>82</v>
      </c>
      <c r="P81" s="107">
        <v>190</v>
      </c>
      <c r="R81" s="109">
        <v>639</v>
      </c>
      <c r="S81" s="109">
        <v>876</v>
      </c>
      <c r="T81" s="110">
        <v>2177</v>
      </c>
      <c r="U81" s="109" t="s">
        <v>96</v>
      </c>
      <c r="V81" s="109">
        <v>4.3</v>
      </c>
      <c r="W81" s="109">
        <v>6.7</v>
      </c>
      <c r="X81" s="109">
        <v>20.5</v>
      </c>
      <c r="Y81" s="109" t="s">
        <v>96</v>
      </c>
      <c r="Z81" s="109">
        <v>0.95</v>
      </c>
      <c r="AA81" s="109">
        <v>1</v>
      </c>
      <c r="AB81" s="109">
        <v>1</v>
      </c>
      <c r="AC81" s="109" t="s">
        <v>96</v>
      </c>
      <c r="AD81" s="110">
        <v>12035</v>
      </c>
      <c r="AE81" s="110">
        <v>15871</v>
      </c>
      <c r="AF81" s="110">
        <v>21187</v>
      </c>
      <c r="AG81" s="109" t="s">
        <v>96</v>
      </c>
      <c r="AH81" s="109">
        <v>81</v>
      </c>
      <c r="AI81" s="109">
        <v>122</v>
      </c>
      <c r="AJ81" s="109">
        <v>200</v>
      </c>
    </row>
    <row r="82" spans="1:36" hidden="1" x14ac:dyDescent="0.3">
      <c r="A82" t="s">
        <v>127</v>
      </c>
      <c r="B82" s="91" t="s">
        <v>107</v>
      </c>
      <c r="C82" s="91">
        <v>124</v>
      </c>
      <c r="D82" s="91">
        <v>225</v>
      </c>
      <c r="E82" s="91" t="s">
        <v>96</v>
      </c>
      <c r="F82" s="91">
        <v>4.4000000000000004</v>
      </c>
      <c r="G82" s="91">
        <v>7</v>
      </c>
      <c r="H82" s="91" t="s">
        <v>96</v>
      </c>
      <c r="I82" s="91">
        <v>0.44</v>
      </c>
      <c r="J82" s="91">
        <v>0.88</v>
      </c>
      <c r="K82" s="91" t="s">
        <v>96</v>
      </c>
      <c r="L82" s="93">
        <v>36961</v>
      </c>
      <c r="M82" s="93">
        <v>64512</v>
      </c>
      <c r="N82" s="91" t="s">
        <v>96</v>
      </c>
      <c r="O82" s="91">
        <v>817</v>
      </c>
      <c r="P82" s="93">
        <v>1130</v>
      </c>
      <c r="R82" s="94">
        <v>124</v>
      </c>
      <c r="S82" s="94">
        <v>168</v>
      </c>
      <c r="T82" s="94">
        <v>225</v>
      </c>
      <c r="U82" s="94" t="s">
        <v>96</v>
      </c>
      <c r="V82" s="94">
        <v>4.4000000000000004</v>
      </c>
      <c r="W82" s="94">
        <v>5.9</v>
      </c>
      <c r="X82" s="94">
        <v>7</v>
      </c>
      <c r="Y82" s="94" t="s">
        <v>96</v>
      </c>
      <c r="Z82" s="94">
        <v>0.44</v>
      </c>
      <c r="AA82" s="94">
        <v>0.44</v>
      </c>
      <c r="AB82" s="94">
        <v>0.88</v>
      </c>
      <c r="AC82" s="94" t="s">
        <v>96</v>
      </c>
      <c r="AD82" s="95">
        <v>36961</v>
      </c>
      <c r="AE82" s="95">
        <v>52311</v>
      </c>
      <c r="AF82" s="95">
        <v>64512</v>
      </c>
      <c r="AG82" s="94" t="s">
        <v>96</v>
      </c>
      <c r="AH82" s="94">
        <v>817</v>
      </c>
      <c r="AI82" s="95">
        <v>1040</v>
      </c>
      <c r="AJ82" s="95">
        <v>1130</v>
      </c>
    </row>
    <row r="83" spans="1:36" hidden="1" x14ac:dyDescent="0.3">
      <c r="A83" t="s">
        <v>127</v>
      </c>
      <c r="B83" s="91" t="s">
        <v>108</v>
      </c>
      <c r="C83" s="91">
        <v>797</v>
      </c>
      <c r="D83" s="93">
        <v>5842</v>
      </c>
      <c r="E83" s="91" t="s">
        <v>96</v>
      </c>
      <c r="F83" s="91">
        <v>3.5</v>
      </c>
      <c r="G83" s="91">
        <v>11.4</v>
      </c>
      <c r="H83" s="91" t="s">
        <v>96</v>
      </c>
      <c r="I83" s="91">
        <v>0.97</v>
      </c>
      <c r="J83" s="91">
        <v>1</v>
      </c>
      <c r="K83" s="91" t="s">
        <v>96</v>
      </c>
      <c r="L83" s="93">
        <v>80161</v>
      </c>
      <c r="M83" s="93">
        <v>166842</v>
      </c>
      <c r="N83" s="91" t="s">
        <v>96</v>
      </c>
      <c r="O83" s="91">
        <v>164</v>
      </c>
      <c r="P83" s="91">
        <v>137</v>
      </c>
      <c r="R83" s="92">
        <v>797</v>
      </c>
      <c r="S83" s="96">
        <v>1943</v>
      </c>
      <c r="T83" s="96">
        <v>5842</v>
      </c>
      <c r="U83" s="92" t="s">
        <v>96</v>
      </c>
      <c r="V83" s="92">
        <v>3.5</v>
      </c>
      <c r="W83" s="92">
        <v>8.5</v>
      </c>
      <c r="X83" s="92">
        <v>11.4</v>
      </c>
      <c r="Y83" s="92" t="s">
        <v>96</v>
      </c>
      <c r="Z83" s="92">
        <v>0.97</v>
      </c>
      <c r="AA83" s="92">
        <v>1</v>
      </c>
      <c r="AB83" s="92">
        <v>1</v>
      </c>
      <c r="AC83" s="92" t="s">
        <v>96</v>
      </c>
      <c r="AD83" s="96">
        <v>80161</v>
      </c>
      <c r="AE83" s="96">
        <v>121877</v>
      </c>
      <c r="AF83" s="96">
        <v>166842</v>
      </c>
      <c r="AG83" s="92" t="s">
        <v>96</v>
      </c>
      <c r="AH83" s="92">
        <v>164</v>
      </c>
      <c r="AI83" s="92">
        <v>164</v>
      </c>
      <c r="AJ83" s="92">
        <v>137</v>
      </c>
    </row>
    <row r="84" spans="1:36" hidden="1" x14ac:dyDescent="0.3">
      <c r="A84" t="s">
        <v>127</v>
      </c>
      <c r="B84" s="91" t="s">
        <v>109</v>
      </c>
      <c r="C84" s="91">
        <v>251</v>
      </c>
      <c r="D84" s="91">
        <v>416</v>
      </c>
      <c r="E84" s="91" t="s">
        <v>96</v>
      </c>
      <c r="F84" s="91">
        <v>4.3</v>
      </c>
      <c r="G84" s="91">
        <v>9.9</v>
      </c>
      <c r="H84" s="91" t="s">
        <v>96</v>
      </c>
      <c r="I84" s="91">
        <v>0.41</v>
      </c>
      <c r="J84" s="91">
        <v>0.98</v>
      </c>
      <c r="K84" s="91" t="s">
        <v>96</v>
      </c>
      <c r="L84" s="93">
        <v>7638</v>
      </c>
      <c r="M84" s="93">
        <v>12776</v>
      </c>
      <c r="N84" s="91" t="s">
        <v>96</v>
      </c>
      <c r="O84" s="91">
        <v>142</v>
      </c>
      <c r="P84" s="91">
        <v>312</v>
      </c>
      <c r="R84" s="92">
        <v>57</v>
      </c>
      <c r="S84" s="112">
        <v>123</v>
      </c>
      <c r="T84" s="92">
        <v>280</v>
      </c>
      <c r="U84" s="92" t="s">
        <v>96</v>
      </c>
      <c r="V84" s="92">
        <v>5.0999999999999996</v>
      </c>
      <c r="W84" s="92">
        <v>7.5</v>
      </c>
      <c r="X84" s="92">
        <v>10.199999999999999</v>
      </c>
      <c r="Y84" s="92" t="s">
        <v>96</v>
      </c>
      <c r="Z84" s="92">
        <v>0.37</v>
      </c>
      <c r="AA84" s="92">
        <v>0.44</v>
      </c>
      <c r="AB84" s="92">
        <v>0.98</v>
      </c>
      <c r="AC84" s="92" t="s">
        <v>96</v>
      </c>
      <c r="AD84" s="96">
        <v>1663</v>
      </c>
      <c r="AE84" s="96">
        <v>3760</v>
      </c>
      <c r="AF84" s="96">
        <v>8528</v>
      </c>
      <c r="AG84" s="92" t="s">
        <v>96</v>
      </c>
      <c r="AH84" s="92">
        <v>154</v>
      </c>
      <c r="AI84" s="92">
        <v>234</v>
      </c>
      <c r="AJ84" s="92">
        <v>313</v>
      </c>
    </row>
    <row r="85" spans="1:36" hidden="1" x14ac:dyDescent="0.3">
      <c r="A85" t="s">
        <v>127</v>
      </c>
      <c r="B85" s="91" t="s">
        <v>110</v>
      </c>
      <c r="C85" s="98">
        <v>244</v>
      </c>
      <c r="D85" s="98">
        <v>556</v>
      </c>
      <c r="E85" s="91" t="s">
        <v>96</v>
      </c>
      <c r="F85" s="91">
        <v>15.7</v>
      </c>
      <c r="G85" s="91">
        <v>45.8</v>
      </c>
      <c r="H85" s="91" t="s">
        <v>96</v>
      </c>
      <c r="I85" s="91">
        <v>0.4</v>
      </c>
      <c r="J85" s="91">
        <v>0.76</v>
      </c>
      <c r="K85" s="91" t="s">
        <v>96</v>
      </c>
      <c r="L85" s="93">
        <v>2400</v>
      </c>
      <c r="M85" s="93">
        <v>3496</v>
      </c>
      <c r="N85" s="91" t="s">
        <v>96</v>
      </c>
      <c r="O85" s="91">
        <v>188</v>
      </c>
      <c r="P85" s="91">
        <v>344</v>
      </c>
      <c r="R85" s="92">
        <v>244</v>
      </c>
      <c r="S85" s="102">
        <v>270</v>
      </c>
      <c r="T85" s="92">
        <v>556</v>
      </c>
      <c r="U85" s="92" t="s">
        <v>96</v>
      </c>
      <c r="V85" s="92">
        <v>15.7</v>
      </c>
      <c r="W85" s="92">
        <v>19</v>
      </c>
      <c r="X85" s="92">
        <v>45.8</v>
      </c>
      <c r="Y85" s="92" t="s">
        <v>96</v>
      </c>
      <c r="Z85" s="92">
        <v>0.4</v>
      </c>
      <c r="AA85" s="92">
        <v>0.47</v>
      </c>
      <c r="AB85" s="92">
        <v>0.76</v>
      </c>
      <c r="AC85" s="92" t="s">
        <v>96</v>
      </c>
      <c r="AD85" s="96">
        <v>2400</v>
      </c>
      <c r="AE85" s="96">
        <v>2628</v>
      </c>
      <c r="AF85" s="96">
        <v>3496</v>
      </c>
      <c r="AG85" s="92" t="s">
        <v>96</v>
      </c>
      <c r="AH85" s="92">
        <v>188</v>
      </c>
      <c r="AI85" s="92">
        <v>233</v>
      </c>
      <c r="AJ85" s="92">
        <v>344</v>
      </c>
    </row>
    <row r="86" spans="1:36" hidden="1" x14ac:dyDescent="0.3">
      <c r="A86" t="s">
        <v>128</v>
      </c>
      <c r="B86" s="101" t="s">
        <v>107</v>
      </c>
      <c r="C86" s="91">
        <v>954</v>
      </c>
      <c r="D86" s="93">
        <v>2584</v>
      </c>
      <c r="E86" s="91" t="s">
        <v>96</v>
      </c>
      <c r="F86" s="91">
        <v>4.8499999999999996</v>
      </c>
      <c r="G86" s="91">
        <v>10.78</v>
      </c>
      <c r="H86" s="91" t="s">
        <v>96</v>
      </c>
      <c r="I86" s="91">
        <v>0.62</v>
      </c>
      <c r="J86" s="91">
        <v>0.99</v>
      </c>
      <c r="K86" s="91" t="s">
        <v>96</v>
      </c>
      <c r="L86" s="93">
        <v>158081</v>
      </c>
      <c r="M86" s="93">
        <v>835275</v>
      </c>
      <c r="N86" s="91" t="s">
        <v>96</v>
      </c>
      <c r="O86" s="91">
        <v>568</v>
      </c>
      <c r="P86" s="93">
        <v>1316</v>
      </c>
      <c r="R86" s="92">
        <v>954</v>
      </c>
      <c r="S86" s="96">
        <v>2418</v>
      </c>
      <c r="T86" s="96">
        <v>2584</v>
      </c>
      <c r="U86" s="92" t="s">
        <v>96</v>
      </c>
      <c r="V86" s="92">
        <v>4.8499999999999996</v>
      </c>
      <c r="W86" s="92">
        <v>9.92</v>
      </c>
      <c r="X86" s="92">
        <v>10.78</v>
      </c>
      <c r="Y86" s="92" t="s">
        <v>96</v>
      </c>
      <c r="Z86" s="92">
        <v>0.62</v>
      </c>
      <c r="AA86" s="92">
        <v>0.98</v>
      </c>
      <c r="AB86" s="92">
        <v>0.99</v>
      </c>
      <c r="AC86" s="92" t="s">
        <v>96</v>
      </c>
      <c r="AD86" s="96">
        <v>158081</v>
      </c>
      <c r="AE86" s="96">
        <v>755887</v>
      </c>
      <c r="AF86" s="96">
        <v>835275</v>
      </c>
      <c r="AG86" s="92" t="s">
        <v>96</v>
      </c>
      <c r="AH86" s="92">
        <v>568</v>
      </c>
      <c r="AI86" s="96">
        <v>1234</v>
      </c>
      <c r="AJ86" s="96">
        <v>1316</v>
      </c>
    </row>
    <row r="87" spans="1:36" hidden="1" x14ac:dyDescent="0.3">
      <c r="A87" t="s">
        <v>128</v>
      </c>
      <c r="B87" s="101" t="s">
        <v>108</v>
      </c>
      <c r="C87" s="91">
        <v>361</v>
      </c>
      <c r="D87" s="93">
        <v>10886</v>
      </c>
      <c r="E87" s="91" t="s">
        <v>96</v>
      </c>
      <c r="F87" s="91">
        <v>1.67</v>
      </c>
      <c r="G87" s="91">
        <v>9.02</v>
      </c>
      <c r="H87" s="91" t="s">
        <v>96</v>
      </c>
      <c r="I87" s="91">
        <v>0.45</v>
      </c>
      <c r="J87" s="91">
        <v>1</v>
      </c>
      <c r="K87" s="91" t="s">
        <v>96</v>
      </c>
      <c r="L87" s="93">
        <v>227457</v>
      </c>
      <c r="M87" s="93">
        <v>3829348</v>
      </c>
      <c r="N87" s="91" t="s">
        <v>96</v>
      </c>
      <c r="O87" s="91">
        <v>720</v>
      </c>
      <c r="P87" s="93">
        <v>1083</v>
      </c>
      <c r="R87" s="92">
        <v>361</v>
      </c>
      <c r="S87" s="96">
        <v>2582</v>
      </c>
      <c r="T87" s="96">
        <v>10886</v>
      </c>
      <c r="U87" s="92" t="s">
        <v>96</v>
      </c>
      <c r="V87" s="92">
        <v>1.67</v>
      </c>
      <c r="W87" s="92">
        <v>5.5</v>
      </c>
      <c r="X87" s="92">
        <v>9.02</v>
      </c>
      <c r="Y87" s="92" t="s">
        <v>96</v>
      </c>
      <c r="Z87" s="92">
        <v>0.45</v>
      </c>
      <c r="AA87" s="92">
        <v>1</v>
      </c>
      <c r="AB87" s="92">
        <v>1</v>
      </c>
      <c r="AC87" s="92" t="s">
        <v>96</v>
      </c>
      <c r="AD87" s="96">
        <v>227457</v>
      </c>
      <c r="AE87" s="96">
        <v>1715208</v>
      </c>
      <c r="AF87" s="96">
        <v>3829348</v>
      </c>
      <c r="AG87" s="92" t="s">
        <v>96</v>
      </c>
      <c r="AH87" s="92">
        <v>720</v>
      </c>
      <c r="AI87" s="96">
        <v>1000</v>
      </c>
      <c r="AJ87" s="96">
        <v>1083</v>
      </c>
    </row>
    <row r="88" spans="1:36" hidden="1" x14ac:dyDescent="0.3">
      <c r="A88" t="s">
        <v>128</v>
      </c>
      <c r="B88" s="101" t="s">
        <v>109</v>
      </c>
      <c r="C88" s="91">
        <v>95</v>
      </c>
      <c r="D88" s="91">
        <v>186</v>
      </c>
      <c r="E88" s="91" t="s">
        <v>96</v>
      </c>
      <c r="F88" s="91">
        <v>3.2</v>
      </c>
      <c r="G88" s="91">
        <v>5.87</v>
      </c>
      <c r="H88" s="91" t="s">
        <v>96</v>
      </c>
      <c r="I88" s="91">
        <v>0.05</v>
      </c>
      <c r="J88" s="91">
        <v>0.11</v>
      </c>
      <c r="K88" s="91" t="s">
        <v>96</v>
      </c>
      <c r="L88" s="91">
        <v>308</v>
      </c>
      <c r="M88" s="93">
        <v>3126</v>
      </c>
      <c r="N88" s="91" t="s">
        <v>96</v>
      </c>
      <c r="O88" s="91">
        <v>39</v>
      </c>
      <c r="P88" s="91">
        <v>298</v>
      </c>
      <c r="R88" s="92">
        <v>418</v>
      </c>
      <c r="S88" s="112">
        <v>898</v>
      </c>
      <c r="T88" s="92">
        <v>946</v>
      </c>
      <c r="U88" s="92" t="s">
        <v>96</v>
      </c>
      <c r="V88" s="92">
        <v>2.88</v>
      </c>
      <c r="W88" s="92">
        <v>4.75</v>
      </c>
      <c r="X88" s="92">
        <v>5.4</v>
      </c>
      <c r="Y88" s="92" t="s">
        <v>96</v>
      </c>
      <c r="Z88" s="92">
        <v>0.11</v>
      </c>
      <c r="AA88" s="92">
        <v>0.56000000000000005</v>
      </c>
      <c r="AB88" s="92">
        <v>0.56000000000000005</v>
      </c>
      <c r="AC88" s="92" t="s">
        <v>96</v>
      </c>
      <c r="AD88" s="96">
        <v>1384</v>
      </c>
      <c r="AE88" s="96">
        <v>12730</v>
      </c>
      <c r="AF88" s="96">
        <v>14062</v>
      </c>
      <c r="AG88" s="92" t="s">
        <v>96</v>
      </c>
      <c r="AH88" s="92">
        <v>35</v>
      </c>
      <c r="AI88" s="92">
        <v>244</v>
      </c>
      <c r="AJ88" s="92">
        <v>288</v>
      </c>
    </row>
    <row r="89" spans="1:36" hidden="1" x14ac:dyDescent="0.3">
      <c r="A89" t="s">
        <v>128</v>
      </c>
      <c r="B89" s="91" t="s">
        <v>110</v>
      </c>
      <c r="C89" s="98">
        <v>70</v>
      </c>
      <c r="D89" s="98">
        <v>280</v>
      </c>
      <c r="E89" s="91" t="s">
        <v>96</v>
      </c>
      <c r="F89" s="91">
        <v>3.46</v>
      </c>
      <c r="G89" s="91">
        <v>20.81</v>
      </c>
      <c r="H89" s="91" t="s">
        <v>96</v>
      </c>
      <c r="I89" s="91">
        <v>0.56000000000000005</v>
      </c>
      <c r="J89" s="91">
        <v>0.79</v>
      </c>
      <c r="K89" s="91" t="s">
        <v>96</v>
      </c>
      <c r="L89" s="93">
        <v>1403</v>
      </c>
      <c r="M89" s="93">
        <v>3198</v>
      </c>
      <c r="N89" s="91" t="s">
        <v>96</v>
      </c>
      <c r="O89" s="91">
        <v>71</v>
      </c>
      <c r="P89" s="91">
        <v>272</v>
      </c>
      <c r="R89" s="92">
        <v>70</v>
      </c>
      <c r="S89" s="102">
        <v>123</v>
      </c>
      <c r="T89" s="92">
        <v>280</v>
      </c>
      <c r="U89" s="92" t="s">
        <v>96</v>
      </c>
      <c r="V89" s="92">
        <v>3.46</v>
      </c>
      <c r="W89" s="92">
        <v>7.7</v>
      </c>
      <c r="X89" s="92">
        <v>20.81</v>
      </c>
      <c r="Y89" s="92" t="s">
        <v>96</v>
      </c>
      <c r="Z89" s="92">
        <v>0.56000000000000005</v>
      </c>
      <c r="AA89" s="92">
        <v>0.77</v>
      </c>
      <c r="AB89" s="92">
        <v>0.79</v>
      </c>
      <c r="AC89" s="92" t="s">
        <v>96</v>
      </c>
      <c r="AD89" s="96">
        <v>1403</v>
      </c>
      <c r="AE89" s="96">
        <v>2550</v>
      </c>
      <c r="AF89" s="96">
        <v>3198</v>
      </c>
      <c r="AG89" s="92" t="s">
        <v>96</v>
      </c>
      <c r="AH89" s="92">
        <v>71</v>
      </c>
      <c r="AI89" s="92">
        <v>181</v>
      </c>
      <c r="AJ89" s="92">
        <v>272</v>
      </c>
    </row>
    <row r="90" spans="1:36" hidden="1" x14ac:dyDescent="0.3">
      <c r="A90" s="30" t="s">
        <v>128</v>
      </c>
      <c r="B90" s="113" t="s">
        <v>122</v>
      </c>
      <c r="C90" s="108">
        <v>1230</v>
      </c>
      <c r="D90" s="108">
        <v>3814</v>
      </c>
      <c r="E90" s="107" t="s">
        <v>96</v>
      </c>
      <c r="F90" s="107">
        <v>4.37</v>
      </c>
      <c r="G90" s="107">
        <v>17.73</v>
      </c>
      <c r="H90" s="107" t="s">
        <v>96</v>
      </c>
      <c r="I90" s="107">
        <v>0.88</v>
      </c>
      <c r="J90" s="107">
        <v>1</v>
      </c>
      <c r="K90" s="107" t="s">
        <v>96</v>
      </c>
      <c r="L90" s="108">
        <v>24673</v>
      </c>
      <c r="M90" s="108">
        <v>41020</v>
      </c>
      <c r="N90" s="107" t="s">
        <v>96</v>
      </c>
      <c r="O90" s="107">
        <v>84</v>
      </c>
      <c r="P90" s="107">
        <v>185</v>
      </c>
      <c r="R90" s="110">
        <v>1230</v>
      </c>
      <c r="S90" s="110">
        <v>1437</v>
      </c>
      <c r="T90" s="110">
        <v>3814</v>
      </c>
      <c r="U90" s="109" t="s">
        <v>96</v>
      </c>
      <c r="V90" s="109">
        <v>4.37</v>
      </c>
      <c r="W90" s="109">
        <v>6.04</v>
      </c>
      <c r="X90" s="109">
        <v>17.73</v>
      </c>
      <c r="Y90" s="109" t="s">
        <v>96</v>
      </c>
      <c r="Z90" s="109">
        <v>0.88</v>
      </c>
      <c r="AA90" s="109">
        <v>0.95</v>
      </c>
      <c r="AB90" s="109">
        <v>1</v>
      </c>
      <c r="AC90" s="109" t="s">
        <v>96</v>
      </c>
      <c r="AD90" s="110">
        <v>24673</v>
      </c>
      <c r="AE90" s="110">
        <v>28658</v>
      </c>
      <c r="AF90" s="110">
        <v>41020</v>
      </c>
      <c r="AG90" s="109" t="s">
        <v>96</v>
      </c>
      <c r="AH90" s="109">
        <v>84</v>
      </c>
      <c r="AI90" s="109">
        <v>117</v>
      </c>
      <c r="AJ90" s="109">
        <v>185</v>
      </c>
    </row>
    <row r="92" spans="1:36" x14ac:dyDescent="0.3">
      <c r="C92" s="114">
        <f>C12+C16</f>
        <v>2429</v>
      </c>
      <c r="D92" s="114">
        <f>D12+D16</f>
        <v>6532</v>
      </c>
      <c r="O92" s="40"/>
      <c r="R92" s="40">
        <f>R12+R16</f>
        <v>2396</v>
      </c>
      <c r="S92" s="114">
        <f>S12+S16</f>
        <v>5787</v>
      </c>
      <c r="T92" s="40">
        <f>T12+T16</f>
        <v>13885</v>
      </c>
    </row>
    <row r="93" spans="1:36" x14ac:dyDescent="0.3">
      <c r="C93" s="114">
        <f>SUM(C20+C24+C28)</f>
        <v>1369</v>
      </c>
      <c r="D93" s="114">
        <f>SUM(D20+D24+D28)</f>
        <v>2798</v>
      </c>
      <c r="O93" s="40"/>
      <c r="R93" s="40">
        <f>SUM(R20+R24+R28)</f>
        <v>2045</v>
      </c>
      <c r="S93" s="114">
        <f>SUM(S20+S24+S28)</f>
        <v>3010</v>
      </c>
      <c r="T93" s="40">
        <f>SUM(T20+T24+T28)</f>
        <v>10621</v>
      </c>
    </row>
    <row r="94" spans="1:36" x14ac:dyDescent="0.3">
      <c r="C94" s="114">
        <f>C63+C66</f>
        <v>13544</v>
      </c>
      <c r="D94" s="114">
        <f>D63+D66</f>
        <v>29222</v>
      </c>
      <c r="O94" s="40"/>
      <c r="R94" s="40">
        <f>R63+R66</f>
        <v>13893</v>
      </c>
      <c r="S94" s="114">
        <f>S63+S66</f>
        <v>20979</v>
      </c>
      <c r="T94" s="40">
        <f>T63+T66</f>
        <v>29357</v>
      </c>
    </row>
    <row r="97" spans="13:22" x14ac:dyDescent="0.3">
      <c r="M97" s="80" t="s">
        <v>129</v>
      </c>
      <c r="O97" t="s">
        <v>127</v>
      </c>
      <c r="R97" s="92">
        <v>57</v>
      </c>
      <c r="S97" s="102">
        <v>123</v>
      </c>
      <c r="T97" s="92">
        <v>280</v>
      </c>
      <c r="V97" t="s">
        <v>130</v>
      </c>
    </row>
    <row r="98" spans="13:22" x14ac:dyDescent="0.3">
      <c r="O98" t="s">
        <v>128</v>
      </c>
      <c r="R98" s="92">
        <v>418</v>
      </c>
      <c r="S98" s="102">
        <v>898</v>
      </c>
      <c r="T98" s="92">
        <v>946</v>
      </c>
    </row>
    <row r="99" spans="13:22" x14ac:dyDescent="0.3">
      <c r="O99" s="30" t="s">
        <v>1</v>
      </c>
      <c r="P99" s="115"/>
      <c r="Q99" s="30"/>
      <c r="R99" s="109">
        <v>484</v>
      </c>
      <c r="S99" s="116">
        <v>1033</v>
      </c>
      <c r="T99" s="110">
        <v>1306</v>
      </c>
    </row>
    <row r="100" spans="13:22" x14ac:dyDescent="0.3">
      <c r="O100" t="s">
        <v>34</v>
      </c>
      <c r="R100" s="92">
        <v>824</v>
      </c>
      <c r="S100" s="117">
        <v>3362</v>
      </c>
      <c r="T100" s="96">
        <v>3934</v>
      </c>
      <c r="V100" t="s">
        <v>131</v>
      </c>
    </row>
    <row r="101" spans="13:22" x14ac:dyDescent="0.3">
      <c r="O101" t="s">
        <v>125</v>
      </c>
      <c r="R101" s="96">
        <v>1066</v>
      </c>
      <c r="S101" s="117">
        <v>3306</v>
      </c>
      <c r="T101" s="96">
        <v>4280</v>
      </c>
    </row>
    <row r="102" spans="13:22" x14ac:dyDescent="0.3">
      <c r="O102" t="s">
        <v>106</v>
      </c>
      <c r="R102" s="96">
        <v>1239</v>
      </c>
      <c r="S102" s="117">
        <v>3773</v>
      </c>
      <c r="T102" s="96">
        <v>4344</v>
      </c>
    </row>
    <row r="103" spans="13:22" x14ac:dyDescent="0.3">
      <c r="O103" t="s">
        <v>126</v>
      </c>
      <c r="R103" s="92">
        <v>772</v>
      </c>
      <c r="S103" s="117">
        <v>4621</v>
      </c>
      <c r="T103" s="96">
        <v>5266</v>
      </c>
    </row>
    <row r="104" spans="13:22" x14ac:dyDescent="0.3">
      <c r="O104" s="30" t="s">
        <v>119</v>
      </c>
      <c r="P104" s="115"/>
      <c r="Q104" s="30"/>
      <c r="R104" s="109">
        <v>261</v>
      </c>
      <c r="S104" s="116">
        <v>3233</v>
      </c>
      <c r="T104" s="110">
        <v>5599</v>
      </c>
    </row>
    <row r="105" spans="13:22" x14ac:dyDescent="0.3">
      <c r="O105" t="s">
        <v>118</v>
      </c>
      <c r="R105" s="96">
        <v>3752</v>
      </c>
      <c r="S105" s="117">
        <v>5351</v>
      </c>
      <c r="T105" s="96">
        <v>8029</v>
      </c>
      <c r="V105" t="s">
        <v>132</v>
      </c>
    </row>
    <row r="106" spans="13:22" x14ac:dyDescent="0.3">
      <c r="O106" t="s">
        <v>33</v>
      </c>
      <c r="R106" s="96">
        <v>1873</v>
      </c>
      <c r="S106" s="117">
        <v>6225</v>
      </c>
      <c r="T106" s="96">
        <v>8434</v>
      </c>
    </row>
    <row r="107" spans="13:22" x14ac:dyDescent="0.3">
      <c r="O107" t="s">
        <v>133</v>
      </c>
      <c r="R107" s="92">
        <v>2045</v>
      </c>
      <c r="S107" s="118">
        <v>3010</v>
      </c>
      <c r="T107" s="96">
        <v>10621</v>
      </c>
    </row>
    <row r="108" spans="13:22" x14ac:dyDescent="0.3">
      <c r="O108" s="80" t="s">
        <v>134</v>
      </c>
      <c r="R108" s="18">
        <v>2396</v>
      </c>
      <c r="S108" s="119">
        <v>5787</v>
      </c>
      <c r="T108" s="18">
        <v>13885</v>
      </c>
    </row>
    <row r="109" spans="13:22" x14ac:dyDescent="0.3">
      <c r="O109" t="s">
        <v>120</v>
      </c>
      <c r="R109" s="96">
        <v>4144</v>
      </c>
      <c r="S109" s="117">
        <v>15655</v>
      </c>
      <c r="T109" s="96">
        <v>17626</v>
      </c>
    </row>
    <row r="110" spans="13:22" x14ac:dyDescent="0.3">
      <c r="O110" t="s">
        <v>116</v>
      </c>
      <c r="R110" s="96">
        <v>11039</v>
      </c>
      <c r="S110" s="100">
        <v>23633</v>
      </c>
      <c r="T110" s="96">
        <v>17654</v>
      </c>
    </row>
    <row r="111" spans="13:22" x14ac:dyDescent="0.3">
      <c r="O111" t="s">
        <v>32</v>
      </c>
      <c r="R111" s="96">
        <v>1376</v>
      </c>
      <c r="S111" s="117">
        <v>8196</v>
      </c>
      <c r="T111" s="96">
        <v>25984</v>
      </c>
    </row>
    <row r="112" spans="13:22" x14ac:dyDescent="0.3">
      <c r="O112" t="s">
        <v>135</v>
      </c>
      <c r="R112" s="96">
        <v>13893</v>
      </c>
      <c r="S112" s="117">
        <v>20979</v>
      </c>
      <c r="T112" s="96">
        <v>29357</v>
      </c>
    </row>
  </sheetData>
  <autoFilter ref="A5:AJ90" xr:uid="{00000000-0009-0000-0000-000006000000}">
    <filterColumn colId="1">
      <filters>
        <filter val="Spring Chinook"/>
      </filters>
    </filterColumn>
  </autoFilter>
  <mergeCells count="11">
    <mergeCell ref="R4:T4"/>
    <mergeCell ref="V4:X4"/>
    <mergeCell ref="Z4:AB4"/>
    <mergeCell ref="AD4:AF4"/>
    <mergeCell ref="AH4:AJ4"/>
    <mergeCell ref="A2:O2"/>
    <mergeCell ref="C4:D4"/>
    <mergeCell ref="F4:G4"/>
    <mergeCell ref="I4:J4"/>
    <mergeCell ref="L4:M4"/>
    <mergeCell ref="O4:P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C61B1-3D6F-4ABD-A020-AA1AC8177A90}">
  <dimension ref="A1:N47"/>
  <sheetViews>
    <sheetView workbookViewId="0">
      <selection activeCell="I17" sqref="I17"/>
    </sheetView>
  </sheetViews>
  <sheetFormatPr defaultRowHeight="14.4" x14ac:dyDescent="0.3"/>
  <cols>
    <col min="1" max="1" width="3.33203125" customWidth="1"/>
    <col min="2" max="2" width="29.33203125" customWidth="1"/>
    <col min="3" max="3" width="18.109375" customWidth="1"/>
    <col min="4" max="4" width="19.44140625" customWidth="1"/>
    <col min="5" max="5" width="10.109375" customWidth="1"/>
    <col min="7" max="7" width="28.88671875" customWidth="1"/>
    <col min="8" max="8" width="14.5546875" customWidth="1"/>
    <col min="9" max="9" width="89" customWidth="1"/>
    <col min="10" max="10" width="13.88671875" customWidth="1"/>
    <col min="11" max="11" width="56.44140625" customWidth="1"/>
    <col min="12" max="12" width="93.109375" customWidth="1"/>
    <col min="13" max="13" width="71" customWidth="1"/>
    <col min="14" max="14" width="173.33203125" customWidth="1"/>
  </cols>
  <sheetData>
    <row r="1" spans="1:14" x14ac:dyDescent="0.3">
      <c r="N1" s="147"/>
    </row>
    <row r="2" spans="1:14" x14ac:dyDescent="0.3">
      <c r="A2" s="190"/>
      <c r="B2" s="190" t="s">
        <v>239</v>
      </c>
      <c r="C2" s="190" t="s">
        <v>240</v>
      </c>
      <c r="D2" s="190" t="s">
        <v>241</v>
      </c>
      <c r="E2" s="190" t="s">
        <v>242</v>
      </c>
      <c r="F2" s="191" t="s">
        <v>243</v>
      </c>
      <c r="G2" s="190" t="s">
        <v>244</v>
      </c>
      <c r="H2" s="190" t="s">
        <v>245</v>
      </c>
      <c r="I2" s="190" t="s">
        <v>246</v>
      </c>
      <c r="J2" s="190" t="s">
        <v>247</v>
      </c>
      <c r="K2" s="190" t="s">
        <v>248</v>
      </c>
      <c r="L2" s="190" t="s">
        <v>249</v>
      </c>
      <c r="M2" s="190" t="s">
        <v>250</v>
      </c>
      <c r="N2" s="192" t="s">
        <v>251</v>
      </c>
    </row>
    <row r="3" spans="1:14" x14ac:dyDescent="0.3">
      <c r="B3" t="s">
        <v>45</v>
      </c>
      <c r="C3" t="s">
        <v>17</v>
      </c>
      <c r="D3" t="s">
        <v>49</v>
      </c>
      <c r="E3" t="s">
        <v>232</v>
      </c>
      <c r="F3" s="18">
        <f>Summary!U4</f>
        <v>150</v>
      </c>
      <c r="G3" t="s">
        <v>252</v>
      </c>
      <c r="H3" t="s">
        <v>174</v>
      </c>
      <c r="I3" t="s">
        <v>307</v>
      </c>
      <c r="J3" t="s">
        <v>254</v>
      </c>
      <c r="K3" t="s">
        <v>255</v>
      </c>
      <c r="L3" t="s">
        <v>256</v>
      </c>
      <c r="M3" s="193" t="s">
        <v>257</v>
      </c>
      <c r="N3" s="194" t="s">
        <v>258</v>
      </c>
    </row>
    <row r="4" spans="1:14" x14ac:dyDescent="0.3">
      <c r="B4" t="s">
        <v>45</v>
      </c>
      <c r="C4" t="s">
        <v>17</v>
      </c>
      <c r="D4" t="s">
        <v>55</v>
      </c>
      <c r="E4" t="s">
        <v>232</v>
      </c>
      <c r="F4" s="18">
        <f>Summary!U4</f>
        <v>150</v>
      </c>
      <c r="G4" t="s">
        <v>252</v>
      </c>
      <c r="H4" t="s">
        <v>174</v>
      </c>
      <c r="I4" t="s">
        <v>307</v>
      </c>
      <c r="J4" t="s">
        <v>254</v>
      </c>
      <c r="K4" t="s">
        <v>255</v>
      </c>
      <c r="L4" t="s">
        <v>256</v>
      </c>
      <c r="M4" s="193" t="s">
        <v>257</v>
      </c>
      <c r="N4" s="194" t="s">
        <v>258</v>
      </c>
    </row>
    <row r="5" spans="1:14" x14ac:dyDescent="0.3">
      <c r="B5" t="s">
        <v>45</v>
      </c>
      <c r="C5" t="s">
        <v>17</v>
      </c>
      <c r="D5" t="s">
        <v>57</v>
      </c>
      <c r="E5" t="s">
        <v>232</v>
      </c>
      <c r="F5" s="18">
        <f>Summary!U6</f>
        <v>0</v>
      </c>
      <c r="G5" t="s">
        <v>252</v>
      </c>
      <c r="H5" t="s">
        <v>259</v>
      </c>
      <c r="I5" t="s">
        <v>253</v>
      </c>
      <c r="J5" t="s">
        <v>259</v>
      </c>
      <c r="K5" t="s">
        <v>255</v>
      </c>
      <c r="L5" t="s">
        <v>260</v>
      </c>
      <c r="M5" s="193" t="s">
        <v>262</v>
      </c>
      <c r="N5" t="s">
        <v>261</v>
      </c>
    </row>
    <row r="6" spans="1:14" x14ac:dyDescent="0.3">
      <c r="B6" t="s">
        <v>45</v>
      </c>
      <c r="C6" t="s">
        <v>17</v>
      </c>
      <c r="D6" t="s">
        <v>59</v>
      </c>
      <c r="E6" t="s">
        <v>232</v>
      </c>
      <c r="F6" s="18">
        <f>Summary!U7</f>
        <v>100</v>
      </c>
      <c r="G6" t="s">
        <v>252</v>
      </c>
      <c r="H6" t="s">
        <v>174</v>
      </c>
      <c r="I6" t="s">
        <v>263</v>
      </c>
      <c r="J6" t="s">
        <v>259</v>
      </c>
      <c r="K6" t="s">
        <v>255</v>
      </c>
      <c r="L6" t="s">
        <v>264</v>
      </c>
      <c r="M6" s="195" t="s">
        <v>265</v>
      </c>
      <c r="N6" t="s">
        <v>266</v>
      </c>
    </row>
    <row r="7" spans="1:14" ht="15.6" customHeight="1" x14ac:dyDescent="0.3">
      <c r="B7" t="s">
        <v>45</v>
      </c>
      <c r="C7" t="s">
        <v>17</v>
      </c>
      <c r="D7" t="s">
        <v>62</v>
      </c>
      <c r="E7" t="s">
        <v>232</v>
      </c>
      <c r="F7" s="18">
        <f>Summary!U8</f>
        <v>160</v>
      </c>
      <c r="G7" t="s">
        <v>252</v>
      </c>
      <c r="H7" t="s">
        <v>174</v>
      </c>
      <c r="I7" t="s">
        <v>269</v>
      </c>
      <c r="J7" t="s">
        <v>267</v>
      </c>
      <c r="K7" t="s">
        <v>255</v>
      </c>
      <c r="L7" t="s">
        <v>271</v>
      </c>
      <c r="M7" s="196" t="s">
        <v>270</v>
      </c>
      <c r="N7" t="s">
        <v>272</v>
      </c>
    </row>
    <row r="8" spans="1:14" ht="13.2" customHeight="1" x14ac:dyDescent="0.3">
      <c r="B8" t="s">
        <v>45</v>
      </c>
      <c r="C8" t="s">
        <v>17</v>
      </c>
      <c r="D8" t="s">
        <v>64</v>
      </c>
      <c r="E8" t="s">
        <v>232</v>
      </c>
      <c r="F8" s="18">
        <f>Summary!U9</f>
        <v>150</v>
      </c>
      <c r="G8" t="s">
        <v>252</v>
      </c>
      <c r="H8" t="s">
        <v>174</v>
      </c>
      <c r="I8" t="s">
        <v>269</v>
      </c>
      <c r="J8" t="s">
        <v>254</v>
      </c>
      <c r="K8" t="s">
        <v>255</v>
      </c>
      <c r="L8" t="s">
        <v>271</v>
      </c>
      <c r="M8" s="196" t="s">
        <v>270</v>
      </c>
      <c r="N8" t="s">
        <v>273</v>
      </c>
    </row>
    <row r="9" spans="1:14" x14ac:dyDescent="0.3">
      <c r="B9" t="s">
        <v>45</v>
      </c>
      <c r="C9" t="s">
        <v>17</v>
      </c>
      <c r="D9" t="s">
        <v>66</v>
      </c>
      <c r="E9" t="s">
        <v>232</v>
      </c>
      <c r="F9" s="18">
        <f>Summary!U10</f>
        <v>1560</v>
      </c>
      <c r="G9" t="s">
        <v>252</v>
      </c>
      <c r="H9" t="s">
        <v>174</v>
      </c>
      <c r="I9" t="s">
        <v>274</v>
      </c>
      <c r="J9" t="s">
        <v>275</v>
      </c>
      <c r="K9" t="s">
        <v>255</v>
      </c>
      <c r="L9" t="s">
        <v>276</v>
      </c>
      <c r="M9" s="193" t="s">
        <v>277</v>
      </c>
    </row>
    <row r="10" spans="1:14" x14ac:dyDescent="0.3">
      <c r="B10" t="s">
        <v>45</v>
      </c>
      <c r="C10" t="s">
        <v>17</v>
      </c>
      <c r="D10" t="s">
        <v>68</v>
      </c>
      <c r="E10" t="s">
        <v>232</v>
      </c>
      <c r="F10" s="18">
        <f>Summary!U11</f>
        <v>50</v>
      </c>
      <c r="G10" t="s">
        <v>252</v>
      </c>
      <c r="H10" t="s">
        <v>174</v>
      </c>
      <c r="I10" t="s">
        <v>263</v>
      </c>
      <c r="J10" t="s">
        <v>259</v>
      </c>
      <c r="K10" t="s">
        <v>255</v>
      </c>
      <c r="L10" t="s">
        <v>264</v>
      </c>
      <c r="M10" s="195" t="s">
        <v>265</v>
      </c>
    </row>
    <row r="11" spans="1:14" x14ac:dyDescent="0.3">
      <c r="B11" t="s">
        <v>45</v>
      </c>
      <c r="C11" t="s">
        <v>17</v>
      </c>
      <c r="D11" t="s">
        <v>70</v>
      </c>
      <c r="E11" t="s">
        <v>232</v>
      </c>
      <c r="F11" s="18">
        <f>Summary!U12</f>
        <v>70</v>
      </c>
      <c r="G11" t="s">
        <v>252</v>
      </c>
      <c r="H11" t="s">
        <v>174</v>
      </c>
      <c r="I11" t="s">
        <v>274</v>
      </c>
      <c r="J11" t="s">
        <v>275</v>
      </c>
      <c r="K11" t="s">
        <v>255</v>
      </c>
      <c r="L11" t="s">
        <v>276</v>
      </c>
      <c r="M11" s="193" t="s">
        <v>277</v>
      </c>
    </row>
    <row r="12" spans="1:14" x14ac:dyDescent="0.3">
      <c r="B12" t="s">
        <v>45</v>
      </c>
      <c r="C12" t="s">
        <v>17</v>
      </c>
      <c r="D12" t="s">
        <v>49</v>
      </c>
      <c r="E12" t="s">
        <v>24</v>
      </c>
      <c r="F12" s="18">
        <f>Summary!V4</f>
        <v>22000</v>
      </c>
      <c r="G12" t="s">
        <v>252</v>
      </c>
      <c r="H12" t="s">
        <v>174</v>
      </c>
      <c r="I12" t="s">
        <v>278</v>
      </c>
      <c r="J12" t="s">
        <v>259</v>
      </c>
      <c r="K12" t="s">
        <v>255</v>
      </c>
      <c r="L12" t="s">
        <v>264</v>
      </c>
      <c r="M12" s="195" t="s">
        <v>265</v>
      </c>
    </row>
    <row r="13" spans="1:14" x14ac:dyDescent="0.3">
      <c r="B13" t="s">
        <v>45</v>
      </c>
      <c r="C13" t="s">
        <v>17</v>
      </c>
      <c r="D13" t="s">
        <v>55</v>
      </c>
      <c r="E13" t="s">
        <v>24</v>
      </c>
      <c r="F13" s="18">
        <f>Summary!V5</f>
        <v>7800</v>
      </c>
      <c r="G13" t="s">
        <v>252</v>
      </c>
      <c r="H13" t="s">
        <v>174</v>
      </c>
      <c r="I13" t="s">
        <v>278</v>
      </c>
      <c r="J13" t="s">
        <v>259</v>
      </c>
      <c r="K13" t="s">
        <v>255</v>
      </c>
      <c r="L13" t="s">
        <v>264</v>
      </c>
      <c r="M13" s="195" t="s">
        <v>265</v>
      </c>
    </row>
    <row r="14" spans="1:14" x14ac:dyDescent="0.3">
      <c r="B14" t="s">
        <v>45</v>
      </c>
      <c r="C14" t="s">
        <v>17</v>
      </c>
      <c r="D14" t="s">
        <v>57</v>
      </c>
      <c r="E14" t="s">
        <v>24</v>
      </c>
      <c r="F14" s="18">
        <f>Summary!V6</f>
        <v>5400</v>
      </c>
      <c r="G14" t="s">
        <v>252</v>
      </c>
      <c r="H14" t="s">
        <v>174</v>
      </c>
      <c r="I14" t="s">
        <v>278</v>
      </c>
      <c r="J14" t="s">
        <v>259</v>
      </c>
      <c r="K14" t="s">
        <v>255</v>
      </c>
      <c r="L14" t="s">
        <v>264</v>
      </c>
      <c r="M14" s="195" t="s">
        <v>265</v>
      </c>
    </row>
    <row r="15" spans="1:14" x14ac:dyDescent="0.3">
      <c r="B15" t="s">
        <v>45</v>
      </c>
      <c r="C15" t="s">
        <v>17</v>
      </c>
      <c r="D15" t="s">
        <v>59</v>
      </c>
      <c r="E15" t="s">
        <v>24</v>
      </c>
      <c r="F15" s="18">
        <f>Summary!V6</f>
        <v>5400</v>
      </c>
      <c r="G15" t="s">
        <v>252</v>
      </c>
      <c r="H15" t="s">
        <v>174</v>
      </c>
      <c r="I15" t="s">
        <v>278</v>
      </c>
      <c r="J15" t="s">
        <v>259</v>
      </c>
      <c r="K15" t="s">
        <v>255</v>
      </c>
      <c r="L15" t="s">
        <v>264</v>
      </c>
      <c r="M15" s="195" t="s">
        <v>265</v>
      </c>
    </row>
    <row r="16" spans="1:14" x14ac:dyDescent="0.3">
      <c r="B16" t="s">
        <v>45</v>
      </c>
      <c r="C16" t="s">
        <v>17</v>
      </c>
      <c r="D16" t="s">
        <v>62</v>
      </c>
      <c r="E16" t="s">
        <v>24</v>
      </c>
      <c r="F16" s="18">
        <f>Summary!V8</f>
        <v>4900</v>
      </c>
      <c r="G16" t="s">
        <v>252</v>
      </c>
      <c r="H16" t="s">
        <v>174</v>
      </c>
      <c r="I16" t="s">
        <v>278</v>
      </c>
      <c r="J16" t="s">
        <v>259</v>
      </c>
      <c r="K16" t="s">
        <v>255</v>
      </c>
      <c r="L16" t="s">
        <v>264</v>
      </c>
      <c r="M16" s="195" t="s">
        <v>265</v>
      </c>
    </row>
    <row r="17" spans="2:14" x14ac:dyDescent="0.3">
      <c r="B17" t="s">
        <v>45</v>
      </c>
      <c r="C17" t="s">
        <v>17</v>
      </c>
      <c r="D17" t="s">
        <v>64</v>
      </c>
      <c r="E17" t="s">
        <v>24</v>
      </c>
      <c r="F17" s="18">
        <f>Summary!V9</f>
        <v>15700</v>
      </c>
      <c r="G17" t="s">
        <v>252</v>
      </c>
      <c r="H17" t="s">
        <v>174</v>
      </c>
      <c r="I17" t="s">
        <v>278</v>
      </c>
      <c r="J17" t="s">
        <v>259</v>
      </c>
      <c r="K17" t="s">
        <v>255</v>
      </c>
      <c r="L17" t="s">
        <v>264</v>
      </c>
      <c r="M17" s="195" t="s">
        <v>265</v>
      </c>
    </row>
    <row r="18" spans="2:14" x14ac:dyDescent="0.3">
      <c r="B18" t="s">
        <v>45</v>
      </c>
      <c r="C18" t="s">
        <v>17</v>
      </c>
      <c r="D18" t="s">
        <v>66</v>
      </c>
      <c r="E18" t="s">
        <v>24</v>
      </c>
      <c r="F18" s="18">
        <f>Summary!V10</f>
        <v>26900</v>
      </c>
      <c r="G18" t="s">
        <v>252</v>
      </c>
      <c r="H18" t="s">
        <v>174</v>
      </c>
      <c r="I18" t="s">
        <v>288</v>
      </c>
      <c r="J18" t="s">
        <v>259</v>
      </c>
      <c r="K18" t="s">
        <v>255</v>
      </c>
      <c r="L18" t="s">
        <v>289</v>
      </c>
      <c r="M18" s="193" t="s">
        <v>290</v>
      </c>
    </row>
    <row r="19" spans="2:14" x14ac:dyDescent="0.3">
      <c r="B19" t="s">
        <v>45</v>
      </c>
      <c r="C19" t="s">
        <v>17</v>
      </c>
      <c r="D19" t="s">
        <v>68</v>
      </c>
      <c r="E19" t="s">
        <v>24</v>
      </c>
      <c r="F19" s="18">
        <f>Summary!V11</f>
        <v>900</v>
      </c>
      <c r="G19" t="s">
        <v>252</v>
      </c>
      <c r="H19" t="s">
        <v>174</v>
      </c>
      <c r="I19" t="s">
        <v>278</v>
      </c>
      <c r="J19" t="s">
        <v>259</v>
      </c>
      <c r="K19" t="s">
        <v>255</v>
      </c>
      <c r="L19" t="s">
        <v>280</v>
      </c>
      <c r="M19" s="195" t="s">
        <v>281</v>
      </c>
    </row>
    <row r="20" spans="2:14" x14ac:dyDescent="0.3">
      <c r="B20" t="s">
        <v>45</v>
      </c>
      <c r="C20" t="s">
        <v>17</v>
      </c>
      <c r="D20" t="s">
        <v>70</v>
      </c>
      <c r="E20" t="s">
        <v>24</v>
      </c>
      <c r="F20" s="18">
        <f>Summary!V12</f>
        <v>15000</v>
      </c>
      <c r="G20" t="s">
        <v>252</v>
      </c>
      <c r="H20" t="s">
        <v>174</v>
      </c>
      <c r="I20" t="s">
        <v>288</v>
      </c>
      <c r="J20" t="s">
        <v>259</v>
      </c>
      <c r="K20" t="s">
        <v>255</v>
      </c>
      <c r="L20" t="s">
        <v>289</v>
      </c>
      <c r="M20" s="193" t="s">
        <v>290</v>
      </c>
    </row>
    <row r="21" spans="2:14" x14ac:dyDescent="0.3">
      <c r="B21" t="s">
        <v>45</v>
      </c>
      <c r="C21" t="s">
        <v>17</v>
      </c>
      <c r="D21" t="s">
        <v>49</v>
      </c>
      <c r="E21" t="s">
        <v>229</v>
      </c>
      <c r="F21" s="18">
        <f>Summary!W4</f>
        <v>1800</v>
      </c>
      <c r="G21" t="s">
        <v>252</v>
      </c>
      <c r="H21" t="s">
        <v>174</v>
      </c>
      <c r="I21" t="s">
        <v>282</v>
      </c>
      <c r="J21" t="s">
        <v>259</v>
      </c>
      <c r="K21" t="s">
        <v>283</v>
      </c>
      <c r="L21" t="s">
        <v>264</v>
      </c>
      <c r="M21" s="195" t="s">
        <v>265</v>
      </c>
    </row>
    <row r="22" spans="2:14" x14ac:dyDescent="0.3">
      <c r="B22" t="s">
        <v>45</v>
      </c>
      <c r="C22" t="s">
        <v>17</v>
      </c>
      <c r="D22" t="s">
        <v>55</v>
      </c>
      <c r="E22" t="s">
        <v>229</v>
      </c>
      <c r="F22" s="18">
        <f>Summary!W5</f>
        <v>1800</v>
      </c>
      <c r="G22" t="s">
        <v>252</v>
      </c>
      <c r="H22" t="s">
        <v>174</v>
      </c>
      <c r="I22" t="s">
        <v>282</v>
      </c>
      <c r="J22" t="s">
        <v>259</v>
      </c>
      <c r="K22" t="s">
        <v>283</v>
      </c>
      <c r="L22" t="s">
        <v>264</v>
      </c>
      <c r="M22" s="195" t="s">
        <v>265</v>
      </c>
    </row>
    <row r="23" spans="2:14" ht="14.4" customHeight="1" x14ac:dyDescent="0.3">
      <c r="B23" t="s">
        <v>45</v>
      </c>
      <c r="C23" t="s">
        <v>17</v>
      </c>
      <c r="D23" t="s">
        <v>57</v>
      </c>
      <c r="E23" t="s">
        <v>229</v>
      </c>
      <c r="F23" s="18">
        <f>Summary!W6</f>
        <v>100</v>
      </c>
      <c r="G23" t="s">
        <v>252</v>
      </c>
      <c r="H23" t="s">
        <v>174</v>
      </c>
      <c r="I23" t="s">
        <v>284</v>
      </c>
      <c r="J23" t="s">
        <v>259</v>
      </c>
      <c r="K23" s="147" t="s">
        <v>285</v>
      </c>
      <c r="L23" t="s">
        <v>264</v>
      </c>
      <c r="M23" s="193" t="s">
        <v>265</v>
      </c>
      <c r="N23" s="147" t="s">
        <v>286</v>
      </c>
    </row>
    <row r="24" spans="2:14" x14ac:dyDescent="0.3">
      <c r="B24" t="s">
        <v>45</v>
      </c>
      <c r="C24" t="s">
        <v>17</v>
      </c>
      <c r="D24" t="s">
        <v>59</v>
      </c>
      <c r="E24" t="s">
        <v>229</v>
      </c>
      <c r="F24" s="18">
        <f>Summary!W7</f>
        <v>1100</v>
      </c>
      <c r="G24" t="s">
        <v>252</v>
      </c>
      <c r="H24" t="s">
        <v>174</v>
      </c>
      <c r="I24" t="s">
        <v>282</v>
      </c>
      <c r="J24" t="s">
        <v>259</v>
      </c>
      <c r="K24" t="s">
        <v>283</v>
      </c>
      <c r="L24" t="s">
        <v>264</v>
      </c>
      <c r="M24" s="195" t="s">
        <v>265</v>
      </c>
    </row>
    <row r="25" spans="2:14" x14ac:dyDescent="0.3">
      <c r="B25" t="s">
        <v>45</v>
      </c>
      <c r="C25" t="s">
        <v>17</v>
      </c>
      <c r="D25" t="s">
        <v>62</v>
      </c>
      <c r="E25" t="s">
        <v>229</v>
      </c>
      <c r="F25" s="18">
        <f>Summary!W8</f>
        <v>300</v>
      </c>
      <c r="G25" t="s">
        <v>252</v>
      </c>
      <c r="H25" t="s">
        <v>174</v>
      </c>
      <c r="I25" t="s">
        <v>282</v>
      </c>
      <c r="J25" t="s">
        <v>259</v>
      </c>
      <c r="K25" t="s">
        <v>283</v>
      </c>
      <c r="L25" t="s">
        <v>264</v>
      </c>
      <c r="M25" s="195" t="s">
        <v>265</v>
      </c>
    </row>
    <row r="26" spans="2:14" x14ac:dyDescent="0.3">
      <c r="B26" t="s">
        <v>45</v>
      </c>
      <c r="C26" t="s">
        <v>17</v>
      </c>
      <c r="D26" t="s">
        <v>64</v>
      </c>
      <c r="E26" t="s">
        <v>229</v>
      </c>
      <c r="F26" s="18">
        <f>Summary!W9</f>
        <v>1500</v>
      </c>
      <c r="G26" t="s">
        <v>252</v>
      </c>
      <c r="H26" t="s">
        <v>174</v>
      </c>
      <c r="I26" t="s">
        <v>282</v>
      </c>
      <c r="J26" t="s">
        <v>259</v>
      </c>
      <c r="K26" t="s">
        <v>283</v>
      </c>
      <c r="L26" t="s">
        <v>264</v>
      </c>
      <c r="M26" s="195" t="s">
        <v>265</v>
      </c>
    </row>
    <row r="27" spans="2:14" x14ac:dyDescent="0.3">
      <c r="B27" t="s">
        <v>45</v>
      </c>
      <c r="C27" t="s">
        <v>17</v>
      </c>
      <c r="D27" t="s">
        <v>66</v>
      </c>
      <c r="E27" t="s">
        <v>229</v>
      </c>
      <c r="F27" s="18">
        <f>Summary!W10</f>
        <v>1200</v>
      </c>
      <c r="G27" t="s">
        <v>252</v>
      </c>
      <c r="H27" t="s">
        <v>174</v>
      </c>
      <c r="I27" t="s">
        <v>291</v>
      </c>
      <c r="J27" t="s">
        <v>259</v>
      </c>
      <c r="K27" t="s">
        <v>283</v>
      </c>
      <c r="L27" t="s">
        <v>292</v>
      </c>
      <c r="M27" s="193" t="s">
        <v>290</v>
      </c>
    </row>
    <row r="28" spans="2:14" x14ac:dyDescent="0.3">
      <c r="B28" t="s">
        <v>45</v>
      </c>
      <c r="C28" t="s">
        <v>17</v>
      </c>
      <c r="D28" t="s">
        <v>68</v>
      </c>
      <c r="E28" t="s">
        <v>229</v>
      </c>
      <c r="F28" s="18">
        <f>Summary!W11</f>
        <v>500</v>
      </c>
      <c r="G28" t="s">
        <v>252</v>
      </c>
      <c r="H28" t="s">
        <v>174</v>
      </c>
      <c r="I28" t="s">
        <v>282</v>
      </c>
      <c r="J28" t="s">
        <v>259</v>
      </c>
      <c r="K28" t="s">
        <v>283</v>
      </c>
      <c r="L28" t="s">
        <v>264</v>
      </c>
      <c r="M28" s="195" t="s">
        <v>265</v>
      </c>
    </row>
    <row r="29" spans="2:14" x14ac:dyDescent="0.3">
      <c r="B29" t="s">
        <v>45</v>
      </c>
      <c r="C29" t="s">
        <v>17</v>
      </c>
      <c r="D29" t="s">
        <v>70</v>
      </c>
      <c r="E29" t="s">
        <v>229</v>
      </c>
      <c r="F29" s="18">
        <f>Summary!W12</f>
        <v>1500</v>
      </c>
      <c r="G29" t="s">
        <v>252</v>
      </c>
      <c r="H29" t="s">
        <v>174</v>
      </c>
      <c r="I29" t="s">
        <v>291</v>
      </c>
      <c r="J29" t="s">
        <v>259</v>
      </c>
      <c r="K29" t="s">
        <v>283</v>
      </c>
      <c r="L29" t="s">
        <v>292</v>
      </c>
      <c r="M29" s="193" t="s">
        <v>290</v>
      </c>
    </row>
    <row r="30" spans="2:14" x14ac:dyDescent="0.3">
      <c r="B30" t="s">
        <v>45</v>
      </c>
      <c r="C30" t="s">
        <v>17</v>
      </c>
      <c r="D30" t="s">
        <v>49</v>
      </c>
      <c r="E30" t="s">
        <v>230</v>
      </c>
      <c r="F30" s="18">
        <f>Summary!X4</f>
        <v>4100</v>
      </c>
      <c r="G30" t="s">
        <v>252</v>
      </c>
      <c r="H30" t="s">
        <v>174</v>
      </c>
      <c r="I30" t="s">
        <v>293</v>
      </c>
      <c r="J30" t="s">
        <v>259</v>
      </c>
      <c r="K30" t="s">
        <v>294</v>
      </c>
      <c r="L30" t="s">
        <v>295</v>
      </c>
      <c r="M30" s="193" t="s">
        <v>296</v>
      </c>
    </row>
    <row r="31" spans="2:14" x14ac:dyDescent="0.3">
      <c r="B31" t="s">
        <v>45</v>
      </c>
      <c r="C31" t="s">
        <v>17</v>
      </c>
      <c r="D31" t="s">
        <v>55</v>
      </c>
      <c r="E31" t="s">
        <v>230</v>
      </c>
      <c r="F31" s="18">
        <f>Summary!X5</f>
        <v>1800</v>
      </c>
      <c r="G31" t="s">
        <v>252</v>
      </c>
      <c r="H31" t="s">
        <v>174</v>
      </c>
      <c r="I31" t="s">
        <v>297</v>
      </c>
      <c r="J31" t="s">
        <v>259</v>
      </c>
      <c r="K31" t="s">
        <v>294</v>
      </c>
      <c r="L31" t="s">
        <v>295</v>
      </c>
      <c r="M31" s="193" t="s">
        <v>296</v>
      </c>
      <c r="N31" t="s">
        <v>298</v>
      </c>
    </row>
    <row r="32" spans="2:14" x14ac:dyDescent="0.3">
      <c r="B32" t="s">
        <v>45</v>
      </c>
      <c r="C32" t="s">
        <v>17</v>
      </c>
      <c r="D32" t="s">
        <v>57</v>
      </c>
      <c r="E32" t="s">
        <v>230</v>
      </c>
      <c r="F32" s="18">
        <f>Summary!X6</f>
        <v>1650</v>
      </c>
      <c r="G32" t="s">
        <v>252</v>
      </c>
      <c r="H32" t="s">
        <v>174</v>
      </c>
      <c r="I32" t="s">
        <v>293</v>
      </c>
      <c r="J32" t="s">
        <v>259</v>
      </c>
      <c r="K32" t="s">
        <v>294</v>
      </c>
      <c r="L32" t="s">
        <v>295</v>
      </c>
      <c r="M32" s="193" t="s">
        <v>296</v>
      </c>
    </row>
    <row r="33" spans="2:14" x14ac:dyDescent="0.3">
      <c r="B33" t="s">
        <v>45</v>
      </c>
      <c r="C33" t="s">
        <v>17</v>
      </c>
      <c r="D33" t="s">
        <v>59</v>
      </c>
      <c r="E33" t="s">
        <v>230</v>
      </c>
      <c r="F33" s="18">
        <f>Summary!X7</f>
        <v>1900</v>
      </c>
      <c r="G33" t="s">
        <v>252</v>
      </c>
      <c r="H33" t="s">
        <v>174</v>
      </c>
      <c r="I33" t="s">
        <v>293</v>
      </c>
      <c r="J33" t="s">
        <v>259</v>
      </c>
      <c r="K33" t="s">
        <v>294</v>
      </c>
      <c r="L33" t="s">
        <v>295</v>
      </c>
      <c r="M33" s="193" t="s">
        <v>296</v>
      </c>
    </row>
    <row r="34" spans="2:14" x14ac:dyDescent="0.3">
      <c r="B34" t="s">
        <v>45</v>
      </c>
      <c r="C34" t="s">
        <v>17</v>
      </c>
      <c r="D34" t="s">
        <v>62</v>
      </c>
      <c r="E34" t="s">
        <v>230</v>
      </c>
      <c r="F34" s="18">
        <f>Summary!X8</f>
        <v>550</v>
      </c>
      <c r="G34" t="s">
        <v>252</v>
      </c>
      <c r="H34" t="s">
        <v>174</v>
      </c>
      <c r="I34" t="s">
        <v>293</v>
      </c>
      <c r="J34" t="s">
        <v>259</v>
      </c>
      <c r="K34" t="s">
        <v>294</v>
      </c>
      <c r="L34" t="s">
        <v>295</v>
      </c>
      <c r="M34" s="193" t="s">
        <v>296</v>
      </c>
    </row>
    <row r="35" spans="2:14" x14ac:dyDescent="0.3">
      <c r="B35" t="s">
        <v>45</v>
      </c>
      <c r="C35" t="s">
        <v>17</v>
      </c>
      <c r="D35" t="s">
        <v>64</v>
      </c>
      <c r="E35" t="s">
        <v>230</v>
      </c>
      <c r="F35" s="18">
        <f>Summary!X9</f>
        <v>2300</v>
      </c>
      <c r="G35" t="s">
        <v>252</v>
      </c>
      <c r="H35" t="s">
        <v>174</v>
      </c>
      <c r="I35" t="s">
        <v>293</v>
      </c>
      <c r="J35" t="s">
        <v>259</v>
      </c>
      <c r="K35" t="s">
        <v>294</v>
      </c>
      <c r="L35" t="s">
        <v>295</v>
      </c>
      <c r="M35" s="193" t="s">
        <v>296</v>
      </c>
    </row>
    <row r="36" spans="2:14" x14ac:dyDescent="0.3">
      <c r="B36" t="s">
        <v>45</v>
      </c>
      <c r="C36" t="s">
        <v>17</v>
      </c>
      <c r="D36" t="s">
        <v>66</v>
      </c>
      <c r="E36" t="s">
        <v>230</v>
      </c>
      <c r="F36" s="18">
        <f>Summary!X10</f>
        <v>4550</v>
      </c>
      <c r="G36" t="s">
        <v>252</v>
      </c>
      <c r="H36" t="s">
        <v>174</v>
      </c>
      <c r="I36" t="s">
        <v>293</v>
      </c>
      <c r="J36" t="s">
        <v>259</v>
      </c>
      <c r="K36" t="s">
        <v>294</v>
      </c>
      <c r="L36" t="s">
        <v>295</v>
      </c>
      <c r="M36" s="193" t="s">
        <v>296</v>
      </c>
    </row>
    <row r="37" spans="2:14" x14ac:dyDescent="0.3">
      <c r="B37" t="s">
        <v>45</v>
      </c>
      <c r="C37" t="s">
        <v>17</v>
      </c>
      <c r="D37" t="s">
        <v>68</v>
      </c>
      <c r="E37" t="s">
        <v>230</v>
      </c>
      <c r="F37" s="18">
        <f>Summary!X11</f>
        <v>700</v>
      </c>
      <c r="G37" t="s">
        <v>252</v>
      </c>
      <c r="H37" t="s">
        <v>174</v>
      </c>
      <c r="I37" t="s">
        <v>293</v>
      </c>
      <c r="J37" t="s">
        <v>259</v>
      </c>
      <c r="K37" t="s">
        <v>294</v>
      </c>
      <c r="L37" t="s">
        <v>295</v>
      </c>
      <c r="M37" s="193" t="s">
        <v>296</v>
      </c>
    </row>
    <row r="38" spans="2:14" x14ac:dyDescent="0.3">
      <c r="B38" t="s">
        <v>45</v>
      </c>
      <c r="C38" t="s">
        <v>17</v>
      </c>
      <c r="D38" t="s">
        <v>70</v>
      </c>
      <c r="E38" t="s">
        <v>230</v>
      </c>
      <c r="F38" s="18">
        <f>Summary!X12</f>
        <v>4000</v>
      </c>
      <c r="G38" t="s">
        <v>252</v>
      </c>
      <c r="H38" t="s">
        <v>174</v>
      </c>
      <c r="I38" t="s">
        <v>293</v>
      </c>
      <c r="J38" t="s">
        <v>259</v>
      </c>
      <c r="K38" t="s">
        <v>294</v>
      </c>
      <c r="L38" t="s">
        <v>295</v>
      </c>
      <c r="M38" s="193" t="s">
        <v>296</v>
      </c>
    </row>
    <row r="39" spans="2:14" x14ac:dyDescent="0.3">
      <c r="B39" t="s">
        <v>45</v>
      </c>
      <c r="C39" t="s">
        <v>17</v>
      </c>
      <c r="D39" t="s">
        <v>49</v>
      </c>
      <c r="E39" t="s">
        <v>231</v>
      </c>
      <c r="F39" s="18">
        <f>Summary!Y4</f>
        <v>6400</v>
      </c>
      <c r="G39" t="s">
        <v>252</v>
      </c>
      <c r="H39" t="s">
        <v>174</v>
      </c>
      <c r="I39" t="s">
        <v>299</v>
      </c>
      <c r="J39" t="s">
        <v>259</v>
      </c>
      <c r="K39" t="s">
        <v>300</v>
      </c>
      <c r="L39" t="s">
        <v>309</v>
      </c>
      <c r="M39" s="193" t="s">
        <v>301</v>
      </c>
    </row>
    <row r="40" spans="2:14" x14ac:dyDescent="0.3">
      <c r="B40" t="s">
        <v>45</v>
      </c>
      <c r="C40" t="s">
        <v>17</v>
      </c>
      <c r="D40" t="s">
        <v>55</v>
      </c>
      <c r="E40" t="s">
        <v>231</v>
      </c>
      <c r="F40" s="18">
        <f>Summary!Y5</f>
        <v>1800</v>
      </c>
      <c r="G40" t="s">
        <v>252</v>
      </c>
      <c r="H40" t="s">
        <v>174</v>
      </c>
      <c r="I40" t="s">
        <v>299</v>
      </c>
      <c r="J40" t="s">
        <v>259</v>
      </c>
      <c r="K40" t="s">
        <v>300</v>
      </c>
      <c r="L40" t="s">
        <v>308</v>
      </c>
      <c r="M40" s="193" t="s">
        <v>301</v>
      </c>
    </row>
    <row r="41" spans="2:14" x14ac:dyDescent="0.3">
      <c r="B41" t="s">
        <v>45</v>
      </c>
      <c r="C41" t="s">
        <v>17</v>
      </c>
      <c r="D41" t="s">
        <v>57</v>
      </c>
      <c r="E41" t="s">
        <v>231</v>
      </c>
      <c r="F41" s="18">
        <f>Summary!Y6</f>
        <v>3200</v>
      </c>
      <c r="G41" t="s">
        <v>252</v>
      </c>
      <c r="H41" t="s">
        <v>174</v>
      </c>
      <c r="I41" t="s">
        <v>299</v>
      </c>
      <c r="J41" t="s">
        <v>259</v>
      </c>
      <c r="K41" t="s">
        <v>300</v>
      </c>
      <c r="L41" t="s">
        <v>310</v>
      </c>
      <c r="M41" s="193" t="s">
        <v>301</v>
      </c>
    </row>
    <row r="42" spans="2:14" x14ac:dyDescent="0.3">
      <c r="B42" t="s">
        <v>45</v>
      </c>
      <c r="C42" t="s">
        <v>17</v>
      </c>
      <c r="D42" t="s">
        <v>59</v>
      </c>
      <c r="E42" t="s">
        <v>231</v>
      </c>
      <c r="F42" s="18">
        <f>Summary!Y7</f>
        <v>2700</v>
      </c>
      <c r="G42" t="s">
        <v>252</v>
      </c>
      <c r="H42" t="s">
        <v>174</v>
      </c>
      <c r="I42" t="s">
        <v>299</v>
      </c>
      <c r="J42" t="s">
        <v>259</v>
      </c>
      <c r="K42" t="s">
        <v>300</v>
      </c>
      <c r="L42" t="s">
        <v>311</v>
      </c>
      <c r="M42" s="193" t="s">
        <v>301</v>
      </c>
    </row>
    <row r="43" spans="2:14" x14ac:dyDescent="0.3">
      <c r="B43" t="s">
        <v>45</v>
      </c>
      <c r="C43" t="s">
        <v>17</v>
      </c>
      <c r="D43" t="s">
        <v>62</v>
      </c>
      <c r="E43" t="s">
        <v>231</v>
      </c>
      <c r="F43" s="18">
        <f>Summary!Y8</f>
        <v>800</v>
      </c>
      <c r="G43" t="s">
        <v>252</v>
      </c>
      <c r="H43" t="s">
        <v>174</v>
      </c>
      <c r="I43" t="s">
        <v>299</v>
      </c>
      <c r="J43" t="s">
        <v>259</v>
      </c>
      <c r="K43" t="s">
        <v>300</v>
      </c>
      <c r="L43" t="s">
        <v>312</v>
      </c>
      <c r="M43" s="193" t="s">
        <v>301</v>
      </c>
    </row>
    <row r="44" spans="2:14" x14ac:dyDescent="0.3">
      <c r="B44" t="s">
        <v>45</v>
      </c>
      <c r="C44" t="s">
        <v>17</v>
      </c>
      <c r="D44" t="s">
        <v>64</v>
      </c>
      <c r="E44" t="s">
        <v>231</v>
      </c>
      <c r="F44" s="18">
        <f>Summary!Y9</f>
        <v>3100</v>
      </c>
      <c r="G44" t="s">
        <v>252</v>
      </c>
      <c r="H44" t="s">
        <v>174</v>
      </c>
      <c r="I44" t="s">
        <v>299</v>
      </c>
      <c r="J44" t="s">
        <v>259</v>
      </c>
      <c r="K44" t="s">
        <v>300</v>
      </c>
      <c r="L44" t="s">
        <v>313</v>
      </c>
      <c r="M44" s="193" t="s">
        <v>301</v>
      </c>
    </row>
    <row r="45" spans="2:14" x14ac:dyDescent="0.3">
      <c r="B45" t="s">
        <v>45</v>
      </c>
      <c r="C45" t="s">
        <v>17</v>
      </c>
      <c r="D45" t="s">
        <v>66</v>
      </c>
      <c r="E45" t="s">
        <v>231</v>
      </c>
      <c r="F45" s="18">
        <f>Summary!Y10</f>
        <v>7900</v>
      </c>
      <c r="G45" t="s">
        <v>252</v>
      </c>
      <c r="H45" t="s">
        <v>174</v>
      </c>
      <c r="I45" t="s">
        <v>291</v>
      </c>
      <c r="J45" t="s">
        <v>259</v>
      </c>
      <c r="K45" t="s">
        <v>302</v>
      </c>
      <c r="L45" t="s">
        <v>303</v>
      </c>
      <c r="M45" s="193" t="s">
        <v>290</v>
      </c>
    </row>
    <row r="46" spans="2:14" x14ac:dyDescent="0.3">
      <c r="B46" t="s">
        <v>45</v>
      </c>
      <c r="C46" t="s">
        <v>17</v>
      </c>
      <c r="D46" t="s">
        <v>68</v>
      </c>
      <c r="E46" t="s">
        <v>231</v>
      </c>
      <c r="F46" s="18">
        <f>Summary!Y11</f>
        <v>900</v>
      </c>
      <c r="G46" t="s">
        <v>252</v>
      </c>
      <c r="H46" t="s">
        <v>174</v>
      </c>
      <c r="I46" t="s">
        <v>304</v>
      </c>
      <c r="J46" t="s">
        <v>259</v>
      </c>
      <c r="K46" t="s">
        <v>305</v>
      </c>
      <c r="L46" t="s">
        <v>295</v>
      </c>
      <c r="M46" s="193" t="s">
        <v>296</v>
      </c>
      <c r="N46" t="s">
        <v>306</v>
      </c>
    </row>
    <row r="47" spans="2:14" x14ac:dyDescent="0.3">
      <c r="B47" t="s">
        <v>45</v>
      </c>
      <c r="C47" t="s">
        <v>17</v>
      </c>
      <c r="D47" t="s">
        <v>70</v>
      </c>
      <c r="E47" t="s">
        <v>231</v>
      </c>
      <c r="F47" s="18">
        <f>Summary!Y12</f>
        <v>6500</v>
      </c>
      <c r="G47" t="s">
        <v>252</v>
      </c>
      <c r="H47" t="s">
        <v>174</v>
      </c>
      <c r="I47" t="s">
        <v>291</v>
      </c>
      <c r="J47" t="s">
        <v>259</v>
      </c>
      <c r="K47" t="s">
        <v>302</v>
      </c>
      <c r="L47" t="s">
        <v>303</v>
      </c>
      <c r="M47" s="193" t="s">
        <v>290</v>
      </c>
    </row>
  </sheetData>
  <hyperlinks>
    <hyperlink ref="M3" r:id="rId1" xr:uid="{C83EC047-9E4C-4169-B7A0-E524106307F5}"/>
    <hyperlink ref="M4" r:id="rId2" xr:uid="{225DE359-DD07-4D53-B12D-325D929C516A}"/>
    <hyperlink ref="M6" r:id="rId3" xr:uid="{395029E3-58E0-4504-BC77-E02416CB4F3B}"/>
    <hyperlink ref="M8" r:id="rId4" display="https://wdfw.wa.gov/search.php?q=hatchery+escapement+reportsw&amp;x=0&amp;y=0 &amp; " xr:uid="{ED0AE955-1EE2-4305-95D4-028D8FC90C7C}"/>
    <hyperlink ref="M9" r:id="rId5" xr:uid="{1C567C9B-5D2D-4A62-87EE-D5ED6CD567FA}"/>
    <hyperlink ref="M10" r:id="rId6" xr:uid="{6CB95158-AC1E-4BEE-8F9A-3A1808F43033}"/>
    <hyperlink ref="M11" r:id="rId7" xr:uid="{43ACD374-58EE-4B7D-B699-35C15310CB33}"/>
    <hyperlink ref="M12" r:id="rId8" xr:uid="{96E3B059-B246-48AC-BA43-ADFD1B736E1E}"/>
    <hyperlink ref="M13" r:id="rId9" xr:uid="{08B32076-DD72-4326-95A5-3A08B01217F2}"/>
    <hyperlink ref="M14" r:id="rId10" xr:uid="{AA94CE52-A6E1-4749-80AF-E8AF4641C3AA}"/>
    <hyperlink ref="M15" r:id="rId11" xr:uid="{B4D3D116-4521-4724-BD44-7BD9A75BCF6D}"/>
    <hyperlink ref="M16" r:id="rId12" xr:uid="{02676E02-8C09-4E81-90F5-602E8C5EE8BA}"/>
    <hyperlink ref="M17" r:id="rId13" xr:uid="{5A1E261A-FDC6-408A-98DC-3BECD76B2A78}"/>
    <hyperlink ref="M7" r:id="rId14" display="https://wdfw.wa.gov/search.php?q=hatchery+escapement+reportsw&amp;x=0&amp;y=0 &amp; " xr:uid="{DFDA492A-B7F8-4C98-820D-6CB5C746A30A}"/>
    <hyperlink ref="M19" r:id="rId15" xr:uid="{A533F2CC-44DA-4523-BFA0-CF17A0101514}"/>
    <hyperlink ref="M21" r:id="rId16" xr:uid="{FF4683E4-9B0D-4320-9864-E025C936CCEB}"/>
    <hyperlink ref="M22" r:id="rId17" xr:uid="{2C6DDE5D-4524-48A3-8F91-DDB0B1CD660D}"/>
    <hyperlink ref="M23" r:id="rId18" xr:uid="{4ECAA322-1DC0-4190-A1C8-EB71D7F2A779}"/>
    <hyperlink ref="M24" r:id="rId19" xr:uid="{DB103E03-5744-47DA-B03C-B12FF5DA3755}"/>
    <hyperlink ref="M25" r:id="rId20" xr:uid="{C0E32C8C-2527-438A-A59A-633061752B79}"/>
    <hyperlink ref="M26" r:id="rId21" xr:uid="{79FBD79A-E545-43CD-B541-7656817DD825}"/>
    <hyperlink ref="M18" r:id="rId22" xr:uid="{FEA79997-DFB6-467B-9388-F64BB188DEA2}"/>
    <hyperlink ref="M27" r:id="rId23" xr:uid="{F554233D-5D8B-4A24-8BA3-5D54B81FA382}"/>
    <hyperlink ref="M28" r:id="rId24" xr:uid="{CF810957-3289-42DF-91B5-DC3D9FC60089}"/>
    <hyperlink ref="M29" r:id="rId25" xr:uid="{318D6919-1513-44C0-8F47-FED9FB52C58E}"/>
    <hyperlink ref="M20" r:id="rId26" xr:uid="{C1E686F0-9FC2-45FA-8245-9CDB0F087DC2}"/>
    <hyperlink ref="M30" r:id="rId27" xr:uid="{E9F80DA5-1DF8-4A55-A4B2-8ED22BC06A57}"/>
    <hyperlink ref="M31" r:id="rId28" xr:uid="{98924C95-75F3-4D9F-9557-B4793E6B5B75}"/>
    <hyperlink ref="M32" r:id="rId29" xr:uid="{87ABB411-D7F6-4B57-A28E-607E3CDADEDA}"/>
    <hyperlink ref="M33" r:id="rId30" xr:uid="{CE3E47E1-5920-4E2B-BE76-64A319E0F19E}"/>
    <hyperlink ref="M34" r:id="rId31" xr:uid="{CF14D2C3-68D9-4297-BE4B-DFA3C18BEAE1}"/>
    <hyperlink ref="M35" r:id="rId32" xr:uid="{F8666AB8-35F1-4533-9C97-AAF6FFE34AD4}"/>
    <hyperlink ref="M36" r:id="rId33" xr:uid="{C3380E48-1DC4-4464-80B3-1A9CEF60E209}"/>
    <hyperlink ref="M37" r:id="rId34" xr:uid="{693E25F0-8698-4D70-866B-810F31B8EEF0}"/>
    <hyperlink ref="M38" r:id="rId35" xr:uid="{6306BE50-9216-4D14-999A-85E2D75143C2}"/>
    <hyperlink ref="M39" r:id="rId36" xr:uid="{8E5C74DE-533F-42C7-8B15-CB9AD9574494}"/>
    <hyperlink ref="M40" r:id="rId37" xr:uid="{F4D4FC19-D27B-4E87-839B-9DADDDE2FC35}"/>
    <hyperlink ref="M41" r:id="rId38" xr:uid="{1509691D-D162-4DF4-96B5-F19A1416FDAC}"/>
    <hyperlink ref="M42" r:id="rId39" xr:uid="{1B7B84E5-9E2B-4692-8BF3-062D3F0DB79D}"/>
    <hyperlink ref="M43" r:id="rId40" xr:uid="{90DAB8B5-076F-4B9F-B13F-9624CEE33B8E}"/>
    <hyperlink ref="M44" r:id="rId41" xr:uid="{71863E05-BE84-49B2-88C6-212743A37B4C}"/>
    <hyperlink ref="M45" r:id="rId42" xr:uid="{4990C6CE-F076-4C8A-A366-BB761D12E340}"/>
    <hyperlink ref="M46" r:id="rId43" xr:uid="{B2561666-2A06-4E6E-B712-0D7D75BB991E}"/>
    <hyperlink ref="M47" r:id="rId44" xr:uid="{3AA3E79C-5B8B-40F3-9970-0E03F1999305}"/>
  </hyperlinks>
  <pageMargins left="0.7" right="0.7" top="0.75" bottom="0.75" header="0.3" footer="0.3"/>
  <pageSetup orientation="portrait" r:id="rId45"/>
  <legacyDrawing r:id="rId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Summary</vt:lpstr>
      <vt:lpstr>Spawners</vt:lpstr>
      <vt:lpstr>Hatchery</vt:lpstr>
      <vt:lpstr>Fishery</vt:lpstr>
      <vt:lpstr>Run</vt:lpstr>
      <vt:lpstr>Conv</vt:lpstr>
      <vt:lpstr>Background</vt:lpstr>
      <vt:lpstr>EDT</vt:lpstr>
      <vt:lpstr>Documentation</vt:lpstr>
      <vt:lpstr>EDT!_Ref67714019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Beamesderfer</dc:creator>
  <cp:lastModifiedBy>xxx</cp:lastModifiedBy>
  <dcterms:created xsi:type="dcterms:W3CDTF">2018-03-20T01:08:30Z</dcterms:created>
  <dcterms:modified xsi:type="dcterms:W3CDTF">2021-04-05T23:24:41Z</dcterms:modified>
</cp:coreProperties>
</file>