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C:\Users\beame\Documents\NMFS Columbia Basin\10. Quantitative goals\LCR coho\"/>
    </mc:Choice>
  </mc:AlternateContent>
  <xr:revisionPtr revIDLastSave="0" documentId="13_ncr:1_{E0E079F3-4DB9-401A-8A3F-93626929D39B}" xr6:coauthVersionLast="47" xr6:coauthVersionMax="47" xr10:uidLastSave="{00000000-0000-0000-0000-000000000000}"/>
  <bookViews>
    <workbookView xWindow="-120" yWindow="-120" windowWidth="38640" windowHeight="21240" tabRatio="868" activeTab="2" xr2:uid="{00000000-000D-0000-FFFF-FFFF00000000}"/>
  </bookViews>
  <sheets>
    <sheet name="Summary" sheetId="6" r:id="rId1"/>
    <sheet name="Spnrs" sheetId="1" r:id="rId2"/>
    <sheet name="Fishery" sheetId="15" r:id="rId3"/>
    <sheet name="Hatchery" sheetId="4" r:id="rId4"/>
    <sheet name="Data dictionary" sheetId="5" r:id="rId5"/>
    <sheet name="Background" sheetId="8" r:id="rId6"/>
    <sheet name="EDT" sheetId="9" r:id="rId7"/>
    <sheet name="Run" sheetId="10" r:id="rId8"/>
    <sheet name=" Conv - LCR" sheetId="18" r:id="rId9"/>
    <sheet name="Conv - Tot" sheetId="19" r:id="rId10"/>
    <sheet name="OPI - Tab 5" sheetId="17" r:id="rId11"/>
    <sheet name="Documentation" sheetId="11" r:id="rId12"/>
  </sheets>
  <definedNames>
    <definedName name="_xlnm._FilterDatabase" localSheetId="6" hidden="1">EDT!$A$5:$AJ$90</definedName>
    <definedName name="_Ref67714019" localSheetId="9">#REF!</definedName>
    <definedName name="_Ref67714019" localSheetId="6">EDT!$A$1</definedName>
    <definedName name="_Ref67714019" localSheetId="2">#REF!</definedName>
    <definedName name="_Ref67714019">#REF!</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W12" i="15" l="1"/>
  <c r="AY284" i="1" l="1"/>
  <c r="AX284" i="1"/>
  <c r="AY283" i="1"/>
  <c r="AZ283" i="1" s="1"/>
  <c r="AX283" i="1"/>
  <c r="AY282" i="1"/>
  <c r="AX282" i="1"/>
  <c r="AY281" i="1"/>
  <c r="AX281" i="1"/>
  <c r="AY280" i="1"/>
  <c r="AZ280" i="1" s="1"/>
  <c r="AX280" i="1"/>
  <c r="AZ279" i="1"/>
  <c r="AY279" i="1"/>
  <c r="AX279" i="1"/>
  <c r="AY278" i="1"/>
  <c r="AX278" i="1"/>
  <c r="AY277" i="1"/>
  <c r="AX277" i="1"/>
  <c r="AZ277" i="1" s="1"/>
  <c r="AY276" i="1"/>
  <c r="AZ276" i="1" s="1"/>
  <c r="AX276" i="1"/>
  <c r="AU260" i="1"/>
  <c r="AU259" i="1"/>
  <c r="AU258" i="1"/>
  <c r="AU257" i="1"/>
  <c r="AU256" i="1"/>
  <c r="AU255" i="1"/>
  <c r="AU254" i="1"/>
  <c r="AU253" i="1"/>
  <c r="AU252" i="1"/>
  <c r="AU251" i="1"/>
  <c r="AU250" i="1"/>
  <c r="AV260" i="1"/>
  <c r="AV259" i="1"/>
  <c r="AW259" i="1" s="1"/>
  <c r="AV258" i="1"/>
  <c r="AV257" i="1"/>
  <c r="AV256" i="1"/>
  <c r="AW256" i="1" s="1"/>
  <c r="AV255" i="1"/>
  <c r="AW255" i="1" s="1"/>
  <c r="AV254" i="1"/>
  <c r="AW254" i="1" s="1"/>
  <c r="AV253" i="1"/>
  <c r="AW253" i="1" s="1"/>
  <c r="AW252" i="1"/>
  <c r="AV252" i="1"/>
  <c r="AV251" i="1"/>
  <c r="AW251" i="1" s="1"/>
  <c r="AV250" i="1"/>
  <c r="AW250" i="1" s="1"/>
  <c r="AW134" i="1"/>
  <c r="AX142" i="1"/>
  <c r="AX138" i="1"/>
  <c r="AX134" i="1"/>
  <c r="AW142" i="1"/>
  <c r="AV142" i="1"/>
  <c r="AW141" i="1"/>
  <c r="AX141" i="1" s="1"/>
  <c r="AV141" i="1"/>
  <c r="AW140" i="1"/>
  <c r="AV140" i="1"/>
  <c r="AX140" i="1" s="1"/>
  <c r="AW139" i="1"/>
  <c r="AX139" i="1" s="1"/>
  <c r="AV139" i="1"/>
  <c r="AW138" i="1"/>
  <c r="AV138" i="1"/>
  <c r="AW137" i="1"/>
  <c r="AX137" i="1" s="1"/>
  <c r="AV137" i="1"/>
  <c r="AW136" i="1"/>
  <c r="AV136" i="1"/>
  <c r="AX136" i="1" s="1"/>
  <c r="AW135" i="1"/>
  <c r="AX135" i="1" s="1"/>
  <c r="AV135" i="1"/>
  <c r="AV134" i="1"/>
  <c r="AR130" i="1"/>
  <c r="AR129" i="1"/>
  <c r="AR128" i="1"/>
  <c r="AR127" i="1"/>
  <c r="AR126" i="1"/>
  <c r="AR125" i="1"/>
  <c r="AR124" i="1"/>
  <c r="AR123" i="1"/>
  <c r="AR122" i="1"/>
  <c r="AW130" i="1"/>
  <c r="AW129" i="1"/>
  <c r="AW128" i="1"/>
  <c r="AW127" i="1"/>
  <c r="AW126" i="1"/>
  <c r="AW125" i="1"/>
  <c r="AW124" i="1"/>
  <c r="AW123" i="1"/>
  <c r="AW122" i="1"/>
  <c r="AG20" i="6"/>
  <c r="AG14" i="6"/>
  <c r="AG13" i="6"/>
  <c r="AG8" i="6"/>
  <c r="AG5" i="6"/>
  <c r="AW258" i="1" l="1"/>
  <c r="AZ278" i="1"/>
  <c r="AZ282" i="1"/>
  <c r="AW260" i="1"/>
  <c r="AZ281" i="1"/>
  <c r="AZ284" i="1"/>
  <c r="AW257" i="1"/>
  <c r="X43" i="6"/>
  <c r="W43" i="6"/>
  <c r="BC22" i="10"/>
  <c r="L13" i="19" l="1"/>
  <c r="L18" i="19" s="1"/>
  <c r="E9" i="19"/>
  <c r="E8" i="19"/>
  <c r="E7" i="19"/>
  <c r="L16" i="19" l="1"/>
  <c r="L17" i="19"/>
  <c r="BA22" i="10" l="1"/>
  <c r="I4" i="19" s="1"/>
  <c r="I9" i="19" l="1"/>
  <c r="I7" i="19"/>
  <c r="I8" i="19"/>
  <c r="I4" i="18"/>
  <c r="AX22" i="10"/>
  <c r="U38" i="6" s="1"/>
  <c r="G9" i="19" l="1"/>
  <c r="Q9" i="19"/>
  <c r="FJ76" i="10" l="1"/>
  <c r="FJ75" i="10"/>
  <c r="FJ74" i="10"/>
  <c r="FJ73" i="10"/>
  <c r="FJ72" i="10"/>
  <c r="FJ71" i="10"/>
  <c r="FJ70" i="10"/>
  <c r="FJ69" i="10"/>
  <c r="FJ68" i="10"/>
  <c r="FJ67" i="10"/>
  <c r="FJ66" i="10"/>
  <c r="FJ65" i="10"/>
  <c r="FJ64" i="10"/>
  <c r="FJ63" i="10"/>
  <c r="FJ62" i="10"/>
  <c r="FJ61" i="10"/>
  <c r="FJ60" i="10"/>
  <c r="FJ59" i="10"/>
  <c r="FJ58" i="10"/>
  <c r="FJ57" i="10"/>
  <c r="FJ56" i="10"/>
  <c r="FJ55" i="10"/>
  <c r="FJ54" i="10"/>
  <c r="FJ53" i="10"/>
  <c r="FJ52" i="10"/>
  <c r="FJ51" i="10"/>
  <c r="FJ50" i="10"/>
  <c r="FJ49" i="10"/>
  <c r="FJ48" i="10"/>
  <c r="FJ47" i="10"/>
  <c r="FJ46" i="10"/>
  <c r="FJ45" i="10"/>
  <c r="FW41" i="10"/>
  <c r="FV41" i="10"/>
  <c r="FX41" i="10" s="1"/>
  <c r="FR41" i="10"/>
  <c r="FQ41" i="10"/>
  <c r="FP41" i="10"/>
  <c r="FL41" i="10"/>
  <c r="FK41" i="10"/>
  <c r="FJ41" i="10"/>
  <c r="BN93" i="10" s="1"/>
  <c r="FW40" i="10"/>
  <c r="FV40" i="10"/>
  <c r="FX40" i="10" s="1"/>
  <c r="FR40" i="10"/>
  <c r="FQ40" i="10"/>
  <c r="FP40" i="10"/>
  <c r="FL40" i="10"/>
  <c r="FK40" i="10"/>
  <c r="FJ40" i="10"/>
  <c r="BN92" i="10" s="1"/>
  <c r="FW39" i="10"/>
  <c r="FV39" i="10"/>
  <c r="FR39" i="10"/>
  <c r="FQ39" i="10"/>
  <c r="FP39" i="10"/>
  <c r="FL39" i="10"/>
  <c r="FK39" i="10"/>
  <c r="FJ39" i="10"/>
  <c r="BN91" i="10" s="1"/>
  <c r="FW38" i="10"/>
  <c r="FV38" i="10"/>
  <c r="FX38" i="10" s="1"/>
  <c r="FR38" i="10"/>
  <c r="FQ38" i="10"/>
  <c r="FP38" i="10"/>
  <c r="FL38" i="10"/>
  <c r="FK38" i="10"/>
  <c r="FJ38" i="10"/>
  <c r="BN90" i="10" s="1"/>
  <c r="FW37" i="10"/>
  <c r="FV37" i="10"/>
  <c r="FX37" i="10" s="1"/>
  <c r="FR37" i="10"/>
  <c r="FQ37" i="10"/>
  <c r="FP37" i="10"/>
  <c r="FL37" i="10"/>
  <c r="FK37" i="10"/>
  <c r="FJ37" i="10"/>
  <c r="BN89" i="10" s="1"/>
  <c r="FW36" i="10"/>
  <c r="FV36" i="10"/>
  <c r="FR36" i="10"/>
  <c r="FQ36" i="10"/>
  <c r="FP36" i="10"/>
  <c r="FL36" i="10"/>
  <c r="FK36" i="10"/>
  <c r="FJ36" i="10"/>
  <c r="BN88" i="10" s="1"/>
  <c r="FW35" i="10"/>
  <c r="FV35" i="10"/>
  <c r="FR35" i="10"/>
  <c r="FQ35" i="10"/>
  <c r="FP35" i="10"/>
  <c r="FL35" i="10"/>
  <c r="FK35" i="10"/>
  <c r="FJ35" i="10"/>
  <c r="BN87" i="10" s="1"/>
  <c r="FW34" i="10"/>
  <c r="FV34" i="10"/>
  <c r="FR34" i="10"/>
  <c r="FQ34" i="10"/>
  <c r="FP34" i="10"/>
  <c r="FL34" i="10"/>
  <c r="FK34" i="10"/>
  <c r="FJ34" i="10"/>
  <c r="BN86" i="10" s="1"/>
  <c r="FW33" i="10"/>
  <c r="FV33" i="10"/>
  <c r="FR33" i="10"/>
  <c r="FQ33" i="10"/>
  <c r="FP33" i="10"/>
  <c r="FL33" i="10"/>
  <c r="FK33" i="10"/>
  <c r="FJ33" i="10"/>
  <c r="BN85" i="10" s="1"/>
  <c r="FW32" i="10"/>
  <c r="FW43" i="10" s="1"/>
  <c r="FV32" i="10"/>
  <c r="FV43" i="10" s="1"/>
  <c r="FR32" i="10"/>
  <c r="FQ32" i="10"/>
  <c r="FP32" i="10"/>
  <c r="FL32" i="10"/>
  <c r="FK32" i="10"/>
  <c r="FJ32" i="10"/>
  <c r="BN84" i="10" s="1"/>
  <c r="FW31" i="10"/>
  <c r="FV31" i="10"/>
  <c r="FR31" i="10"/>
  <c r="FQ31" i="10"/>
  <c r="FP31" i="10"/>
  <c r="FL31" i="10"/>
  <c r="FK31" i="10"/>
  <c r="FJ31" i="10"/>
  <c r="FW30" i="10"/>
  <c r="FV30" i="10"/>
  <c r="FR30" i="10"/>
  <c r="FQ30" i="10"/>
  <c r="FP30" i="10"/>
  <c r="FL30" i="10"/>
  <c r="FK30" i="10"/>
  <c r="FJ30" i="10"/>
  <c r="FW29" i="10"/>
  <c r="FV29" i="10"/>
  <c r="FR29" i="10"/>
  <c r="FQ29" i="10"/>
  <c r="FP29" i="10"/>
  <c r="FL29" i="10"/>
  <c r="FK29" i="10"/>
  <c r="FJ29" i="10"/>
  <c r="FW28" i="10"/>
  <c r="FV28" i="10"/>
  <c r="FR28" i="10"/>
  <c r="FQ28" i="10"/>
  <c r="FP28" i="10"/>
  <c r="FL28" i="10"/>
  <c r="FK28" i="10"/>
  <c r="FJ28" i="10"/>
  <c r="FW27" i="10"/>
  <c r="FV27" i="10"/>
  <c r="FR27" i="10"/>
  <c r="FQ27" i="10"/>
  <c r="FP27" i="10"/>
  <c r="FL27" i="10"/>
  <c r="FK27" i="10"/>
  <c r="FJ27" i="10"/>
  <c r="FW26" i="10"/>
  <c r="FV26" i="10"/>
  <c r="FR26" i="10"/>
  <c r="FQ26" i="10"/>
  <c r="FP26" i="10"/>
  <c r="FL26" i="10"/>
  <c r="FK26" i="10"/>
  <c r="FJ26" i="10"/>
  <c r="FW25" i="10"/>
  <c r="FV25" i="10"/>
  <c r="FX25" i="10" s="1"/>
  <c r="FR25" i="10"/>
  <c r="FQ25" i="10"/>
  <c r="FP25" i="10"/>
  <c r="FL25" i="10"/>
  <c r="FK25" i="10"/>
  <c r="FJ25" i="10"/>
  <c r="FW24" i="10"/>
  <c r="FV24" i="10"/>
  <c r="FX24" i="10" s="1"/>
  <c r="FR24" i="10"/>
  <c r="FQ24" i="10"/>
  <c r="FP24" i="10"/>
  <c r="FL24" i="10"/>
  <c r="FK24" i="10"/>
  <c r="FJ24" i="10"/>
  <c r="FW23" i="10"/>
  <c r="FV23" i="10"/>
  <c r="FR23" i="10"/>
  <c r="FQ23" i="10"/>
  <c r="FP23" i="10"/>
  <c r="FL23" i="10"/>
  <c r="FK23" i="10"/>
  <c r="FJ23" i="10"/>
  <c r="FW22" i="10"/>
  <c r="FV22" i="10"/>
  <c r="FR22" i="10"/>
  <c r="FQ22" i="10"/>
  <c r="FP22" i="10"/>
  <c r="FL22" i="10"/>
  <c r="FK22" i="10"/>
  <c r="FJ22" i="10"/>
  <c r="FW21" i="10"/>
  <c r="FV21" i="10"/>
  <c r="FR21" i="10"/>
  <c r="FQ21" i="10"/>
  <c r="FP21" i="10"/>
  <c r="FL21" i="10"/>
  <c r="FK21" i="10"/>
  <c r="FJ21" i="10"/>
  <c r="FW20" i="10"/>
  <c r="FV20" i="10"/>
  <c r="FR20" i="10"/>
  <c r="FQ20" i="10"/>
  <c r="FP20" i="10"/>
  <c r="FL20" i="10"/>
  <c r="FK20" i="10"/>
  <c r="FJ20" i="10"/>
  <c r="FW19" i="10"/>
  <c r="FV19" i="10"/>
  <c r="FR19" i="10"/>
  <c r="FQ19" i="10"/>
  <c r="FP19" i="10"/>
  <c r="FL19" i="10"/>
  <c r="FK19" i="10"/>
  <c r="FJ19" i="10"/>
  <c r="FW18" i="10"/>
  <c r="FV18" i="10"/>
  <c r="FR18" i="10"/>
  <c r="FQ18" i="10"/>
  <c r="FP18" i="10"/>
  <c r="FL18" i="10"/>
  <c r="FK18" i="10"/>
  <c r="FJ18" i="10"/>
  <c r="FW17" i="10"/>
  <c r="FV17" i="10"/>
  <c r="FR17" i="10"/>
  <c r="FQ17" i="10"/>
  <c r="FP17" i="10"/>
  <c r="FL17" i="10"/>
  <c r="FK17" i="10"/>
  <c r="FJ17" i="10"/>
  <c r="FW16" i="10"/>
  <c r="FV16" i="10"/>
  <c r="FR16" i="10"/>
  <c r="FQ16" i="10"/>
  <c r="FP16" i="10"/>
  <c r="FL16" i="10"/>
  <c r="FK16" i="10"/>
  <c r="FJ16" i="10"/>
  <c r="FW15" i="10"/>
  <c r="FV15" i="10"/>
  <c r="FR15" i="10"/>
  <c r="FQ15" i="10"/>
  <c r="FP15" i="10"/>
  <c r="FL15" i="10"/>
  <c r="FK15" i="10"/>
  <c r="FJ15" i="10"/>
  <c r="FW14" i="10"/>
  <c r="FV14" i="10"/>
  <c r="FR14" i="10"/>
  <c r="FQ14" i="10"/>
  <c r="FP14" i="10"/>
  <c r="FL14" i="10"/>
  <c r="FK14" i="10"/>
  <c r="FJ14" i="10"/>
  <c r="FW13" i="10"/>
  <c r="FV13" i="10"/>
  <c r="FR13" i="10"/>
  <c r="FQ13" i="10"/>
  <c r="FP13" i="10"/>
  <c r="FL13" i="10"/>
  <c r="FK13" i="10"/>
  <c r="FJ13" i="10"/>
  <c r="FW12" i="10"/>
  <c r="FV12" i="10"/>
  <c r="FR12" i="10"/>
  <c r="FQ12" i="10"/>
  <c r="FP12" i="10"/>
  <c r="FL12" i="10"/>
  <c r="FK12" i="10"/>
  <c r="FJ12" i="10"/>
  <c r="FW11" i="10"/>
  <c r="FV11" i="10"/>
  <c r="FR11" i="10"/>
  <c r="FQ11" i="10"/>
  <c r="FP11" i="10"/>
  <c r="FL11" i="10"/>
  <c r="FK11" i="10"/>
  <c r="FJ11" i="10"/>
  <c r="FW10" i="10"/>
  <c r="FV10" i="10"/>
  <c r="FR10" i="10"/>
  <c r="FQ10" i="10"/>
  <c r="FP10" i="10"/>
  <c r="FL10" i="10"/>
  <c r="FK10" i="10"/>
  <c r="FJ10" i="10"/>
  <c r="BN95" i="10" l="1"/>
  <c r="FN15" i="10"/>
  <c r="GD15" i="10" s="1"/>
  <c r="FN16" i="10"/>
  <c r="GD16" i="10" s="1"/>
  <c r="FN23" i="10"/>
  <c r="GD23" i="10" s="1"/>
  <c r="FN24" i="10"/>
  <c r="FN30" i="10"/>
  <c r="GD30" i="10" s="1"/>
  <c r="FN31" i="10"/>
  <c r="GD31" i="10" s="1"/>
  <c r="FN32" i="10"/>
  <c r="BR84" i="10" s="1"/>
  <c r="FN36" i="10"/>
  <c r="BR88" i="10" s="1"/>
  <c r="FN41" i="10"/>
  <c r="BR93" i="10" s="1"/>
  <c r="FZ35" i="10"/>
  <c r="GA12" i="10"/>
  <c r="GB11" i="10"/>
  <c r="FZ10" i="10"/>
  <c r="GH30" i="10"/>
  <c r="FT38" i="10"/>
  <c r="GJ38" i="10" s="1"/>
  <c r="GG21" i="10"/>
  <c r="FS12" i="10"/>
  <c r="GI12" i="10" s="1"/>
  <c r="FS19" i="10"/>
  <c r="GI19" i="10" s="1"/>
  <c r="FT19" i="10"/>
  <c r="GJ19" i="10" s="1"/>
  <c r="BH20" i="10" s="1"/>
  <c r="GG13" i="10"/>
  <c r="FM13" i="10"/>
  <c r="GC13" i="10" s="1"/>
  <c r="FM22" i="10"/>
  <c r="GC22" i="10" s="1"/>
  <c r="FZ34" i="10"/>
  <c r="FZ38" i="10"/>
  <c r="FZ41" i="10"/>
  <c r="GD41" i="10"/>
  <c r="GF26" i="10"/>
  <c r="GF27" i="10"/>
  <c r="GF29" i="10"/>
  <c r="GB40" i="10"/>
  <c r="GB41" i="10"/>
  <c r="GG10" i="10"/>
  <c r="GG26" i="10"/>
  <c r="GG27" i="10"/>
  <c r="FS34" i="10"/>
  <c r="GI34" i="10" s="1"/>
  <c r="FS37" i="10"/>
  <c r="GI37" i="10" s="1"/>
  <c r="GF38" i="10"/>
  <c r="FX13" i="10"/>
  <c r="FX14" i="10"/>
  <c r="FX15" i="10"/>
  <c r="FX16" i="10"/>
  <c r="GB17" i="10"/>
  <c r="FX18" i="10"/>
  <c r="GH26" i="10"/>
  <c r="FT34" i="10"/>
  <c r="GJ34" i="10" s="1"/>
  <c r="FT41" i="10"/>
  <c r="GJ41" i="10" s="1"/>
  <c r="GA13" i="10"/>
  <c r="FM14" i="10"/>
  <c r="GC14" i="10" s="1"/>
  <c r="FZ19" i="10"/>
  <c r="GH22" i="10"/>
  <c r="FZ20" i="10"/>
  <c r="FZ27" i="10"/>
  <c r="FT11" i="10"/>
  <c r="GJ11" i="10" s="1"/>
  <c r="FN13" i="10"/>
  <c r="GD13" i="10" s="1"/>
  <c r="GA27" i="10"/>
  <c r="GA28" i="10"/>
  <c r="GA29" i="10"/>
  <c r="GG33" i="10"/>
  <c r="FT37" i="10"/>
  <c r="GJ37" i="10" s="1"/>
  <c r="FZ13" i="10"/>
  <c r="GF15" i="10"/>
  <c r="GF16" i="10"/>
  <c r="GF17" i="10"/>
  <c r="GB20" i="10"/>
  <c r="GB27" i="10"/>
  <c r="GB28" i="10"/>
  <c r="FZ33" i="10"/>
  <c r="FX34" i="10"/>
  <c r="GG14" i="10"/>
  <c r="GG15" i="10"/>
  <c r="FS28" i="10"/>
  <c r="GI28" i="10" s="1"/>
  <c r="GA33" i="10"/>
  <c r="GH15" i="10"/>
  <c r="FT29" i="10"/>
  <c r="GJ29" i="10" s="1"/>
  <c r="GF30" i="10"/>
  <c r="GB32" i="10"/>
  <c r="GB33" i="10"/>
  <c r="GH21" i="10"/>
  <c r="FS11" i="10"/>
  <c r="GI11" i="10" s="1"/>
  <c r="GB12" i="10"/>
  <c r="GB13" i="10"/>
  <c r="FX22" i="10"/>
  <c r="GH24" i="10"/>
  <c r="GH25" i="10"/>
  <c r="FX33" i="10"/>
  <c r="GH35" i="10"/>
  <c r="FN39" i="10"/>
  <c r="BR91" i="10" s="1"/>
  <c r="FS26" i="10"/>
  <c r="GI26" i="10" s="1"/>
  <c r="FM40" i="10"/>
  <c r="FX10" i="10"/>
  <c r="GH12" i="10"/>
  <c r="GF13" i="10"/>
  <c r="GB15" i="10"/>
  <c r="GB16" i="10"/>
  <c r="GB19" i="10"/>
  <c r="GA20" i="10"/>
  <c r="GA21" i="10"/>
  <c r="FZ25" i="10"/>
  <c r="FT26" i="10"/>
  <c r="GJ26" i="10" s="1"/>
  <c r="GH28" i="10"/>
  <c r="GH29" i="10"/>
  <c r="GG30" i="10"/>
  <c r="GF33" i="10"/>
  <c r="FZ36" i="10"/>
  <c r="FZ37" i="10"/>
  <c r="GG37" i="10"/>
  <c r="FM21" i="10"/>
  <c r="GC21" i="10" s="1"/>
  <c r="GA25" i="10"/>
  <c r="FX28" i="10"/>
  <c r="FX29" i="10"/>
  <c r="GG32" i="10"/>
  <c r="GF34" i="10"/>
  <c r="GA37" i="10"/>
  <c r="GH39" i="10"/>
  <c r="GG40" i="10"/>
  <c r="FZ11" i="10"/>
  <c r="GH13" i="10"/>
  <c r="GG17" i="10"/>
  <c r="GG18" i="10"/>
  <c r="FS20" i="10"/>
  <c r="GI20" i="10" s="1"/>
  <c r="GF22" i="10"/>
  <c r="GB24" i="10"/>
  <c r="GB25" i="10"/>
  <c r="GG28" i="10"/>
  <c r="GG29" i="10"/>
  <c r="FX30" i="10"/>
  <c r="GH32" i="10"/>
  <c r="GH33" i="10"/>
  <c r="GG34" i="10"/>
  <c r="GB36" i="10"/>
  <c r="GB37" i="10"/>
  <c r="GA38" i="10"/>
  <c r="GG12" i="10"/>
  <c r="FZ12" i="10"/>
  <c r="FT14" i="10"/>
  <c r="GJ14" i="10" s="1"/>
  <c r="GH17" i="10"/>
  <c r="GH18" i="10"/>
  <c r="GG20" i="10"/>
  <c r="FT21" i="10"/>
  <c r="GG22" i="10"/>
  <c r="GF24" i="10"/>
  <c r="GF25" i="10"/>
  <c r="FM30" i="10"/>
  <c r="GC30" i="10" s="1"/>
  <c r="FX32" i="10"/>
  <c r="GH34" i="10"/>
  <c r="FS35" i="10"/>
  <c r="GI35" i="10" s="1"/>
  <c r="GB38" i="10"/>
  <c r="GH38" i="10"/>
  <c r="GH20" i="10"/>
  <c r="GG24" i="10"/>
  <c r="GG35" i="10"/>
  <c r="FT36" i="10"/>
  <c r="GJ36" i="10" s="1"/>
  <c r="GG41" i="10"/>
  <c r="FZ18" i="10"/>
  <c r="GB10" i="10"/>
  <c r="GA16" i="10"/>
  <c r="FT27" i="10"/>
  <c r="GJ27" i="10" s="1"/>
  <c r="FM36" i="10"/>
  <c r="GF10" i="10"/>
  <c r="GA11" i="10"/>
  <c r="GF11" i="10"/>
  <c r="FX12" i="10"/>
  <c r="FT13" i="10"/>
  <c r="GJ13" i="10" s="1"/>
  <c r="GA14" i="10"/>
  <c r="FS17" i="10"/>
  <c r="GI17" i="10" s="1"/>
  <c r="GF18" i="10"/>
  <c r="GA19" i="10"/>
  <c r="GF19" i="10"/>
  <c r="BE20" i="10" s="1"/>
  <c r="FX20" i="10"/>
  <c r="GF21" i="10"/>
  <c r="FT22" i="10"/>
  <c r="GJ22" i="10" s="1"/>
  <c r="GB23" i="10"/>
  <c r="FZ24" i="10"/>
  <c r="GG25" i="10"/>
  <c r="GA26" i="10"/>
  <c r="FX26" i="10"/>
  <c r="FX27" i="10"/>
  <c r="FT28" i="10"/>
  <c r="GJ28" i="10" s="1"/>
  <c r="FN29" i="10"/>
  <c r="GD29" i="10" s="1"/>
  <c r="FT30" i="10"/>
  <c r="GJ30" i="10" s="1"/>
  <c r="GB31" i="10"/>
  <c r="FZ32" i="10"/>
  <c r="GF32" i="10"/>
  <c r="FT33" i="10"/>
  <c r="GJ33" i="10" s="1"/>
  <c r="GA34" i="10"/>
  <c r="FT35" i="10"/>
  <c r="GJ35" i="10" s="1"/>
  <c r="FM37" i="10"/>
  <c r="GG38" i="10"/>
  <c r="FM39" i="10"/>
  <c r="FZ39" i="10"/>
  <c r="GH40" i="10"/>
  <c r="GB21" i="10"/>
  <c r="FM16" i="10"/>
  <c r="GC16" i="10" s="1"/>
  <c r="GF20" i="10"/>
  <c r="GJ21" i="10"/>
  <c r="GF23" i="10"/>
  <c r="GD24" i="10"/>
  <c r="GA24" i="10"/>
  <c r="GB26" i="10"/>
  <c r="GF31" i="10"/>
  <c r="GA32" i="10"/>
  <c r="GB34" i="10"/>
  <c r="FN37" i="10"/>
  <c r="BR89" i="10" s="1"/>
  <c r="GA39" i="10"/>
  <c r="GF41" i="10"/>
  <c r="FZ26" i="10"/>
  <c r="FM29" i="10"/>
  <c r="GC29" i="10" s="1"/>
  <c r="GB14" i="10"/>
  <c r="FZ17" i="10"/>
  <c r="FS13" i="10"/>
  <c r="GI13" i="10" s="1"/>
  <c r="FN14" i="10"/>
  <c r="GD14" i="10" s="1"/>
  <c r="FZ14" i="10"/>
  <c r="GA17" i="10"/>
  <c r="GA22" i="10"/>
  <c r="GG23" i="10"/>
  <c r="FS25" i="10"/>
  <c r="GI25" i="10" s="1"/>
  <c r="GA30" i="10"/>
  <c r="GG31" i="10"/>
  <c r="FS33" i="10"/>
  <c r="GI33" i="10" s="1"/>
  <c r="FM35" i="10"/>
  <c r="GH36" i="10"/>
  <c r="GF37" i="10"/>
  <c r="GH37" i="10"/>
  <c r="GB39" i="10"/>
  <c r="FZ40" i="10"/>
  <c r="GF40" i="10"/>
  <c r="GA23" i="10"/>
  <c r="GA31" i="10"/>
  <c r="GH10" i="10"/>
  <c r="FS10" i="10"/>
  <c r="GI10" i="10" s="1"/>
  <c r="GG11" i="10"/>
  <c r="GF14" i="10"/>
  <c r="GH14" i="10"/>
  <c r="GG16" i="10"/>
  <c r="FX17" i="10"/>
  <c r="FS18" i="10"/>
  <c r="GI18" i="10" s="1"/>
  <c r="GG19" i="10"/>
  <c r="FZ21" i="10"/>
  <c r="FS21" i="10"/>
  <c r="GI21" i="10" s="1"/>
  <c r="GB22" i="10"/>
  <c r="GH23" i="10"/>
  <c r="FM24" i="10"/>
  <c r="GC24" i="10" s="1"/>
  <c r="FZ28" i="10"/>
  <c r="GB30" i="10"/>
  <c r="GH31" i="10"/>
  <c r="FM32" i="10"/>
  <c r="GA35" i="10"/>
  <c r="GF35" i="10"/>
  <c r="GA36" i="10"/>
  <c r="FM38" i="10"/>
  <c r="GF39" i="10"/>
  <c r="FN40" i="10"/>
  <c r="BR92" i="10" s="1"/>
  <c r="GA40" i="10"/>
  <c r="GH41" i="10"/>
  <c r="GB18" i="10"/>
  <c r="FN21" i="10"/>
  <c r="GD21" i="10" s="1"/>
  <c r="FT10" i="10"/>
  <c r="GJ10" i="10" s="1"/>
  <c r="GH11" i="10"/>
  <c r="FM12" i="10"/>
  <c r="GC12" i="10" s="1"/>
  <c r="FM15" i="10"/>
  <c r="GC15" i="10" s="1"/>
  <c r="FZ15" i="10"/>
  <c r="GH16" i="10"/>
  <c r="FN17" i="10"/>
  <c r="GD17" i="10" s="1"/>
  <c r="FT18" i="10"/>
  <c r="GJ18" i="10" s="1"/>
  <c r="GH19" i="10"/>
  <c r="FM20" i="10"/>
  <c r="GC20" i="10" s="1"/>
  <c r="FN22" i="10"/>
  <c r="GD22" i="10" s="1"/>
  <c r="FZ22" i="10"/>
  <c r="FX23" i="10"/>
  <c r="FS27" i="10"/>
  <c r="GI27" i="10" s="1"/>
  <c r="FZ29" i="10"/>
  <c r="FS29" i="10"/>
  <c r="GI29" i="10" s="1"/>
  <c r="FZ30" i="10"/>
  <c r="FX31" i="10"/>
  <c r="FP43" i="10"/>
  <c r="GB35" i="10"/>
  <c r="GG36" i="10"/>
  <c r="GG39" i="10"/>
  <c r="FS41" i="10"/>
  <c r="GI41" i="10" s="1"/>
  <c r="GA15" i="10"/>
  <c r="GA10" i="10"/>
  <c r="FX11" i="10"/>
  <c r="FT12" i="10"/>
  <c r="GJ12" i="10" s="1"/>
  <c r="BH13" i="10" s="1"/>
  <c r="FZ16" i="10"/>
  <c r="GA18" i="10"/>
  <c r="FX19" i="10"/>
  <c r="FT20" i="10"/>
  <c r="GJ20" i="10" s="1"/>
  <c r="FX21" i="10"/>
  <c r="FM23" i="10"/>
  <c r="GC23" i="10" s="1"/>
  <c r="FZ23" i="10"/>
  <c r="FN25" i="10"/>
  <c r="GD25" i="10" s="1"/>
  <c r="GH27" i="10"/>
  <c r="FM28" i="10"/>
  <c r="GC28" i="10" s="1"/>
  <c r="GB29" i="10"/>
  <c r="FM31" i="10"/>
  <c r="GC31" i="10" s="1"/>
  <c r="FZ31" i="10"/>
  <c r="FN33" i="10"/>
  <c r="BR85" i="10" s="1"/>
  <c r="FN38" i="10"/>
  <c r="BR90" i="10" s="1"/>
  <c r="FX39" i="10"/>
  <c r="GA41" i="10"/>
  <c r="GF12" i="10"/>
  <c r="BE13" i="10" s="1"/>
  <c r="GF28" i="10"/>
  <c r="GF36" i="10"/>
  <c r="FJ43" i="10"/>
  <c r="FM11" i="10"/>
  <c r="GC11" i="10" s="1"/>
  <c r="FN12" i="10"/>
  <c r="GD12" i="10" s="1"/>
  <c r="FS16" i="10"/>
  <c r="GI16" i="10" s="1"/>
  <c r="FT17" i="10"/>
  <c r="GJ17" i="10" s="1"/>
  <c r="BH18" i="10" s="1"/>
  <c r="FM19" i="10"/>
  <c r="GC19" i="10" s="1"/>
  <c r="FN20" i="10"/>
  <c r="GD20" i="10" s="1"/>
  <c r="FS24" i="10"/>
  <c r="GI24" i="10" s="1"/>
  <c r="FT25" i="10"/>
  <c r="GJ25" i="10" s="1"/>
  <c r="FM27" i="10"/>
  <c r="GC27" i="10" s="1"/>
  <c r="FN28" i="10"/>
  <c r="GD28" i="10" s="1"/>
  <c r="FS32" i="10"/>
  <c r="GI32" i="10" s="1"/>
  <c r="FX36" i="10"/>
  <c r="FS40" i="10"/>
  <c r="GI40" i="10" s="1"/>
  <c r="FM10" i="10"/>
  <c r="GC10" i="10" s="1"/>
  <c r="FN11" i="10"/>
  <c r="GD11" i="10" s="1"/>
  <c r="FS15" i="10"/>
  <c r="GI15" i="10" s="1"/>
  <c r="FT16" i="10"/>
  <c r="GJ16" i="10" s="1"/>
  <c r="FM18" i="10"/>
  <c r="GC18" i="10" s="1"/>
  <c r="FN19" i="10"/>
  <c r="GD19" i="10" s="1"/>
  <c r="FS23" i="10"/>
  <c r="GI23" i="10" s="1"/>
  <c r="FT24" i="10"/>
  <c r="GJ24" i="10" s="1"/>
  <c r="FM26" i="10"/>
  <c r="GC26" i="10" s="1"/>
  <c r="FN27" i="10"/>
  <c r="GD27" i="10" s="1"/>
  <c r="FS31" i="10"/>
  <c r="GI31" i="10" s="1"/>
  <c r="FT32" i="10"/>
  <c r="FM34" i="10"/>
  <c r="FN35" i="10"/>
  <c r="BR87" i="10" s="1"/>
  <c r="FX35" i="10"/>
  <c r="FS39" i="10"/>
  <c r="GI39" i="10" s="1"/>
  <c r="FT40" i="10"/>
  <c r="GJ40" i="10" s="1"/>
  <c r="FN10" i="10"/>
  <c r="GD10" i="10" s="1"/>
  <c r="FS14" i="10"/>
  <c r="GI14" i="10" s="1"/>
  <c r="FT15" i="10"/>
  <c r="GJ15" i="10" s="1"/>
  <c r="FM17" i="10"/>
  <c r="GC17" i="10" s="1"/>
  <c r="FN18" i="10"/>
  <c r="GD18" i="10" s="1"/>
  <c r="FS22" i="10"/>
  <c r="GI22" i="10" s="1"/>
  <c r="FT23" i="10"/>
  <c r="GJ23" i="10" s="1"/>
  <c r="FM25" i="10"/>
  <c r="GC25" i="10" s="1"/>
  <c r="FN26" i="10"/>
  <c r="GD26" i="10" s="1"/>
  <c r="FS30" i="10"/>
  <c r="GI30" i="10" s="1"/>
  <c r="FT31" i="10"/>
  <c r="GJ31" i="10" s="1"/>
  <c r="FM33" i="10"/>
  <c r="FN34" i="10"/>
  <c r="BR86" i="10" s="1"/>
  <c r="FS38" i="10"/>
  <c r="GI38" i="10" s="1"/>
  <c r="FT39" i="10"/>
  <c r="GJ39" i="10" s="1"/>
  <c r="FM41" i="10"/>
  <c r="FS36" i="10"/>
  <c r="GI36" i="10" s="1"/>
  <c r="AX73" i="10"/>
  <c r="AX72" i="10"/>
  <c r="AX71" i="10"/>
  <c r="AX70" i="10"/>
  <c r="AX69" i="10"/>
  <c r="AX68" i="10"/>
  <c r="AX67" i="10"/>
  <c r="AX66" i="10"/>
  <c r="AX65" i="10"/>
  <c r="AX64" i="10"/>
  <c r="BA93" i="10"/>
  <c r="BA92" i="10"/>
  <c r="BA91" i="10"/>
  <c r="BA90" i="10"/>
  <c r="BA89" i="10"/>
  <c r="BA88" i="10"/>
  <c r="BA87" i="10"/>
  <c r="BA86" i="10"/>
  <c r="BA85" i="10"/>
  <c r="BA84" i="10"/>
  <c r="AV93" i="10"/>
  <c r="AX37" i="10" s="1"/>
  <c r="AV92" i="10"/>
  <c r="AX36" i="10" s="1"/>
  <c r="AV91" i="10"/>
  <c r="AX35" i="10" s="1"/>
  <c r="AV90" i="10"/>
  <c r="AX34" i="10" s="1"/>
  <c r="AV89" i="10"/>
  <c r="AX33" i="10" s="1"/>
  <c r="AV88" i="10"/>
  <c r="AX32" i="10" s="1"/>
  <c r="AV87" i="10"/>
  <c r="AX31" i="10" s="1"/>
  <c r="AV86" i="10"/>
  <c r="AX30" i="10" s="1"/>
  <c r="AV85" i="10"/>
  <c r="AX29" i="10" s="1"/>
  <c r="AV84" i="10"/>
  <c r="AX28" i="10" s="1"/>
  <c r="DO18" i="10"/>
  <c r="DJ18" i="10"/>
  <c r="EA18" i="10"/>
  <c r="EG18" i="10" s="1"/>
  <c r="BX18" i="10"/>
  <c r="AZ54" i="10"/>
  <c r="AZ53" i="10"/>
  <c r="AZ52" i="10"/>
  <c r="AZ51" i="10"/>
  <c r="AZ50" i="10"/>
  <c r="AZ49" i="10"/>
  <c r="AZ48" i="10"/>
  <c r="AZ47" i="10"/>
  <c r="AZ46" i="10"/>
  <c r="AZ45" i="10"/>
  <c r="AX54" i="10"/>
  <c r="AX53" i="10"/>
  <c r="AX52" i="10"/>
  <c r="AX51" i="10"/>
  <c r="AX50" i="10"/>
  <c r="AX49" i="10"/>
  <c r="AX48" i="10"/>
  <c r="AX47" i="10"/>
  <c r="AX46" i="10"/>
  <c r="AX45" i="10"/>
  <c r="DY18" i="10"/>
  <c r="AV37" i="10"/>
  <c r="AV36" i="10"/>
  <c r="AV35" i="10"/>
  <c r="AV34" i="10"/>
  <c r="AV33" i="10"/>
  <c r="AV32" i="10"/>
  <c r="AV31" i="10"/>
  <c r="AV30" i="10"/>
  <c r="AV29" i="10"/>
  <c r="AV28" i="10"/>
  <c r="AU37" i="10"/>
  <c r="AU93" i="10" s="1"/>
  <c r="AU36" i="10"/>
  <c r="AU92" i="10" s="1"/>
  <c r="AU35" i="10"/>
  <c r="AU91" i="10" s="1"/>
  <c r="AU34" i="10"/>
  <c r="AU90" i="10" s="1"/>
  <c r="AU33" i="10"/>
  <c r="AU89" i="10" s="1"/>
  <c r="AU32" i="10"/>
  <c r="AU88" i="10" s="1"/>
  <c r="AU31" i="10"/>
  <c r="AU87" i="10" s="1"/>
  <c r="AU30" i="10"/>
  <c r="AU86" i="10" s="1"/>
  <c r="AU29" i="10"/>
  <c r="AU85" i="10" s="1"/>
  <c r="AU28" i="10"/>
  <c r="AU84" i="10" s="1"/>
  <c r="CR18" i="10"/>
  <c r="AU54" i="10"/>
  <c r="AX93" i="10" s="1"/>
  <c r="AU53" i="10"/>
  <c r="AX92" i="10" s="1"/>
  <c r="AU52" i="10"/>
  <c r="AX91" i="10" s="1"/>
  <c r="AU51" i="10"/>
  <c r="AX90" i="10" s="1"/>
  <c r="AU50" i="10"/>
  <c r="AX89" i="10" s="1"/>
  <c r="AU49" i="10"/>
  <c r="AX88" i="10" s="1"/>
  <c r="AU48" i="10"/>
  <c r="AX87" i="10" s="1"/>
  <c r="AU47" i="10"/>
  <c r="AX86" i="10" s="1"/>
  <c r="AU46" i="10"/>
  <c r="AX85" i="10" s="1"/>
  <c r="AU45" i="10"/>
  <c r="AX84" i="10" s="1"/>
  <c r="CT18" i="10"/>
  <c r="CC18" i="10"/>
  <c r="CE18" i="10"/>
  <c r="BS18" i="10"/>
  <c r="AU20" i="10"/>
  <c r="AU19" i="10"/>
  <c r="AU18" i="10"/>
  <c r="AU17" i="10"/>
  <c r="AU16" i="10"/>
  <c r="AU15" i="10"/>
  <c r="AU14" i="10"/>
  <c r="AU13" i="10"/>
  <c r="BB13" i="10" s="1"/>
  <c r="AV13" i="10" s="1"/>
  <c r="AU12" i="10"/>
  <c r="BB12" i="10" s="1"/>
  <c r="AV12" i="10" s="1"/>
  <c r="AU11" i="10"/>
  <c r="BB11" i="10" s="1"/>
  <c r="AV11" i="10" s="1"/>
  <c r="BU18" i="10"/>
  <c r="BH17" i="10" l="1"/>
  <c r="GD32" i="10"/>
  <c r="BH11" i="10"/>
  <c r="BE12" i="10"/>
  <c r="BF12" i="10" s="1"/>
  <c r="BI13" i="10"/>
  <c r="BE16" i="10"/>
  <c r="BH12" i="10"/>
  <c r="U37" i="6" s="1"/>
  <c r="BH16" i="10"/>
  <c r="BH14" i="10"/>
  <c r="BE14" i="10"/>
  <c r="BI12" i="10"/>
  <c r="BI11" i="10"/>
  <c r="BH19" i="10"/>
  <c r="BE15" i="10"/>
  <c r="BF13" i="10"/>
  <c r="BE11" i="10"/>
  <c r="BH15" i="10"/>
  <c r="BE19" i="10"/>
  <c r="BE18" i="10"/>
  <c r="BR95" i="10"/>
  <c r="BE17" i="10"/>
  <c r="GD39" i="10"/>
  <c r="GD36" i="10"/>
  <c r="GD38" i="10"/>
  <c r="GD40" i="10"/>
  <c r="GD33" i="10"/>
  <c r="GD37" i="10"/>
  <c r="GD34" i="10"/>
  <c r="GD35" i="10"/>
  <c r="BB15" i="10"/>
  <c r="AV15" i="10" s="1"/>
  <c r="BB14" i="10"/>
  <c r="AV14" i="10" s="1"/>
  <c r="BB16" i="10"/>
  <c r="AV16" i="10" s="1"/>
  <c r="BB17" i="10"/>
  <c r="AV17" i="10" s="1"/>
  <c r="BB18" i="10"/>
  <c r="AV18" i="10" s="1"/>
  <c r="BB19" i="10"/>
  <c r="AV19" i="10" s="1"/>
  <c r="BB20" i="10"/>
  <c r="AV20" i="10" s="1"/>
  <c r="AZ11" i="10"/>
  <c r="AY11" i="10" s="1"/>
  <c r="AW11" i="10" s="1"/>
  <c r="AZ12" i="10"/>
  <c r="AY12" i="10" s="1"/>
  <c r="AW12" i="10" s="1"/>
  <c r="AZ13" i="10"/>
  <c r="AY13" i="10" s="1"/>
  <c r="AW13" i="10" s="1"/>
  <c r="FZ43" i="10"/>
  <c r="GC33" i="10"/>
  <c r="BF85" i="10"/>
  <c r="GC34" i="10"/>
  <c r="BF86" i="10"/>
  <c r="GC32" i="10"/>
  <c r="BF84" i="10"/>
  <c r="GC37" i="10"/>
  <c r="BF89" i="10"/>
  <c r="GC41" i="10"/>
  <c r="BF93" i="10"/>
  <c r="GC38" i="10"/>
  <c r="BF90" i="10"/>
  <c r="GC35" i="10"/>
  <c r="BF87" i="10"/>
  <c r="GC36" i="10"/>
  <c r="BF88" i="10"/>
  <c r="GC40" i="10"/>
  <c r="BF92" i="10"/>
  <c r="GC39" i="10"/>
  <c r="BF91" i="10"/>
  <c r="AV45" i="10"/>
  <c r="AW45" i="10" s="1"/>
  <c r="AU64" i="10" s="1"/>
  <c r="AV53" i="10"/>
  <c r="AW53" i="10" s="1"/>
  <c r="AU72" i="10" s="1"/>
  <c r="AV54" i="10"/>
  <c r="AW54" i="10" s="1"/>
  <c r="AU73" i="10" s="1"/>
  <c r="AV46" i="10"/>
  <c r="AW46" i="10" s="1"/>
  <c r="AU65" i="10" s="1"/>
  <c r="AV50" i="10"/>
  <c r="AW50" i="10" s="1"/>
  <c r="AU69" i="10" s="1"/>
  <c r="AV51" i="10"/>
  <c r="AW51" i="10" s="1"/>
  <c r="AU70" i="10" s="1"/>
  <c r="GF43" i="10"/>
  <c r="AV52" i="10"/>
  <c r="AW52" i="10" s="1"/>
  <c r="AU71" i="10" s="1"/>
  <c r="FT43" i="10"/>
  <c r="GJ32" i="10"/>
  <c r="GJ43" i="10" s="1"/>
  <c r="FN43" i="10"/>
  <c r="AV47" i="10"/>
  <c r="AW47" i="10" s="1"/>
  <c r="AU66" i="10" s="1"/>
  <c r="AV48" i="10"/>
  <c r="AW48" i="10" s="1"/>
  <c r="AU67" i="10" s="1"/>
  <c r="AV49" i="10"/>
  <c r="AW49" i="10" s="1"/>
  <c r="AU68" i="10" s="1"/>
  <c r="AX75" i="10"/>
  <c r="AW84" i="10"/>
  <c r="AY84" i="10" s="1"/>
  <c r="BB84" i="10" s="1"/>
  <c r="AW28" i="10" s="1"/>
  <c r="AY28" i="10" s="1"/>
  <c r="AZ28" i="10" s="1"/>
  <c r="AW85" i="10"/>
  <c r="AY85" i="10" s="1"/>
  <c r="BB85" i="10" s="1"/>
  <c r="AW29" i="10" s="1"/>
  <c r="AY29" i="10" s="1"/>
  <c r="AZ29" i="10" s="1"/>
  <c r="AW93" i="10"/>
  <c r="AY93" i="10" s="1"/>
  <c r="BB93" i="10" s="1"/>
  <c r="AW37" i="10" s="1"/>
  <c r="AY37" i="10" s="1"/>
  <c r="AZ37" i="10" s="1"/>
  <c r="AW89" i="10"/>
  <c r="AZ89" i="10" s="1"/>
  <c r="BC89" i="10" s="1"/>
  <c r="AY50" i="10" s="1"/>
  <c r="BA50" i="10" s="1"/>
  <c r="BB50" i="10" s="1"/>
  <c r="AW92" i="10"/>
  <c r="AY92" i="10" s="1"/>
  <c r="BB92" i="10" s="1"/>
  <c r="AW36" i="10" s="1"/>
  <c r="AY36" i="10" s="1"/>
  <c r="AZ36" i="10" s="1"/>
  <c r="AW91" i="10"/>
  <c r="AY91" i="10" s="1"/>
  <c r="BB91" i="10" s="1"/>
  <c r="AW35" i="10" s="1"/>
  <c r="AY35" i="10" s="1"/>
  <c r="AZ35" i="10" s="1"/>
  <c r="DS18" i="10"/>
  <c r="AW86" i="10"/>
  <c r="AY86" i="10" s="1"/>
  <c r="BB86" i="10" s="1"/>
  <c r="AW30" i="10" s="1"/>
  <c r="AY30" i="10" s="1"/>
  <c r="AZ30" i="10" s="1"/>
  <c r="AW87" i="10"/>
  <c r="AY87" i="10" s="1"/>
  <c r="BB87" i="10" s="1"/>
  <c r="AW31" i="10" s="1"/>
  <c r="AY31" i="10" s="1"/>
  <c r="AZ31" i="10" s="1"/>
  <c r="AW88" i="10"/>
  <c r="AY88" i="10" s="1"/>
  <c r="BB88" i="10" s="1"/>
  <c r="AW32" i="10" s="1"/>
  <c r="AY32" i="10" s="1"/>
  <c r="AZ32" i="10" s="1"/>
  <c r="AW90" i="10"/>
  <c r="AY90" i="10" s="1"/>
  <c r="BB90" i="10" s="1"/>
  <c r="AW34" i="10" s="1"/>
  <c r="AY34" i="10" s="1"/>
  <c r="AZ34" i="10" s="1"/>
  <c r="EA20" i="10"/>
  <c r="AU39" i="10"/>
  <c r="AD43" i="6" s="1"/>
  <c r="AU56" i="10"/>
  <c r="AU22" i="10"/>
  <c r="BI15" i="10" l="1"/>
  <c r="BF16" i="10"/>
  <c r="D4" i="19"/>
  <c r="D4" i="18"/>
  <c r="BI14" i="10"/>
  <c r="AD28" i="6"/>
  <c r="I13" i="19"/>
  <c r="BI19" i="10"/>
  <c r="BF17" i="10"/>
  <c r="BI18" i="10"/>
  <c r="BF14" i="10"/>
  <c r="BF15" i="10"/>
  <c r="BH22" i="10"/>
  <c r="BE22" i="10"/>
  <c r="U36" i="6" s="1"/>
  <c r="BF11" i="10"/>
  <c r="BF18" i="10"/>
  <c r="BI17" i="10"/>
  <c r="BI20" i="10"/>
  <c r="BI16" i="10"/>
  <c r="BF95" i="10"/>
  <c r="BF19" i="10"/>
  <c r="BF20" i="10"/>
  <c r="GD43" i="10"/>
  <c r="AD42" i="6"/>
  <c r="AD41" i="6" s="1"/>
  <c r="AD44" i="6" s="1"/>
  <c r="AZ20" i="10"/>
  <c r="AY20" i="10" s="1"/>
  <c r="AW20" i="10" s="1"/>
  <c r="AZ19" i="10"/>
  <c r="AY19" i="10" s="1"/>
  <c r="AW19" i="10" s="1"/>
  <c r="AZ16" i="10"/>
  <c r="AY16" i="10" s="1"/>
  <c r="AW16" i="10" s="1"/>
  <c r="AZ14" i="10"/>
  <c r="AY14" i="10" s="1"/>
  <c r="AV22" i="10"/>
  <c r="AZ15" i="10"/>
  <c r="AY15" i="10" s="1"/>
  <c r="AW15" i="10" s="1"/>
  <c r="BB22" i="10"/>
  <c r="AZ18" i="10"/>
  <c r="AY18" i="10" s="1"/>
  <c r="AW18" i="10" s="1"/>
  <c r="AZ17" i="10"/>
  <c r="AY17" i="10" s="1"/>
  <c r="AW17" i="10" s="1"/>
  <c r="AY67" i="10"/>
  <c r="AY64" i="10"/>
  <c r="AY69" i="10"/>
  <c r="GC43" i="10"/>
  <c r="AY71" i="10"/>
  <c r="AY70" i="10"/>
  <c r="AY66" i="10"/>
  <c r="AY68" i="10"/>
  <c r="AY72" i="10"/>
  <c r="AY73" i="10"/>
  <c r="AY65" i="10"/>
  <c r="BD50" i="10"/>
  <c r="BB34" i="10"/>
  <c r="BB37" i="10"/>
  <c r="BB35" i="10"/>
  <c r="BB29" i="10"/>
  <c r="BB36" i="10"/>
  <c r="BB28" i="10"/>
  <c r="BD84" i="10" s="1"/>
  <c r="BB32" i="10"/>
  <c r="BB30" i="10"/>
  <c r="BB31" i="10"/>
  <c r="AU75" i="10"/>
  <c r="AZ84" i="10"/>
  <c r="BC84" i="10" s="1"/>
  <c r="AY45" i="10" s="1"/>
  <c r="AZ85" i="10"/>
  <c r="BC85" i="10" s="1"/>
  <c r="AY46" i="10" s="1"/>
  <c r="BA46" i="10" s="1"/>
  <c r="BB46" i="10" s="1"/>
  <c r="AZ93" i="10"/>
  <c r="BC93" i="10" s="1"/>
  <c r="AY54" i="10" s="1"/>
  <c r="BA54" i="10" s="1"/>
  <c r="BB54" i="10" s="1"/>
  <c r="AZ86" i="10"/>
  <c r="BC86" i="10" s="1"/>
  <c r="AY47" i="10" s="1"/>
  <c r="BA47" i="10" s="1"/>
  <c r="BB47" i="10" s="1"/>
  <c r="AZ92" i="10"/>
  <c r="BC92" i="10" s="1"/>
  <c r="AY53" i="10" s="1"/>
  <c r="BA53" i="10" s="1"/>
  <c r="BB53" i="10" s="1"/>
  <c r="AY89" i="10"/>
  <c r="BB89" i="10" s="1"/>
  <c r="AW33" i="10" s="1"/>
  <c r="AY33" i="10" s="1"/>
  <c r="AZ33" i="10" s="1"/>
  <c r="AZ90" i="10"/>
  <c r="BC90" i="10" s="1"/>
  <c r="AY51" i="10" s="1"/>
  <c r="BA51" i="10" s="1"/>
  <c r="BB51" i="10" s="1"/>
  <c r="AZ91" i="10"/>
  <c r="BC91" i="10" s="1"/>
  <c r="AY52" i="10" s="1"/>
  <c r="BA52" i="10" s="1"/>
  <c r="BB52" i="10" s="1"/>
  <c r="AZ87" i="10"/>
  <c r="BC87" i="10" s="1"/>
  <c r="AY48" i="10" s="1"/>
  <c r="BA48" i="10" s="1"/>
  <c r="BB48" i="10" s="1"/>
  <c r="AZ88" i="10"/>
  <c r="BC88" i="10" s="1"/>
  <c r="AY49" i="10" s="1"/>
  <c r="BA49" i="10" s="1"/>
  <c r="BB49" i="10" s="1"/>
  <c r="BI22" i="10" l="1"/>
  <c r="Y37" i="6" s="1"/>
  <c r="H14" i="19"/>
  <c r="Y38" i="6"/>
  <c r="F4" i="19"/>
  <c r="F4" i="18"/>
  <c r="BF22" i="10"/>
  <c r="Y36" i="6" s="1"/>
  <c r="BG84" i="10"/>
  <c r="BC28" i="10" s="1"/>
  <c r="BE28" i="10" s="1"/>
  <c r="BL28" i="10" s="1"/>
  <c r="BS84" i="10"/>
  <c r="BO84" i="10"/>
  <c r="AD46" i="6"/>
  <c r="AY22" i="10"/>
  <c r="AZ22" i="10"/>
  <c r="AD31" i="6" s="1"/>
  <c r="AW14" i="10"/>
  <c r="AW22" i="10" s="1"/>
  <c r="BC50" i="10"/>
  <c r="BE89" i="10"/>
  <c r="BA32" i="10"/>
  <c r="BD88" i="10"/>
  <c r="BA70" i="10"/>
  <c r="AZ70" i="10" s="1"/>
  <c r="BJ90" i="10" s="1"/>
  <c r="BA29" i="10"/>
  <c r="BD85" i="10"/>
  <c r="BA68" i="10"/>
  <c r="AZ68" i="10" s="1"/>
  <c r="BJ88" i="10" s="1"/>
  <c r="BA64" i="10"/>
  <c r="AZ64" i="10" s="1"/>
  <c r="BJ84" i="10" s="1"/>
  <c r="AY75" i="10"/>
  <c r="BA69" i="10"/>
  <c r="AZ69" i="10" s="1"/>
  <c r="BJ89" i="10" s="1"/>
  <c r="BA35" i="10"/>
  <c r="BD91" i="10"/>
  <c r="BA66" i="10"/>
  <c r="AZ66" i="10" s="1"/>
  <c r="BJ86" i="10" s="1"/>
  <c r="BA71" i="10"/>
  <c r="AZ71" i="10" s="1"/>
  <c r="BJ91" i="10" s="1"/>
  <c r="BA65" i="10"/>
  <c r="AZ65" i="10" s="1"/>
  <c r="BJ85" i="10" s="1"/>
  <c r="BA36" i="10"/>
  <c r="BD92" i="10"/>
  <c r="BA37" i="10"/>
  <c r="BD93" i="10"/>
  <c r="BA73" i="10"/>
  <c r="AZ73" i="10" s="1"/>
  <c r="BJ93" i="10" s="1"/>
  <c r="BA67" i="10"/>
  <c r="AZ67" i="10" s="1"/>
  <c r="BJ87" i="10" s="1"/>
  <c r="BA30" i="10"/>
  <c r="BD86" i="10"/>
  <c r="BA31" i="10"/>
  <c r="BD87" i="10"/>
  <c r="BA34" i="10"/>
  <c r="BD90" i="10"/>
  <c r="BA72" i="10"/>
  <c r="AZ72" i="10" s="1"/>
  <c r="BJ92" i="10" s="1"/>
  <c r="AV65" i="10"/>
  <c r="BD46" i="10"/>
  <c r="AV68" i="10"/>
  <c r="BD49" i="10"/>
  <c r="AV70" i="10"/>
  <c r="BD51" i="10"/>
  <c r="AV73" i="10"/>
  <c r="BD54" i="10"/>
  <c r="AV67" i="10"/>
  <c r="BD48" i="10"/>
  <c r="BE87" i="10" s="1"/>
  <c r="AV71" i="10"/>
  <c r="BD52" i="10"/>
  <c r="AZ39" i="10"/>
  <c r="Y42" i="6" s="1"/>
  <c r="BB33" i="10"/>
  <c r="AV72" i="10"/>
  <c r="BD53" i="10"/>
  <c r="BE92" i="10" s="1"/>
  <c r="BA28" i="10"/>
  <c r="AV66" i="10"/>
  <c r="BD47" i="10"/>
  <c r="AV69" i="10"/>
  <c r="BA45" i="10"/>
  <c r="BB45" i="10" s="1"/>
  <c r="BL92" i="10" l="1"/>
  <c r="AW65" i="10"/>
  <c r="BH65" i="10"/>
  <c r="H4" i="19"/>
  <c r="K5" i="19" s="1"/>
  <c r="H4" i="18"/>
  <c r="AW70" i="10"/>
  <c r="BH70" i="10"/>
  <c r="AW72" i="10"/>
  <c r="BH72" i="10"/>
  <c r="AW71" i="10"/>
  <c r="BH71" i="10"/>
  <c r="AW73" i="10"/>
  <c r="BH73" i="10"/>
  <c r="AW68" i="10"/>
  <c r="BH68" i="10"/>
  <c r="V39" i="6"/>
  <c r="G4" i="19" s="1"/>
  <c r="V38" i="6"/>
  <c r="H18" i="19"/>
  <c r="I18" i="19" s="1"/>
  <c r="H16" i="19"/>
  <c r="I16" i="19" s="1"/>
  <c r="H17" i="19"/>
  <c r="I17" i="19" s="1"/>
  <c r="I14" i="19"/>
  <c r="AW67" i="10"/>
  <c r="BH67" i="10"/>
  <c r="AW69" i="10"/>
  <c r="BH69" i="10"/>
  <c r="AW66" i="10"/>
  <c r="BH66" i="10"/>
  <c r="BL89" i="10"/>
  <c r="BH92" i="10"/>
  <c r="BP92" i="10"/>
  <c r="BI53" i="10" s="1"/>
  <c r="BT92" i="10"/>
  <c r="BL53" i="10" s="1"/>
  <c r="BH89" i="10"/>
  <c r="BE50" i="10" s="1"/>
  <c r="BG50" i="10" s="1"/>
  <c r="BP89" i="10"/>
  <c r="BI50" i="10" s="1"/>
  <c r="BT89" i="10"/>
  <c r="BL50" i="10" s="1"/>
  <c r="BJ95" i="10"/>
  <c r="BK84" i="10"/>
  <c r="BH87" i="10"/>
  <c r="BP87" i="10"/>
  <c r="BI48" i="10" s="1"/>
  <c r="BT87" i="10"/>
  <c r="BL48" i="10" s="1"/>
  <c r="BL87" i="10"/>
  <c r="BG91" i="10"/>
  <c r="BC35" i="10" s="1"/>
  <c r="BE35" i="10" s="1"/>
  <c r="BO91" i="10"/>
  <c r="BG35" i="10" s="1"/>
  <c r="BK91" i="10"/>
  <c r="BS91" i="10"/>
  <c r="BJ35" i="10" s="1"/>
  <c r="BG93" i="10"/>
  <c r="BC37" i="10" s="1"/>
  <c r="BE37" i="10" s="1"/>
  <c r="BS93" i="10"/>
  <c r="BJ37" i="10" s="1"/>
  <c r="BK93" i="10"/>
  <c r="BO93" i="10"/>
  <c r="BG37" i="10" s="1"/>
  <c r="BG87" i="10"/>
  <c r="BC31" i="10" s="1"/>
  <c r="BE31" i="10" s="1"/>
  <c r="BO87" i="10"/>
  <c r="BG31" i="10" s="1"/>
  <c r="BK87" i="10"/>
  <c r="BS87" i="10"/>
  <c r="BJ31" i="10" s="1"/>
  <c r="BG92" i="10"/>
  <c r="BC36" i="10" s="1"/>
  <c r="BE36" i="10" s="1"/>
  <c r="BL36" i="10" s="1"/>
  <c r="BK92" i="10"/>
  <c r="BS92" i="10"/>
  <c r="BJ36" i="10" s="1"/>
  <c r="BO92" i="10"/>
  <c r="BG36" i="10" s="1"/>
  <c r="BG28" i="10"/>
  <c r="BG88" i="10"/>
  <c r="BC32" i="10" s="1"/>
  <c r="BE32" i="10" s="1"/>
  <c r="BS88" i="10"/>
  <c r="BJ32" i="10" s="1"/>
  <c r="BK88" i="10"/>
  <c r="BO88" i="10"/>
  <c r="BG32" i="10" s="1"/>
  <c r="BJ28" i="10"/>
  <c r="BG90" i="10"/>
  <c r="BC34" i="10" s="1"/>
  <c r="BE34" i="10" s="1"/>
  <c r="BO90" i="10"/>
  <c r="BG34" i="10" s="1"/>
  <c r="BS90" i="10"/>
  <c r="BJ34" i="10" s="1"/>
  <c r="BK90" i="10"/>
  <c r="BG86" i="10"/>
  <c r="BS86" i="10"/>
  <c r="BJ30" i="10" s="1"/>
  <c r="BO86" i="10"/>
  <c r="BG30" i="10" s="1"/>
  <c r="BK86" i="10"/>
  <c r="BG85" i="10"/>
  <c r="BC29" i="10" s="1"/>
  <c r="BE29" i="10" s="1"/>
  <c r="BK85" i="10"/>
  <c r="BS85" i="10"/>
  <c r="BJ29" i="10" s="1"/>
  <c r="BO85" i="10"/>
  <c r="BG29" i="10" s="1"/>
  <c r="BC30" i="10"/>
  <c r="BE30" i="10" s="1"/>
  <c r="BE53" i="10"/>
  <c r="BG53" i="10" s="1"/>
  <c r="BE48" i="10"/>
  <c r="BG48" i="10" s="1"/>
  <c r="BN48" i="10" s="1"/>
  <c r="AD50" i="6"/>
  <c r="AD27" i="6"/>
  <c r="AD26" i="6" s="1"/>
  <c r="AD29" i="6" s="1"/>
  <c r="AD38" i="6"/>
  <c r="AD47" i="6"/>
  <c r="AD45" i="6" s="1"/>
  <c r="AD48" i="6" s="1"/>
  <c r="BC48" i="10"/>
  <c r="BC53" i="10"/>
  <c r="AZ75" i="10"/>
  <c r="BC52" i="10"/>
  <c r="BE91" i="10"/>
  <c r="BC49" i="10"/>
  <c r="BE88" i="10"/>
  <c r="BL88" i="10" s="1"/>
  <c r="BA75" i="10"/>
  <c r="BC51" i="10"/>
  <c r="BE90" i="10"/>
  <c r="BL90" i="10" s="1"/>
  <c r="BC46" i="10"/>
  <c r="BE85" i="10"/>
  <c r="BL85" i="10" s="1"/>
  <c r="BC47" i="10"/>
  <c r="BE86" i="10"/>
  <c r="BL86" i="10" s="1"/>
  <c r="BC54" i="10"/>
  <c r="BE93" i="10"/>
  <c r="BA33" i="10"/>
  <c r="BA39" i="10" s="1"/>
  <c r="BD89" i="10"/>
  <c r="BD28" i="10"/>
  <c r="BB39" i="10"/>
  <c r="AV64" i="10"/>
  <c r="BD45" i="10"/>
  <c r="BC45" i="10" s="1"/>
  <c r="BB56" i="10"/>
  <c r="G4" i="18" l="1"/>
  <c r="BD34" i="10"/>
  <c r="BL34" i="10"/>
  <c r="BF50" i="10"/>
  <c r="BN50" i="10"/>
  <c r="BD30" i="10"/>
  <c r="BL30" i="10"/>
  <c r="AF28" i="6"/>
  <c r="BD32" i="10"/>
  <c r="BL32" i="10"/>
  <c r="AE28" i="6"/>
  <c r="AD39" i="6"/>
  <c r="AD55" i="6" s="1"/>
  <c r="I13" i="18"/>
  <c r="BD29" i="10"/>
  <c r="BL29" i="10"/>
  <c r="J5" i="19"/>
  <c r="H5" i="19" s="1"/>
  <c r="BD31" i="10"/>
  <c r="BL31" i="10"/>
  <c r="BD37" i="10"/>
  <c r="BL37" i="10"/>
  <c r="BD35" i="10"/>
  <c r="BL35" i="10"/>
  <c r="AG28" i="6"/>
  <c r="AW64" i="10"/>
  <c r="AW75" i="10" s="1"/>
  <c r="BH64" i="10"/>
  <c r="BH75" i="10" s="1"/>
  <c r="J13" i="19"/>
  <c r="J13" i="18"/>
  <c r="V42" i="6"/>
  <c r="V43" i="6" s="1"/>
  <c r="BF53" i="10"/>
  <c r="BN53" i="10"/>
  <c r="G5" i="19"/>
  <c r="G7" i="19"/>
  <c r="F5" i="19"/>
  <c r="BM48" i="10"/>
  <c r="BM50" i="10"/>
  <c r="BJ48" i="10"/>
  <c r="BJ50" i="10"/>
  <c r="BH90" i="10"/>
  <c r="BE51" i="10" s="1"/>
  <c r="BG51" i="10" s="1"/>
  <c r="BN51" i="10" s="1"/>
  <c r="BP90" i="10"/>
  <c r="BI51" i="10" s="1"/>
  <c r="BC70" i="10" s="1"/>
  <c r="BD70" i="10" s="1"/>
  <c r="BT90" i="10"/>
  <c r="BL51" i="10" s="1"/>
  <c r="BM53" i="10"/>
  <c r="BH91" i="10"/>
  <c r="BE52" i="10" s="1"/>
  <c r="BG52" i="10" s="1"/>
  <c r="BP91" i="10"/>
  <c r="BI52" i="10" s="1"/>
  <c r="BC71" i="10" s="1"/>
  <c r="BD71" i="10" s="1"/>
  <c r="BT91" i="10"/>
  <c r="BL52" i="10" s="1"/>
  <c r="BJ53" i="10"/>
  <c r="BH86" i="10"/>
  <c r="BE47" i="10" s="1"/>
  <c r="BG47" i="10" s="1"/>
  <c r="BP86" i="10"/>
  <c r="BI47" i="10" s="1"/>
  <c r="BT86" i="10"/>
  <c r="BL47" i="10" s="1"/>
  <c r="BF66" i="10" s="1"/>
  <c r="BG66" i="10" s="1"/>
  <c r="BH93" i="10"/>
  <c r="BE54" i="10" s="1"/>
  <c r="BG54" i="10" s="1"/>
  <c r="BP93" i="10"/>
  <c r="BI54" i="10" s="1"/>
  <c r="BT93" i="10"/>
  <c r="BL54" i="10" s="1"/>
  <c r="BF73" i="10" s="1"/>
  <c r="BG73" i="10" s="1"/>
  <c r="BH88" i="10"/>
  <c r="BP88" i="10"/>
  <c r="BI49" i="10" s="1"/>
  <c r="BT88" i="10"/>
  <c r="BL49" i="10" s="1"/>
  <c r="BH85" i="10"/>
  <c r="BE46" i="10" s="1"/>
  <c r="BG46" i="10" s="1"/>
  <c r="BP85" i="10"/>
  <c r="BI46" i="10" s="1"/>
  <c r="BT85" i="10"/>
  <c r="BL46" i="10" s="1"/>
  <c r="BL91" i="10"/>
  <c r="BL93" i="10"/>
  <c r="BK28" i="10"/>
  <c r="BK30" i="10"/>
  <c r="BH32" i="10"/>
  <c r="BK37" i="10"/>
  <c r="BK29" i="10"/>
  <c r="BK32" i="10"/>
  <c r="BF68" i="10"/>
  <c r="BG68" i="10" s="1"/>
  <c r="BK31" i="10"/>
  <c r="BF67" i="10"/>
  <c r="BG67" i="10" s="1"/>
  <c r="BK35" i="10"/>
  <c r="BF71" i="10"/>
  <c r="BG71" i="10" s="1"/>
  <c r="BH30" i="10"/>
  <c r="BH29" i="10"/>
  <c r="BG89" i="10"/>
  <c r="BG95" i="10" s="1"/>
  <c r="BS89" i="10"/>
  <c r="BO89" i="10"/>
  <c r="BG33" i="10" s="1"/>
  <c r="BG39" i="10" s="1"/>
  <c r="Y40" i="6" s="1"/>
  <c r="BK89" i="10"/>
  <c r="BK95" i="10" s="1"/>
  <c r="BK34" i="10"/>
  <c r="BC73" i="10"/>
  <c r="BD73" i="10" s="1"/>
  <c r="BH37" i="10"/>
  <c r="BH34" i="10"/>
  <c r="BH28" i="10"/>
  <c r="BC67" i="10"/>
  <c r="BD67" i="10" s="1"/>
  <c r="BH31" i="10"/>
  <c r="BH35" i="10"/>
  <c r="BH36" i="10"/>
  <c r="BC72" i="10"/>
  <c r="BD72" i="10" s="1"/>
  <c r="BK36" i="10"/>
  <c r="BF72" i="10"/>
  <c r="BG72" i="10" s="1"/>
  <c r="BD36" i="10"/>
  <c r="BE49" i="10"/>
  <c r="BG49" i="10" s="1"/>
  <c r="BF48" i="10"/>
  <c r="BC56" i="10"/>
  <c r="BD56" i="10"/>
  <c r="BE84" i="10"/>
  <c r="AV75" i="10"/>
  <c r="AD32" i="6" s="1"/>
  <c r="AD30" i="6" s="1"/>
  <c r="AD33" i="6" s="1"/>
  <c r="L13" i="18"/>
  <c r="L17" i="18" s="1"/>
  <c r="D16" i="18"/>
  <c r="E9" i="18"/>
  <c r="E8" i="18"/>
  <c r="E7" i="18"/>
  <c r="I9" i="18"/>
  <c r="G5" i="18"/>
  <c r="G7" i="18"/>
  <c r="L16" i="18" l="1"/>
  <c r="AD37" i="6"/>
  <c r="AD40" i="6" s="1"/>
  <c r="BF46" i="10"/>
  <c r="BN46" i="10"/>
  <c r="BF47" i="10"/>
  <c r="BN47" i="10"/>
  <c r="BM49" i="10"/>
  <c r="M14" i="19"/>
  <c r="K14" i="19"/>
  <c r="BF52" i="10"/>
  <c r="BN52" i="10"/>
  <c r="BF49" i="10"/>
  <c r="BN49" i="10"/>
  <c r="BM46" i="10"/>
  <c r="BJ49" i="10"/>
  <c r="BF54" i="10"/>
  <c r="BN54" i="10"/>
  <c r="M5" i="19"/>
  <c r="N5" i="19" s="1"/>
  <c r="D5" i="19"/>
  <c r="G8" i="19"/>
  <c r="BJ46" i="10"/>
  <c r="BM47" i="10"/>
  <c r="BM51" i="10"/>
  <c r="BC65" i="10"/>
  <c r="BD65" i="10" s="1"/>
  <c r="BJ47" i="10"/>
  <c r="BJ51" i="10"/>
  <c r="BF70" i="10"/>
  <c r="BG70" i="10" s="1"/>
  <c r="BC66" i="10"/>
  <c r="BD66" i="10" s="1"/>
  <c r="BF65" i="10"/>
  <c r="BG65" i="10" s="1"/>
  <c r="BM52" i="10"/>
  <c r="BM54" i="10"/>
  <c r="BJ52" i="10"/>
  <c r="BH84" i="10"/>
  <c r="BH95" i="10" s="1"/>
  <c r="BP84" i="10"/>
  <c r="BT84" i="10"/>
  <c r="BL84" i="10"/>
  <c r="BL95" i="10" s="1"/>
  <c r="BC68" i="10"/>
  <c r="BD68" i="10" s="1"/>
  <c r="BJ54" i="10"/>
  <c r="BO95" i="10"/>
  <c r="BJ33" i="10"/>
  <c r="BS95" i="10"/>
  <c r="BC33" i="10"/>
  <c r="BE33" i="10" s="1"/>
  <c r="BC69" i="10"/>
  <c r="BD69" i="10" s="1"/>
  <c r="M14" i="18"/>
  <c r="BE39" i="10"/>
  <c r="BF51" i="10"/>
  <c r="K5" i="18"/>
  <c r="J5" i="18" s="1"/>
  <c r="I7" i="18"/>
  <c r="I8" i="18"/>
  <c r="H14" i="18"/>
  <c r="H17" i="18" s="1"/>
  <c r="G9" i="18"/>
  <c r="G8" i="18" s="1"/>
  <c r="Q9" i="18"/>
  <c r="F5" i="18"/>
  <c r="F13" i="18"/>
  <c r="K14" i="18"/>
  <c r="L18" i="18"/>
  <c r="D17" i="18"/>
  <c r="BC39" i="10" l="1"/>
  <c r="AD51" i="6" s="1"/>
  <c r="AD49" i="6" s="1"/>
  <c r="AD52" i="6" s="1"/>
  <c r="BE45" i="10"/>
  <c r="BE56" i="10" s="1"/>
  <c r="BH33" i="10"/>
  <c r="BH39" i="10" s="1"/>
  <c r="U40" i="6" s="1"/>
  <c r="BL33" i="10"/>
  <c r="BL39" i="10" s="1"/>
  <c r="U42" i="6" s="1"/>
  <c r="BL45" i="10"/>
  <c r="BT95" i="10"/>
  <c r="BP95" i="10"/>
  <c r="BI45" i="10"/>
  <c r="BK33" i="10"/>
  <c r="BK39" i="10" s="1"/>
  <c r="U41" i="6" s="1"/>
  <c r="BF69" i="10"/>
  <c r="BJ39" i="10"/>
  <c r="Y41" i="6" s="1"/>
  <c r="BD33" i="10"/>
  <c r="BD39" i="10" s="1"/>
  <c r="F13" i="19" s="1"/>
  <c r="H5" i="18"/>
  <c r="BG45" i="10"/>
  <c r="I17" i="18"/>
  <c r="AF39" i="6" s="1"/>
  <c r="BF45" i="10"/>
  <c r="BF56" i="10" s="1"/>
  <c r="H16" i="18"/>
  <c r="I16" i="18" s="1"/>
  <c r="AE39" i="6" s="1"/>
  <c r="H18" i="18"/>
  <c r="I18" i="18" s="1"/>
  <c r="AG39" i="6" s="1"/>
  <c r="M5" i="18"/>
  <c r="N5" i="18" s="1"/>
  <c r="I14" i="18"/>
  <c r="D5" i="18"/>
  <c r="E14" i="18"/>
  <c r="G14" i="18" s="1"/>
  <c r="O14" i="18" s="1"/>
  <c r="P14" i="18" s="1"/>
  <c r="F17" i="18"/>
  <c r="F18" i="18"/>
  <c r="F16" i="18"/>
  <c r="F16" i="19" l="1"/>
  <c r="E16" i="19" s="1"/>
  <c r="G16" i="19" s="1"/>
  <c r="F18" i="19"/>
  <c r="F17" i="19"/>
  <c r="E17" i="19" s="1"/>
  <c r="G17" i="19" s="1"/>
  <c r="E14" i="19"/>
  <c r="G14" i="19" s="1"/>
  <c r="O14" i="19" s="1"/>
  <c r="P14" i="19" s="1"/>
  <c r="BG56" i="10"/>
  <c r="BN45" i="10"/>
  <c r="BN56" i="10" s="1"/>
  <c r="BI56" i="10"/>
  <c r="BJ45" i="10"/>
  <c r="BJ56" i="10" s="1"/>
  <c r="BC64" i="10"/>
  <c r="BL56" i="10"/>
  <c r="BM45" i="10"/>
  <c r="BM56" i="10" s="1"/>
  <c r="BF64" i="10"/>
  <c r="BG64" i="10" s="1"/>
  <c r="BG69" i="10"/>
  <c r="E17" i="18"/>
  <c r="G17" i="18" s="1"/>
  <c r="E16" i="18"/>
  <c r="G16" i="18" s="1"/>
  <c r="J18" i="18"/>
  <c r="E18" i="18"/>
  <c r="G18" i="18" s="1"/>
  <c r="Z40" i="6" s="1"/>
  <c r="BF75" i="10" l="1"/>
  <c r="J18" i="19"/>
  <c r="E18" i="19"/>
  <c r="G18" i="19" s="1"/>
  <c r="BG75" i="10"/>
  <c r="BD64" i="10"/>
  <c r="BD75" i="10" s="1"/>
  <c r="BC75" i="10"/>
  <c r="K18" i="18"/>
  <c r="M18" i="18"/>
  <c r="AG43" i="6" s="1"/>
  <c r="O18" i="18" l="1"/>
  <c r="Z42" i="6"/>
  <c r="Z43" i="6" s="1"/>
  <c r="AG47" i="6"/>
  <c r="K18" i="19"/>
  <c r="O18" i="19" s="1"/>
  <c r="M18" i="19"/>
  <c r="P18" i="19" l="1"/>
  <c r="AG32" i="6"/>
  <c r="P18" i="18"/>
  <c r="AG51" i="6"/>
  <c r="AG17" i="6"/>
  <c r="AG11" i="6"/>
  <c r="AG10" i="6"/>
  <c r="CM67" i="1" l="1"/>
  <c r="F57" i="11" l="1"/>
  <c r="F56" i="11"/>
  <c r="F54" i="11"/>
  <c r="F53" i="11"/>
  <c r="V27" i="6"/>
  <c r="F55" i="11" s="1"/>
  <c r="CM66" i="1"/>
  <c r="V26" i="6" s="1"/>
  <c r="F52" i="11" s="1"/>
  <c r="F193" i="11" l="1"/>
  <c r="F195" i="11"/>
  <c r="F194" i="11"/>
  <c r="D54" i="17" l="1"/>
  <c r="BI52" i="17" l="1"/>
  <c r="BI51" i="17"/>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BI17" i="17"/>
  <c r="BI16" i="17"/>
  <c r="BI15" i="17"/>
  <c r="BI14" i="17"/>
  <c r="BI13" i="17"/>
  <c r="BI12" i="17"/>
  <c r="BI11" i="17"/>
  <c r="BI10" i="17"/>
  <c r="BI9" i="17"/>
  <c r="BI8" i="17"/>
  <c r="BE51" i="17"/>
  <c r="BE50" i="17"/>
  <c r="BE49" i="17"/>
  <c r="BE48" i="17"/>
  <c r="BE47" i="17"/>
  <c r="BE46" i="17"/>
  <c r="BE45" i="17"/>
  <c r="BE44" i="17"/>
  <c r="BE43" i="17"/>
  <c r="BE42" i="17"/>
  <c r="BE41" i="17"/>
  <c r="BE40" i="17"/>
  <c r="BE39" i="17"/>
  <c r="BE38" i="17"/>
  <c r="BE37" i="17"/>
  <c r="BE36" i="17"/>
  <c r="BE35" i="17"/>
  <c r="BE34" i="17"/>
  <c r="BE33" i="17"/>
  <c r="BE32" i="17"/>
  <c r="BE31" i="17"/>
  <c r="BE30" i="17"/>
  <c r="BE29" i="17"/>
  <c r="BE28" i="17"/>
  <c r="BE27" i="17"/>
  <c r="BE26" i="17"/>
  <c r="BE25" i="17"/>
  <c r="BE24" i="17"/>
  <c r="BE23" i="17"/>
  <c r="BE22" i="17"/>
  <c r="BE21" i="17"/>
  <c r="BE20" i="17"/>
  <c r="BE19" i="17"/>
  <c r="BE18" i="17"/>
  <c r="BE17" i="17"/>
  <c r="BE16" i="17"/>
  <c r="BE15" i="17"/>
  <c r="BE14" i="17"/>
  <c r="BE13" i="17"/>
  <c r="BE12" i="17"/>
  <c r="BE11" i="17"/>
  <c r="BE10" i="17"/>
  <c r="BE9" i="17"/>
  <c r="BE8" i="17"/>
  <c r="BE52" i="17"/>
  <c r="BQ45" i="17" l="1"/>
  <c r="BR45" i="17"/>
  <c r="BL41" i="17"/>
  <c r="BM41" i="17"/>
  <c r="BL18" i="17"/>
  <c r="BM18" i="17"/>
  <c r="BR38" i="17"/>
  <c r="BQ38" i="17"/>
  <c r="BS38" i="17" s="1"/>
  <c r="BR31" i="17"/>
  <c r="BQ31" i="17"/>
  <c r="BL49" i="17"/>
  <c r="BM49" i="17"/>
  <c r="BR22" i="17"/>
  <c r="BQ22" i="17"/>
  <c r="BM19" i="17"/>
  <c r="BL19" i="17"/>
  <c r="BR15" i="17"/>
  <c r="BQ15" i="17"/>
  <c r="BM20" i="17"/>
  <c r="BL20" i="17"/>
  <c r="BM36" i="17"/>
  <c r="BL36" i="17"/>
  <c r="BM44" i="17"/>
  <c r="BL44" i="17"/>
  <c r="BR16" i="17"/>
  <c r="BQ16" i="17"/>
  <c r="BR24" i="17"/>
  <c r="BQ24" i="17"/>
  <c r="BS24" i="17" s="1"/>
  <c r="BR32" i="17"/>
  <c r="BQ32" i="17"/>
  <c r="BR40" i="17"/>
  <c r="BQ40" i="17"/>
  <c r="BS40" i="17" s="1"/>
  <c r="BR48" i="17"/>
  <c r="BQ48" i="17"/>
  <c r="BL25" i="17"/>
  <c r="BM25" i="17"/>
  <c r="BQ37" i="17"/>
  <c r="BR37" i="17"/>
  <c r="BL42" i="17"/>
  <c r="BM42" i="17"/>
  <c r="BV42" i="17" s="1"/>
  <c r="AQ42" i="17" s="1"/>
  <c r="BR46" i="17"/>
  <c r="BQ46" i="17"/>
  <c r="BM43" i="17"/>
  <c r="BL43" i="17"/>
  <c r="BR39" i="17"/>
  <c r="BQ39" i="17"/>
  <c r="BM12" i="17"/>
  <c r="BL12" i="17"/>
  <c r="BM28" i="17"/>
  <c r="BL28" i="17"/>
  <c r="BR8" i="17"/>
  <c r="BQ8" i="17"/>
  <c r="BS8" i="17" s="1"/>
  <c r="BM13" i="17"/>
  <c r="BL13" i="17"/>
  <c r="BM21" i="17"/>
  <c r="BL21" i="17"/>
  <c r="BM29" i="17"/>
  <c r="BL29" i="17"/>
  <c r="BM37" i="17"/>
  <c r="BL37" i="17"/>
  <c r="BM45" i="17"/>
  <c r="BL45" i="17"/>
  <c r="BU45" i="17" s="1"/>
  <c r="BQ9" i="17"/>
  <c r="BR9" i="17"/>
  <c r="BR17" i="17"/>
  <c r="BQ17" i="17"/>
  <c r="BQ25" i="17"/>
  <c r="BR25" i="17"/>
  <c r="BQ33" i="17"/>
  <c r="BR33" i="17"/>
  <c r="BQ41" i="17"/>
  <c r="BR41" i="17"/>
  <c r="BR49" i="17"/>
  <c r="BQ49" i="17"/>
  <c r="BL17" i="17"/>
  <c r="BM17" i="17"/>
  <c r="BR21" i="17"/>
  <c r="BQ21" i="17"/>
  <c r="BL26" i="17"/>
  <c r="BM26" i="17"/>
  <c r="BR30" i="17"/>
  <c r="BQ30" i="17"/>
  <c r="BL27" i="17"/>
  <c r="BM27" i="17"/>
  <c r="BM51" i="17"/>
  <c r="BL51" i="17"/>
  <c r="BM14" i="17"/>
  <c r="BL14" i="17"/>
  <c r="BM30" i="17"/>
  <c r="BV30" i="17" s="1"/>
  <c r="AQ30" i="17" s="1"/>
  <c r="BL30" i="17"/>
  <c r="BU30" i="17" s="1"/>
  <c r="BM46" i="17"/>
  <c r="BL46" i="17"/>
  <c r="BR18" i="17"/>
  <c r="BQ18" i="17"/>
  <c r="BR26" i="17"/>
  <c r="BQ26" i="17"/>
  <c r="BS26" i="17" s="1"/>
  <c r="BR34" i="17"/>
  <c r="BQ34" i="17"/>
  <c r="BR42" i="17"/>
  <c r="BQ42" i="17"/>
  <c r="BS42" i="17" s="1"/>
  <c r="BR50" i="17"/>
  <c r="BQ50" i="17"/>
  <c r="BL9" i="17"/>
  <c r="BM9" i="17"/>
  <c r="BV9" i="17" s="1"/>
  <c r="AQ9" i="17" s="1"/>
  <c r="BQ13" i="17"/>
  <c r="BS13" i="17" s="1"/>
  <c r="BR13" i="17"/>
  <c r="BL10" i="17"/>
  <c r="BM10" i="17"/>
  <c r="BL50" i="17"/>
  <c r="BM50" i="17"/>
  <c r="BL11" i="17"/>
  <c r="BM11" i="17"/>
  <c r="BR23" i="17"/>
  <c r="BQ23" i="17"/>
  <c r="BM38" i="17"/>
  <c r="BL38" i="17"/>
  <c r="BM52" i="17"/>
  <c r="BL52" i="17"/>
  <c r="BM15" i="17"/>
  <c r="BL15" i="17"/>
  <c r="BM23" i="17"/>
  <c r="BL23" i="17"/>
  <c r="BM31" i="17"/>
  <c r="BL31" i="17"/>
  <c r="BL39" i="17"/>
  <c r="BM39" i="17"/>
  <c r="BL47" i="17"/>
  <c r="BM47" i="17"/>
  <c r="BR11" i="17"/>
  <c r="BQ11" i="17"/>
  <c r="BR19" i="17"/>
  <c r="BQ19" i="17"/>
  <c r="BS19" i="17" s="1"/>
  <c r="BR27" i="17"/>
  <c r="BQ27" i="17"/>
  <c r="BR35" i="17"/>
  <c r="BQ35" i="17"/>
  <c r="BS35" i="17" s="1"/>
  <c r="BR43" i="17"/>
  <c r="BQ43" i="17"/>
  <c r="BR51" i="17"/>
  <c r="BQ51" i="17"/>
  <c r="BS51" i="17" s="1"/>
  <c r="BL33" i="17"/>
  <c r="BM33" i="17"/>
  <c r="BV33" i="17" s="1"/>
  <c r="AQ33" i="17" s="1"/>
  <c r="BQ29" i="17"/>
  <c r="BR29" i="17"/>
  <c r="BL34" i="17"/>
  <c r="BM34" i="17"/>
  <c r="BV34" i="17" s="1"/>
  <c r="AQ34" i="17" s="1"/>
  <c r="BR14" i="17"/>
  <c r="BQ14" i="17"/>
  <c r="BS14" i="17" s="1"/>
  <c r="BM35" i="17"/>
  <c r="BL35" i="17"/>
  <c r="BR47" i="17"/>
  <c r="BQ47" i="17"/>
  <c r="BS47" i="17" s="1"/>
  <c r="BM22" i="17"/>
  <c r="BL22" i="17"/>
  <c r="BR10" i="17"/>
  <c r="BQ10" i="17"/>
  <c r="BS10" i="17" s="1"/>
  <c r="BL8" i="17"/>
  <c r="BM8" i="17"/>
  <c r="BL16" i="17"/>
  <c r="BM16" i="17"/>
  <c r="BL24" i="17"/>
  <c r="BM24" i="17"/>
  <c r="BL32" i="17"/>
  <c r="BM32" i="17"/>
  <c r="BL40" i="17"/>
  <c r="BM40" i="17"/>
  <c r="BL48" i="17"/>
  <c r="BM48" i="17"/>
  <c r="BR12" i="17"/>
  <c r="BQ12" i="17"/>
  <c r="BR20" i="17"/>
  <c r="BQ20" i="17"/>
  <c r="BR28" i="17"/>
  <c r="BQ28" i="17"/>
  <c r="BR36" i="17"/>
  <c r="BQ36" i="17"/>
  <c r="BS36" i="17" s="1"/>
  <c r="BR44" i="17"/>
  <c r="BQ44" i="17"/>
  <c r="BR52" i="17"/>
  <c r="BQ52" i="17"/>
  <c r="BS52" i="17" s="1"/>
  <c r="AY52" i="17"/>
  <c r="AY51" i="17"/>
  <c r="AY50" i="17"/>
  <c r="AY49" i="17"/>
  <c r="AY48" i="17"/>
  <c r="AY47" i="17"/>
  <c r="AY46" i="17"/>
  <c r="AY45" i="17"/>
  <c r="AY44" i="17"/>
  <c r="AY43" i="17"/>
  <c r="AY42" i="17"/>
  <c r="AY41" i="17"/>
  <c r="AY40" i="17"/>
  <c r="AY39" i="17"/>
  <c r="AY38" i="17"/>
  <c r="AY37" i="17"/>
  <c r="AY36" i="17"/>
  <c r="AY35" i="17"/>
  <c r="AY34" i="17"/>
  <c r="AY33" i="17"/>
  <c r="AY32" i="17"/>
  <c r="AY31" i="17"/>
  <c r="AY30" i="17"/>
  <c r="AY29" i="17"/>
  <c r="AY28" i="17"/>
  <c r="AY27" i="17"/>
  <c r="AY26" i="17"/>
  <c r="AY25" i="17"/>
  <c r="AY24" i="17"/>
  <c r="AY23" i="17"/>
  <c r="AY22" i="17"/>
  <c r="AY21" i="17"/>
  <c r="AY20" i="17"/>
  <c r="AY19" i="17"/>
  <c r="AY18" i="17"/>
  <c r="AY17" i="17"/>
  <c r="AY16" i="17"/>
  <c r="AY15" i="17"/>
  <c r="AY14" i="17"/>
  <c r="AY13" i="17"/>
  <c r="AY12" i="17"/>
  <c r="AY11" i="17"/>
  <c r="AY10" i="17"/>
  <c r="AY9" i="17"/>
  <c r="AY8" i="17"/>
  <c r="BS33" i="17" l="1"/>
  <c r="BS37" i="17"/>
  <c r="BS44" i="17"/>
  <c r="BS28" i="17"/>
  <c r="BS12" i="17"/>
  <c r="BV24" i="17"/>
  <c r="AQ24" i="17" s="1"/>
  <c r="BV8" i="17"/>
  <c r="AQ8" i="17" s="1"/>
  <c r="BS45" i="17"/>
  <c r="BU14" i="17"/>
  <c r="BU29" i="17"/>
  <c r="BS29" i="17"/>
  <c r="BV14" i="17"/>
  <c r="AQ14" i="17" s="1"/>
  <c r="BS41" i="17"/>
  <c r="BS25" i="17"/>
  <c r="BS9" i="17"/>
  <c r="BV21" i="17"/>
  <c r="AQ21" i="17" s="1"/>
  <c r="BU20" i="17"/>
  <c r="BS20" i="17"/>
  <c r="BS43" i="17"/>
  <c r="BS27" i="17"/>
  <c r="BS11" i="17"/>
  <c r="BS23" i="17"/>
  <c r="BS50" i="17"/>
  <c r="BS34" i="17"/>
  <c r="BS18" i="17"/>
  <c r="BU51" i="17"/>
  <c r="BS30" i="17"/>
  <c r="BS21" i="17"/>
  <c r="BS49" i="17"/>
  <c r="BS17" i="17"/>
  <c r="BS39" i="17"/>
  <c r="BS46" i="17"/>
  <c r="BS48" i="17"/>
  <c r="BS32" i="17"/>
  <c r="BS16" i="17"/>
  <c r="BS15" i="17"/>
  <c r="BS22" i="17"/>
  <c r="BS31" i="17"/>
  <c r="BU8" i="17"/>
  <c r="BU47" i="17"/>
  <c r="BU35" i="17"/>
  <c r="BV47" i="17"/>
  <c r="AQ47" i="17" s="1"/>
  <c r="BU26" i="17"/>
  <c r="BV26" i="17"/>
  <c r="AQ26" i="17" s="1"/>
  <c r="BU21" i="17"/>
  <c r="BU19" i="17"/>
  <c r="BU38" i="17"/>
  <c r="BU22" i="17"/>
  <c r="BV19" i="17"/>
  <c r="AQ19" i="17" s="1"/>
  <c r="BV39" i="17"/>
  <c r="AQ39" i="17" s="1"/>
  <c r="BV50" i="17"/>
  <c r="AQ50" i="17" s="1"/>
  <c r="BU50" i="17"/>
  <c r="BV32" i="17"/>
  <c r="AQ32" i="17" s="1"/>
  <c r="BU24" i="17"/>
  <c r="BV22" i="17"/>
  <c r="AQ22" i="17" s="1"/>
  <c r="BV18" i="17"/>
  <c r="AQ18" i="17" s="1"/>
  <c r="BU28" i="17"/>
  <c r="BU16" i="17"/>
  <c r="BU15" i="17"/>
  <c r="BU31" i="17"/>
  <c r="BV29" i="17"/>
  <c r="AQ29" i="17" s="1"/>
  <c r="BV28" i="17"/>
  <c r="AQ28" i="17" s="1"/>
  <c r="BV48" i="17"/>
  <c r="AQ48" i="17" s="1"/>
  <c r="BV11" i="17"/>
  <c r="AQ11" i="17" s="1"/>
  <c r="BV15" i="17"/>
  <c r="AQ15" i="17" s="1"/>
  <c r="BV12" i="17"/>
  <c r="AQ12" i="17" s="1"/>
  <c r="BV40" i="17"/>
  <c r="AQ40" i="17" s="1"/>
  <c r="BV35" i="17"/>
  <c r="AQ35" i="17" s="1"/>
  <c r="BU39" i="17"/>
  <c r="BV52" i="17"/>
  <c r="AQ52" i="17" s="1"/>
  <c r="BV51" i="17"/>
  <c r="AQ51" i="17" s="1"/>
  <c r="BV45" i="17"/>
  <c r="AQ45" i="17" s="1"/>
  <c r="BV13" i="17"/>
  <c r="AQ13" i="17" s="1"/>
  <c r="BV36" i="17"/>
  <c r="AQ36" i="17" s="1"/>
  <c r="BV16" i="17"/>
  <c r="AQ16" i="17" s="1"/>
  <c r="BV10" i="17"/>
  <c r="AQ10" i="17" s="1"/>
  <c r="BV27" i="17"/>
  <c r="AQ27" i="17" s="1"/>
  <c r="BV17" i="17"/>
  <c r="AQ17" i="17" s="1"/>
  <c r="BV25" i="17"/>
  <c r="AQ25" i="17" s="1"/>
  <c r="BV49" i="17"/>
  <c r="AQ49" i="17" s="1"/>
  <c r="BV41" i="17"/>
  <c r="AQ41" i="17" s="1"/>
  <c r="BV44" i="17"/>
  <c r="AQ44" i="17" s="1"/>
  <c r="BV31" i="17"/>
  <c r="AQ31" i="17" s="1"/>
  <c r="BV38" i="17"/>
  <c r="AQ38" i="17" s="1"/>
  <c r="BV46" i="17"/>
  <c r="AQ46" i="17" s="1"/>
  <c r="BU27" i="17"/>
  <c r="BV37" i="17"/>
  <c r="AQ37" i="17" s="1"/>
  <c r="BV43" i="17"/>
  <c r="AQ43" i="17" s="1"/>
  <c r="BV20" i="17"/>
  <c r="AQ20" i="17" s="1"/>
  <c r="BV23" i="17"/>
  <c r="AQ23" i="17" s="1"/>
  <c r="BU40" i="17"/>
  <c r="BU52" i="17"/>
  <c r="BU42" i="17"/>
  <c r="BU34" i="17"/>
  <c r="BU37" i="17"/>
  <c r="BN10" i="17"/>
  <c r="BN24" i="17"/>
  <c r="BN34" i="17"/>
  <c r="BN23" i="17"/>
  <c r="BN27" i="17"/>
  <c r="BN17" i="17"/>
  <c r="BN37" i="17"/>
  <c r="BN43" i="17"/>
  <c r="BN36" i="17"/>
  <c r="BN30" i="17"/>
  <c r="BU17" i="17"/>
  <c r="BN25" i="17"/>
  <c r="BN20" i="17"/>
  <c r="BN18" i="17"/>
  <c r="BU11" i="17"/>
  <c r="BN48" i="17"/>
  <c r="BN16" i="17"/>
  <c r="BN15" i="17"/>
  <c r="BN29" i="17"/>
  <c r="BN28" i="17"/>
  <c r="BU25" i="17"/>
  <c r="BN49" i="17"/>
  <c r="BU44" i="17"/>
  <c r="BU10" i="17"/>
  <c r="BN35" i="17"/>
  <c r="BN47" i="17"/>
  <c r="BN11" i="17"/>
  <c r="BN9" i="17"/>
  <c r="BN14" i="17"/>
  <c r="BU49" i="17"/>
  <c r="BN41" i="17"/>
  <c r="BU23" i="17"/>
  <c r="BU12" i="17"/>
  <c r="BN40" i="17"/>
  <c r="BN8" i="17"/>
  <c r="BN33" i="17"/>
  <c r="BN52" i="17"/>
  <c r="BU9" i="17"/>
  <c r="BN26" i="17"/>
  <c r="BN21" i="17"/>
  <c r="BN12" i="17"/>
  <c r="BU41" i="17"/>
  <c r="BN46" i="17"/>
  <c r="BU33" i="17"/>
  <c r="BN39" i="17"/>
  <c r="BN50" i="17"/>
  <c r="BN51" i="17"/>
  <c r="BN42" i="17"/>
  <c r="BN44" i="17"/>
  <c r="BN19" i="17"/>
  <c r="BN22" i="17"/>
  <c r="BU32" i="17"/>
  <c r="BU46" i="17"/>
  <c r="BU36" i="17"/>
  <c r="BU48" i="17"/>
  <c r="BU13" i="17"/>
  <c r="BU43" i="17"/>
  <c r="BU18" i="17"/>
  <c r="BN32" i="17"/>
  <c r="BN31" i="17"/>
  <c r="BN38" i="17"/>
  <c r="BN45" i="17"/>
  <c r="BN13" i="17"/>
  <c r="AY54" i="17"/>
  <c r="F199" i="11" s="1"/>
  <c r="BU54" i="17" l="1"/>
  <c r="F203" i="11" s="1"/>
  <c r="AE8" i="17"/>
  <c r="AE9" i="17"/>
  <c r="AE10" i="17"/>
  <c r="AE11" i="17"/>
  <c r="AE12" i="17"/>
  <c r="AE13" i="17"/>
  <c r="AE14" i="17"/>
  <c r="AE15" i="17"/>
  <c r="AE16" i="17"/>
  <c r="AE17" i="17"/>
  <c r="AE18" i="17"/>
  <c r="AE19" i="17"/>
  <c r="AE20" i="17"/>
  <c r="AE21" i="17"/>
  <c r="AE22" i="17"/>
  <c r="AE23" i="17"/>
  <c r="AE24" i="17"/>
  <c r="AE25" i="17"/>
  <c r="AE26" i="17"/>
  <c r="AE27" i="17"/>
  <c r="AE28" i="17"/>
  <c r="AE29" i="17"/>
  <c r="AE30" i="17"/>
  <c r="AE31" i="17"/>
  <c r="AE32" i="17"/>
  <c r="AE33" i="17"/>
  <c r="AE34" i="17"/>
  <c r="AE35" i="17"/>
  <c r="AE36" i="17"/>
  <c r="AE37" i="17"/>
  <c r="AE38" i="17"/>
  <c r="AE39" i="17"/>
  <c r="AE40" i="17"/>
  <c r="AI40" i="17" s="1"/>
  <c r="AE41" i="17"/>
  <c r="AI41" i="17" s="1"/>
  <c r="AE42" i="17"/>
  <c r="AI42" i="17" s="1"/>
  <c r="AE43" i="17"/>
  <c r="AE44" i="17"/>
  <c r="AI44" i="17" s="1"/>
  <c r="AE45" i="17"/>
  <c r="AI45" i="17" s="1"/>
  <c r="AE46" i="17"/>
  <c r="AI46" i="17" s="1"/>
  <c r="AE47" i="17"/>
  <c r="AI47" i="17" s="1"/>
  <c r="AE48" i="17"/>
  <c r="AI48" i="17" s="1"/>
  <c r="AE49" i="17"/>
  <c r="AI49" i="17" s="1"/>
  <c r="AE50" i="17"/>
  <c r="AI50" i="17" s="1"/>
  <c r="AE51" i="17"/>
  <c r="AI51" i="17" s="1"/>
  <c r="AE52" i="17"/>
  <c r="AI52" i="17" s="1"/>
  <c r="M52" i="17"/>
  <c r="AN52" i="17" s="1"/>
  <c r="AR52" i="17" s="1"/>
  <c r="M51" i="17"/>
  <c r="AN51" i="17" s="1"/>
  <c r="AR51" i="17" s="1"/>
  <c r="M50" i="17"/>
  <c r="AN50" i="17" s="1"/>
  <c r="AR50" i="17" s="1"/>
  <c r="M49" i="17"/>
  <c r="AN49" i="17" s="1"/>
  <c r="AR49" i="17" s="1"/>
  <c r="M48" i="17"/>
  <c r="AN48" i="17" s="1"/>
  <c r="AR48" i="17" s="1"/>
  <c r="M47" i="17"/>
  <c r="AN47" i="17" s="1"/>
  <c r="AR47" i="17" s="1"/>
  <c r="M46" i="17"/>
  <c r="AN46" i="17" s="1"/>
  <c r="AR46" i="17" s="1"/>
  <c r="M45" i="17"/>
  <c r="AN45" i="17" s="1"/>
  <c r="AR45" i="17" s="1"/>
  <c r="M44" i="17"/>
  <c r="AN44" i="17" s="1"/>
  <c r="AR44" i="17" s="1"/>
  <c r="M43" i="17"/>
  <c r="AN43" i="17" s="1"/>
  <c r="AR43" i="17" s="1"/>
  <c r="M42" i="17"/>
  <c r="AN42" i="17" s="1"/>
  <c r="AR42" i="17" s="1"/>
  <c r="M41" i="17"/>
  <c r="AN41" i="17" s="1"/>
  <c r="AR41" i="17" s="1"/>
  <c r="M40" i="17"/>
  <c r="AN40" i="17" s="1"/>
  <c r="AR40" i="17" s="1"/>
  <c r="M39" i="17"/>
  <c r="AN39" i="17" s="1"/>
  <c r="AR39" i="17" s="1"/>
  <c r="M38" i="17"/>
  <c r="AN38" i="17" s="1"/>
  <c r="AR38" i="17" s="1"/>
  <c r="M37" i="17"/>
  <c r="AN37" i="17" s="1"/>
  <c r="AR37" i="17" s="1"/>
  <c r="M36" i="17"/>
  <c r="AN36" i="17" s="1"/>
  <c r="AR36" i="17" s="1"/>
  <c r="M35" i="17"/>
  <c r="AN35" i="17" s="1"/>
  <c r="AR35" i="17" s="1"/>
  <c r="M34" i="17"/>
  <c r="AN34" i="17" s="1"/>
  <c r="AR34" i="17" s="1"/>
  <c r="M33" i="17"/>
  <c r="AN33" i="17" s="1"/>
  <c r="AR33" i="17" s="1"/>
  <c r="M32" i="17"/>
  <c r="AN32" i="17" s="1"/>
  <c r="AR32" i="17" s="1"/>
  <c r="M31" i="17"/>
  <c r="AN31" i="17" s="1"/>
  <c r="AR31" i="17" s="1"/>
  <c r="M30" i="17"/>
  <c r="AN30" i="17" s="1"/>
  <c r="AR30" i="17" s="1"/>
  <c r="M29" i="17"/>
  <c r="AN29" i="17" s="1"/>
  <c r="AR29" i="17" s="1"/>
  <c r="M28" i="17"/>
  <c r="AN28" i="17" s="1"/>
  <c r="AR28" i="17" s="1"/>
  <c r="M27" i="17"/>
  <c r="AN27" i="17" s="1"/>
  <c r="AR27" i="17" s="1"/>
  <c r="M26" i="17"/>
  <c r="AN26" i="17" s="1"/>
  <c r="AR26" i="17" s="1"/>
  <c r="M25" i="17"/>
  <c r="AN25" i="17" s="1"/>
  <c r="AR25" i="17" s="1"/>
  <c r="M24" i="17"/>
  <c r="AN24" i="17" s="1"/>
  <c r="AR24" i="17" s="1"/>
  <c r="M23" i="17"/>
  <c r="AN23" i="17" s="1"/>
  <c r="AR23" i="17" s="1"/>
  <c r="M22" i="17"/>
  <c r="AN22" i="17" s="1"/>
  <c r="AR22" i="17" s="1"/>
  <c r="M21" i="17"/>
  <c r="AN21" i="17" s="1"/>
  <c r="AR21" i="17" s="1"/>
  <c r="M20" i="17"/>
  <c r="AN20" i="17" s="1"/>
  <c r="AR20" i="17" s="1"/>
  <c r="M19" i="17"/>
  <c r="AN19" i="17" s="1"/>
  <c r="AR19" i="17" s="1"/>
  <c r="M18" i="17"/>
  <c r="AN18" i="17" s="1"/>
  <c r="AR18" i="17" s="1"/>
  <c r="M17" i="17"/>
  <c r="AN17" i="17" s="1"/>
  <c r="AR17" i="17" s="1"/>
  <c r="M16" i="17"/>
  <c r="AN16" i="17" s="1"/>
  <c r="AR16" i="17" s="1"/>
  <c r="M15" i="17"/>
  <c r="AN15" i="17" s="1"/>
  <c r="AR15" i="17" s="1"/>
  <c r="M14" i="17"/>
  <c r="AN14" i="17" s="1"/>
  <c r="AR14" i="17" s="1"/>
  <c r="M13" i="17"/>
  <c r="AN13" i="17" s="1"/>
  <c r="AR13" i="17" s="1"/>
  <c r="M12" i="17"/>
  <c r="AN12" i="17" s="1"/>
  <c r="AR12" i="17" s="1"/>
  <c r="M11" i="17"/>
  <c r="AN11" i="17" s="1"/>
  <c r="AR11" i="17" s="1"/>
  <c r="M10" i="17"/>
  <c r="AN10" i="17" s="1"/>
  <c r="AR10" i="17" s="1"/>
  <c r="M9" i="17"/>
  <c r="AN9" i="17" s="1"/>
  <c r="AR9" i="17" s="1"/>
  <c r="M8" i="17"/>
  <c r="AN8" i="17" s="1"/>
  <c r="AR8" i="17" s="1"/>
  <c r="AR54" i="17" l="1"/>
  <c r="AI43" i="17"/>
  <c r="AE54" i="17"/>
  <c r="F191" i="11" s="1"/>
  <c r="H41" i="17"/>
  <c r="H48" i="17"/>
  <c r="AM48" i="17" s="1"/>
  <c r="H42" i="17"/>
  <c r="AM42" i="17" s="1"/>
  <c r="H50" i="17"/>
  <c r="H40" i="17"/>
  <c r="AM40" i="17" s="1"/>
  <c r="H43" i="17"/>
  <c r="H51" i="17"/>
  <c r="H47" i="17"/>
  <c r="H44" i="17"/>
  <c r="H45" i="17"/>
  <c r="H49" i="17"/>
  <c r="H46" i="17"/>
  <c r="M54" i="17"/>
  <c r="H52" i="17"/>
  <c r="AM52" i="17" s="1"/>
  <c r="R50" i="17" l="1"/>
  <c r="AM50" i="17"/>
  <c r="R49" i="17"/>
  <c r="AM49" i="17"/>
  <c r="R41" i="17"/>
  <c r="T41" i="17" s="1"/>
  <c r="BW41" i="17" s="1"/>
  <c r="AM41" i="17"/>
  <c r="R47" i="17"/>
  <c r="T47" i="17" s="1"/>
  <c r="BW47" i="17" s="1"/>
  <c r="AM47" i="17"/>
  <c r="R51" i="17"/>
  <c r="AM51" i="17"/>
  <c r="R46" i="17"/>
  <c r="T46" i="17" s="1"/>
  <c r="BW46" i="17" s="1"/>
  <c r="AM46" i="17"/>
  <c r="R45" i="17"/>
  <c r="T45" i="17" s="1"/>
  <c r="BW45" i="17" s="1"/>
  <c r="AM45" i="17"/>
  <c r="R44" i="17"/>
  <c r="T44" i="17" s="1"/>
  <c r="BW44" i="17" s="1"/>
  <c r="AM44" i="17"/>
  <c r="R43" i="17"/>
  <c r="AM43" i="17"/>
  <c r="T50" i="17"/>
  <c r="BW50" i="17" s="1"/>
  <c r="T49" i="17"/>
  <c r="BW49" i="17" s="1"/>
  <c r="T51" i="17"/>
  <c r="BW51" i="17" s="1"/>
  <c r="T43" i="17"/>
  <c r="BW43" i="17" s="1"/>
  <c r="N42" i="17"/>
  <c r="R42" i="17"/>
  <c r="N48" i="17"/>
  <c r="R48" i="17"/>
  <c r="N52" i="17"/>
  <c r="R52" i="17"/>
  <c r="N40" i="17"/>
  <c r="R40" i="17"/>
  <c r="N51" i="17"/>
  <c r="N50" i="17"/>
  <c r="N45" i="17"/>
  <c r="N43" i="17"/>
  <c r="N46" i="17"/>
  <c r="N47" i="17"/>
  <c r="N49" i="17"/>
  <c r="N44" i="17"/>
  <c r="N41" i="17"/>
  <c r="H54" i="17"/>
  <c r="BP141" i="1"/>
  <c r="BP173" i="1" s="1"/>
  <c r="BP140" i="1"/>
  <c r="BP172" i="1" s="1"/>
  <c r="BP139" i="1"/>
  <c r="BP171" i="1" s="1"/>
  <c r="BP138" i="1"/>
  <c r="BP170" i="1" s="1"/>
  <c r="BP137" i="1"/>
  <c r="BP169" i="1" s="1"/>
  <c r="BP136" i="1"/>
  <c r="BP168" i="1" s="1"/>
  <c r="BP135" i="1"/>
  <c r="BP167" i="1" s="1"/>
  <c r="BP134" i="1"/>
  <c r="BP166" i="1" s="1"/>
  <c r="BP133" i="1"/>
  <c r="BP165" i="1" s="1"/>
  <c r="BP132" i="1"/>
  <c r="BP164" i="1" s="1"/>
  <c r="BP131" i="1"/>
  <c r="BP163" i="1" s="1"/>
  <c r="BP130" i="1"/>
  <c r="BP162" i="1" s="1"/>
  <c r="BP129" i="1"/>
  <c r="BP161" i="1" s="1"/>
  <c r="BP128" i="1"/>
  <c r="BP160" i="1" s="1"/>
  <c r="BP127" i="1"/>
  <c r="BP159" i="1" s="1"/>
  <c r="BP126" i="1"/>
  <c r="BP158" i="1" s="1"/>
  <c r="BP125" i="1"/>
  <c r="BP157" i="1" s="1"/>
  <c r="BP124" i="1"/>
  <c r="BP156" i="1" s="1"/>
  <c r="BP123" i="1"/>
  <c r="BP155" i="1" s="1"/>
  <c r="BP122" i="1"/>
  <c r="BP154" i="1" s="1"/>
  <c r="BP121" i="1"/>
  <c r="BP153" i="1" s="1"/>
  <c r="BP120" i="1"/>
  <c r="BP152" i="1" s="1"/>
  <c r="BP119" i="1"/>
  <c r="BP151" i="1" s="1"/>
  <c r="BP118" i="1"/>
  <c r="BP150" i="1" s="1"/>
  <c r="BP117" i="1"/>
  <c r="BP149" i="1" s="1"/>
  <c r="BP116" i="1"/>
  <c r="BP148" i="1" s="1"/>
  <c r="BP178" i="1" l="1"/>
  <c r="T52" i="17"/>
  <c r="BW52" i="17" s="1"/>
  <c r="T42" i="17"/>
  <c r="BW42" i="17" s="1"/>
  <c r="T48" i="17"/>
  <c r="BW48" i="17" s="1"/>
  <c r="AM54" i="17"/>
  <c r="T40" i="17"/>
  <c r="BW40" i="17" s="1"/>
  <c r="BR109" i="1"/>
  <c r="BI118" i="1"/>
  <c r="BI110" i="1"/>
  <c r="BI102" i="1"/>
  <c r="BI94" i="1"/>
  <c r="BI86" i="1"/>
  <c r="BI78" i="1"/>
  <c r="BI70" i="1"/>
  <c r="BI62" i="1"/>
  <c r="BI54" i="1"/>
  <c r="BI46" i="1"/>
  <c r="BI38" i="1"/>
  <c r="BI30" i="1"/>
  <c r="BI22" i="1"/>
  <c r="BI14" i="1"/>
  <c r="BT110" i="1"/>
  <c r="BM110" i="1"/>
  <c r="BQ141" i="1"/>
  <c r="BO141" i="1"/>
  <c r="BO173" i="1" s="1"/>
  <c r="BN141" i="1"/>
  <c r="BN173" i="1" s="1"/>
  <c r="BT140" i="1"/>
  <c r="BT172" i="1" s="1"/>
  <c r="BR140" i="1"/>
  <c r="BR172" i="1" s="1"/>
  <c r="BQ140" i="1"/>
  <c r="BQ172" i="1" s="1"/>
  <c r="BO140" i="1"/>
  <c r="BO172" i="1" s="1"/>
  <c r="BN140" i="1"/>
  <c r="BN172" i="1" s="1"/>
  <c r="BT139" i="1"/>
  <c r="BT171" i="1" s="1"/>
  <c r="BR139" i="1"/>
  <c r="BR171" i="1" s="1"/>
  <c r="BQ139" i="1"/>
  <c r="BQ171" i="1" s="1"/>
  <c r="BO139" i="1"/>
  <c r="BN139" i="1"/>
  <c r="BN171" i="1" s="1"/>
  <c r="BT138" i="1"/>
  <c r="BT170" i="1" s="1"/>
  <c r="BR138" i="1"/>
  <c r="BR170" i="1" s="1"/>
  <c r="BQ138" i="1"/>
  <c r="BQ170" i="1" s="1"/>
  <c r="BO138" i="1"/>
  <c r="BN138" i="1"/>
  <c r="BN170" i="1" s="1"/>
  <c r="BT137" i="1"/>
  <c r="BT169" i="1" s="1"/>
  <c r="BR137" i="1"/>
  <c r="BR169" i="1" s="1"/>
  <c r="BQ137" i="1"/>
  <c r="BQ169" i="1" s="1"/>
  <c r="BO137" i="1"/>
  <c r="BN137" i="1"/>
  <c r="BN169" i="1" s="1"/>
  <c r="BT136" i="1"/>
  <c r="BT168" i="1" s="1"/>
  <c r="BR136" i="1"/>
  <c r="BR168" i="1" s="1"/>
  <c r="BQ136" i="1"/>
  <c r="BQ168" i="1" s="1"/>
  <c r="BO136" i="1"/>
  <c r="BN136" i="1"/>
  <c r="BN168" i="1" s="1"/>
  <c r="BM136" i="1"/>
  <c r="BM168" i="1" s="1"/>
  <c r="BL136" i="1"/>
  <c r="BL168" i="1" s="1"/>
  <c r="BT135" i="1"/>
  <c r="BT167" i="1" s="1"/>
  <c r="BR135" i="1"/>
  <c r="BR167" i="1" s="1"/>
  <c r="BQ135" i="1"/>
  <c r="BQ167" i="1" s="1"/>
  <c r="BO135" i="1"/>
  <c r="BN135" i="1"/>
  <c r="BN167" i="1" s="1"/>
  <c r="BM135" i="1"/>
  <c r="BM167" i="1" s="1"/>
  <c r="BL135" i="1"/>
  <c r="BL167" i="1" s="1"/>
  <c r="BT134" i="1"/>
  <c r="BT166" i="1" s="1"/>
  <c r="BR134" i="1"/>
  <c r="BR166" i="1" s="1"/>
  <c r="BQ134" i="1"/>
  <c r="BQ166" i="1" s="1"/>
  <c r="BO134" i="1"/>
  <c r="BN134" i="1"/>
  <c r="BN166" i="1" s="1"/>
  <c r="BM134" i="1"/>
  <c r="BM166" i="1" s="1"/>
  <c r="BL134" i="1"/>
  <c r="BL166" i="1" s="1"/>
  <c r="BR133" i="1"/>
  <c r="BR165" i="1" s="1"/>
  <c r="BQ133" i="1"/>
  <c r="BQ165" i="1" s="1"/>
  <c r="BO133" i="1"/>
  <c r="BN133" i="1"/>
  <c r="BN165" i="1" s="1"/>
  <c r="BM133" i="1"/>
  <c r="BM165" i="1" s="1"/>
  <c r="BL133" i="1"/>
  <c r="BL165" i="1" s="1"/>
  <c r="BT132" i="1"/>
  <c r="BT164" i="1" s="1"/>
  <c r="BR132" i="1"/>
  <c r="BR164" i="1" s="1"/>
  <c r="BQ132" i="1"/>
  <c r="BO132" i="1"/>
  <c r="BN132" i="1"/>
  <c r="BM132" i="1"/>
  <c r="BM164" i="1" s="1"/>
  <c r="BL132" i="1"/>
  <c r="BL164" i="1" s="1"/>
  <c r="BT131" i="1"/>
  <c r="BT163" i="1" s="1"/>
  <c r="BR131" i="1"/>
  <c r="BR163" i="1" s="1"/>
  <c r="BQ131" i="1"/>
  <c r="BQ163" i="1" s="1"/>
  <c r="BO131" i="1"/>
  <c r="BO163" i="1" s="1"/>
  <c r="BN131" i="1"/>
  <c r="BN163" i="1" s="1"/>
  <c r="BM131" i="1"/>
  <c r="BM163" i="1" s="1"/>
  <c r="BL131" i="1"/>
  <c r="BL163" i="1" s="1"/>
  <c r="BT130" i="1"/>
  <c r="BT162" i="1" s="1"/>
  <c r="BR130" i="1"/>
  <c r="BR162" i="1" s="1"/>
  <c r="BO130" i="1"/>
  <c r="BO162" i="1" s="1"/>
  <c r="BN130" i="1"/>
  <c r="BN162" i="1" s="1"/>
  <c r="BL130" i="1"/>
  <c r="BL162" i="1" s="1"/>
  <c r="BT129" i="1"/>
  <c r="BT161" i="1" s="1"/>
  <c r="BR129" i="1"/>
  <c r="BR161" i="1" s="1"/>
  <c r="BQ129" i="1"/>
  <c r="BQ161" i="1" s="1"/>
  <c r="BO129" i="1"/>
  <c r="BO161" i="1" s="1"/>
  <c r="BN129" i="1"/>
  <c r="BN161" i="1" s="1"/>
  <c r="BM129" i="1"/>
  <c r="BM161" i="1" s="1"/>
  <c r="BL129" i="1"/>
  <c r="BL161" i="1" s="1"/>
  <c r="BQ128" i="1"/>
  <c r="BQ160" i="1" s="1"/>
  <c r="BO128" i="1"/>
  <c r="BO160" i="1" s="1"/>
  <c r="BN128" i="1"/>
  <c r="BN160" i="1" s="1"/>
  <c r="BM128" i="1"/>
  <c r="BM160" i="1" s="1"/>
  <c r="BL128" i="1"/>
  <c r="BL160" i="1" s="1"/>
  <c r="BQ127" i="1"/>
  <c r="BQ159" i="1" s="1"/>
  <c r="BO127" i="1"/>
  <c r="BO159" i="1" s="1"/>
  <c r="BN127" i="1"/>
  <c r="BN159" i="1" s="1"/>
  <c r="BM127" i="1"/>
  <c r="BM159" i="1" s="1"/>
  <c r="BL127" i="1"/>
  <c r="BL159" i="1" s="1"/>
  <c r="BT126" i="1"/>
  <c r="BT158" i="1" s="1"/>
  <c r="BR126" i="1"/>
  <c r="BR158" i="1" s="1"/>
  <c r="BQ126" i="1"/>
  <c r="BQ158" i="1" s="1"/>
  <c r="BO126" i="1"/>
  <c r="BO158" i="1" s="1"/>
  <c r="BN126" i="1"/>
  <c r="BN158" i="1" s="1"/>
  <c r="BM126" i="1"/>
  <c r="BM158" i="1" s="1"/>
  <c r="BL126" i="1"/>
  <c r="BL158" i="1" s="1"/>
  <c r="BQ125" i="1"/>
  <c r="BQ157" i="1" s="1"/>
  <c r="BQ124" i="1"/>
  <c r="BQ156" i="1" s="1"/>
  <c r="BQ123" i="1"/>
  <c r="BQ155" i="1" s="1"/>
  <c r="BQ122" i="1"/>
  <c r="BQ154" i="1" s="1"/>
  <c r="BQ121" i="1"/>
  <c r="BQ153" i="1" s="1"/>
  <c r="BQ120" i="1"/>
  <c r="BQ152" i="1" s="1"/>
  <c r="BQ119" i="1"/>
  <c r="BQ151" i="1" s="1"/>
  <c r="BQ118" i="1"/>
  <c r="BQ150" i="1" s="1"/>
  <c r="BQ117" i="1"/>
  <c r="BQ149" i="1" s="1"/>
  <c r="BQ116" i="1"/>
  <c r="BQ148" i="1" s="1"/>
  <c r="DV59" i="15"/>
  <c r="DV58" i="15"/>
  <c r="DV57" i="15"/>
  <c r="DV56" i="15"/>
  <c r="DV55" i="15"/>
  <c r="DV54" i="15"/>
  <c r="DV53" i="15"/>
  <c r="DV52" i="15"/>
  <c r="DV51" i="15"/>
  <c r="DV50" i="15"/>
  <c r="DV49" i="15"/>
  <c r="DV48" i="15"/>
  <c r="DV47" i="15"/>
  <c r="DV46" i="15"/>
  <c r="DV45" i="15"/>
  <c r="DV44" i="15"/>
  <c r="DV43" i="15"/>
  <c r="DV42" i="15"/>
  <c r="DV41" i="15"/>
  <c r="DV40" i="15"/>
  <c r="DV39" i="15"/>
  <c r="DV38" i="15"/>
  <c r="DV37" i="15"/>
  <c r="DV36" i="15"/>
  <c r="DV35" i="15"/>
  <c r="DV34" i="15"/>
  <c r="DV33" i="15"/>
  <c r="DV32" i="15"/>
  <c r="DV31" i="15"/>
  <c r="DV30" i="15"/>
  <c r="DV29" i="15"/>
  <c r="DV28" i="15"/>
  <c r="DV27" i="15"/>
  <c r="DV26" i="15"/>
  <c r="DV25" i="15"/>
  <c r="DV24" i="15"/>
  <c r="DV23" i="15"/>
  <c r="DV22" i="15"/>
  <c r="DV21" i="15"/>
  <c r="DV20" i="15"/>
  <c r="DV19" i="15"/>
  <c r="DV18" i="15"/>
  <c r="DV17" i="15"/>
  <c r="DV16" i="15"/>
  <c r="DV15" i="15"/>
  <c r="BQ178" i="1" l="1"/>
  <c r="BR177" i="1"/>
  <c r="BT177" i="1"/>
  <c r="BO178" i="1"/>
  <c r="BW54" i="17"/>
  <c r="F202" i="11" s="1"/>
  <c r="T54" i="17"/>
  <c r="F190" i="11" s="1"/>
  <c r="DV61" i="15"/>
  <c r="BL176" i="1"/>
  <c r="BM176" i="1"/>
  <c r="BN178" i="1"/>
  <c r="BI120" i="1"/>
  <c r="F196" i="11"/>
  <c r="BU178" i="1" l="1"/>
  <c r="F204" i="11"/>
  <c r="F178" i="11"/>
  <c r="F201" i="11" l="1"/>
  <c r="F177" i="11"/>
  <c r="CK60" i="15" l="1"/>
  <c r="EA59" i="15"/>
  <c r="EC59" i="15" s="1"/>
  <c r="ED59" i="15" s="1"/>
  <c r="EE59" i="15" s="1"/>
  <c r="EA58" i="15"/>
  <c r="EC58" i="15" s="1"/>
  <c r="ED58" i="15" s="1"/>
  <c r="EE58" i="15" s="1"/>
  <c r="EA57" i="15"/>
  <c r="EC57" i="15" s="1"/>
  <c r="ED57" i="15" s="1"/>
  <c r="EE57" i="15" s="1"/>
  <c r="EA56" i="15"/>
  <c r="EC56" i="15" s="1"/>
  <c r="ED56" i="15" s="1"/>
  <c r="EE56" i="15" s="1"/>
  <c r="EA55" i="15"/>
  <c r="EC55" i="15" s="1"/>
  <c r="ED55" i="15" s="1"/>
  <c r="EE55" i="15" s="1"/>
  <c r="EA54" i="15"/>
  <c r="EC54" i="15" s="1"/>
  <c r="ED54" i="15" s="1"/>
  <c r="EE54" i="15" s="1"/>
  <c r="EA53" i="15"/>
  <c r="EC53" i="15" s="1"/>
  <c r="ED53" i="15" s="1"/>
  <c r="EE53" i="15" s="1"/>
  <c r="EA52" i="15"/>
  <c r="EC52" i="15" s="1"/>
  <c r="ED52" i="15" s="1"/>
  <c r="EE52" i="15" s="1"/>
  <c r="EA51" i="15"/>
  <c r="EC51" i="15" s="1"/>
  <c r="ED51" i="15" s="1"/>
  <c r="EE51" i="15" s="1"/>
  <c r="EA50" i="15"/>
  <c r="EC50" i="15" s="1"/>
  <c r="EA49" i="15"/>
  <c r="EC49" i="15" s="1"/>
  <c r="ED49" i="15" s="1"/>
  <c r="EE49" i="15" s="1"/>
  <c r="EA48" i="15"/>
  <c r="EC48" i="15" s="1"/>
  <c r="ED48" i="15" s="1"/>
  <c r="EE48" i="15" s="1"/>
  <c r="EA47" i="15"/>
  <c r="EC47" i="15" s="1"/>
  <c r="ED47" i="15" s="1"/>
  <c r="EE47" i="15" s="1"/>
  <c r="EA46" i="15"/>
  <c r="EA45" i="15"/>
  <c r="EA44" i="15"/>
  <c r="EA43" i="15"/>
  <c r="EA42" i="15"/>
  <c r="EA41" i="15"/>
  <c r="EA40" i="15"/>
  <c r="EA39" i="15"/>
  <c r="EA38" i="15"/>
  <c r="EA37" i="15"/>
  <c r="EA36" i="15"/>
  <c r="EA35" i="15"/>
  <c r="EA34" i="15"/>
  <c r="EA33" i="15"/>
  <c r="EA32" i="15"/>
  <c r="EA31" i="15"/>
  <c r="EA30" i="15"/>
  <c r="EA29" i="15"/>
  <c r="EA28" i="15"/>
  <c r="EA27" i="15"/>
  <c r="EA26" i="15"/>
  <c r="EA25" i="15"/>
  <c r="EA24" i="15"/>
  <c r="EA23" i="15"/>
  <c r="EA22" i="15"/>
  <c r="EA21" i="15"/>
  <c r="EA20" i="15"/>
  <c r="EA19" i="15"/>
  <c r="EA18" i="15"/>
  <c r="EA17" i="15"/>
  <c r="EA16" i="15"/>
  <c r="EA15" i="15"/>
  <c r="DX59" i="15"/>
  <c r="DX58" i="15"/>
  <c r="DX57" i="15"/>
  <c r="DX56" i="15"/>
  <c r="DX55" i="15"/>
  <c r="DX54" i="15"/>
  <c r="DX53" i="15"/>
  <c r="DX52" i="15"/>
  <c r="DX51" i="15"/>
  <c r="DX50" i="15"/>
  <c r="DX49" i="15"/>
  <c r="DX48" i="15"/>
  <c r="DX47" i="15"/>
  <c r="DX46" i="15"/>
  <c r="DX45" i="15"/>
  <c r="DX44" i="15"/>
  <c r="DX43" i="15"/>
  <c r="DX42" i="15"/>
  <c r="DX41" i="15"/>
  <c r="DX40" i="15"/>
  <c r="DX39" i="15"/>
  <c r="DX38" i="15"/>
  <c r="DX37" i="15"/>
  <c r="DX36" i="15"/>
  <c r="DX35" i="15"/>
  <c r="DX34" i="15"/>
  <c r="DX33" i="15"/>
  <c r="DX32" i="15"/>
  <c r="DX31" i="15"/>
  <c r="DX30" i="15"/>
  <c r="DX29" i="15"/>
  <c r="DX28" i="15"/>
  <c r="DX27" i="15"/>
  <c r="DX26" i="15"/>
  <c r="DX25" i="15"/>
  <c r="DX24" i="15"/>
  <c r="DX23" i="15"/>
  <c r="DX22" i="15"/>
  <c r="DX21" i="15"/>
  <c r="DX20" i="15"/>
  <c r="DX19" i="15"/>
  <c r="DX18" i="15"/>
  <c r="DX17" i="15"/>
  <c r="DX16" i="15"/>
  <c r="DX15" i="15"/>
  <c r="DW59" i="15"/>
  <c r="DW58" i="15"/>
  <c r="DW57" i="15"/>
  <c r="DW56" i="15"/>
  <c r="DW55" i="15"/>
  <c r="DW54" i="15"/>
  <c r="DW53" i="15"/>
  <c r="DW52" i="15"/>
  <c r="DW51" i="15"/>
  <c r="DW50" i="15"/>
  <c r="DW49" i="15"/>
  <c r="DW48" i="15"/>
  <c r="DW47" i="15"/>
  <c r="DW46" i="15"/>
  <c r="DW45" i="15"/>
  <c r="DW44" i="15"/>
  <c r="DW43" i="15"/>
  <c r="DW42" i="15"/>
  <c r="DW41" i="15"/>
  <c r="DW40" i="15"/>
  <c r="DW39" i="15"/>
  <c r="DW38" i="15"/>
  <c r="DW37" i="15"/>
  <c r="DW36" i="15"/>
  <c r="DW35" i="15"/>
  <c r="DW34" i="15"/>
  <c r="DW33" i="15"/>
  <c r="DW32" i="15"/>
  <c r="DW31" i="15"/>
  <c r="DW30" i="15"/>
  <c r="DW29" i="15"/>
  <c r="DW28" i="15"/>
  <c r="DW27" i="15"/>
  <c r="DW26" i="15"/>
  <c r="DW25" i="15"/>
  <c r="DW24" i="15"/>
  <c r="DW23" i="15"/>
  <c r="DW22" i="15"/>
  <c r="DW21" i="15"/>
  <c r="DW20" i="15"/>
  <c r="DW19" i="15"/>
  <c r="DW18" i="15"/>
  <c r="DW17" i="15"/>
  <c r="DW16" i="15"/>
  <c r="DW15" i="15"/>
  <c r="CV81" i="15"/>
  <c r="CW81" i="15"/>
  <c r="CV82" i="15"/>
  <c r="CW82" i="15"/>
  <c r="CV83" i="15"/>
  <c r="CW83" i="15"/>
  <c r="CV84" i="15"/>
  <c r="CW84" i="15"/>
  <c r="CV85" i="15"/>
  <c r="CW85" i="15"/>
  <c r="CV86" i="15"/>
  <c r="CW86" i="15"/>
  <c r="CV87" i="15"/>
  <c r="CW87" i="15"/>
  <c r="CV88" i="15"/>
  <c r="CW88" i="15"/>
  <c r="CV89" i="15"/>
  <c r="CW89" i="15"/>
  <c r="CV90" i="15"/>
  <c r="CW90" i="15"/>
  <c r="CV91" i="15"/>
  <c r="CW91" i="15"/>
  <c r="CV92" i="15"/>
  <c r="CW92" i="15"/>
  <c r="CV93" i="15"/>
  <c r="CW93" i="15"/>
  <c r="DY58" i="15" l="1"/>
  <c r="DY42" i="15"/>
  <c r="DY50" i="15"/>
  <c r="DY18" i="15"/>
  <c r="DY34" i="15"/>
  <c r="DY26" i="15"/>
  <c r="DY22" i="15"/>
  <c r="DY30" i="15"/>
  <c r="DY38" i="15"/>
  <c r="DY46" i="15"/>
  <c r="DY54" i="15"/>
  <c r="DX61" i="15"/>
  <c r="DW61" i="15"/>
  <c r="ED50" i="15"/>
  <c r="EC61" i="15"/>
  <c r="DY16" i="15"/>
  <c r="DY20" i="15"/>
  <c r="DY24" i="15"/>
  <c r="DY28" i="15"/>
  <c r="DY32" i="15"/>
  <c r="DY36" i="15"/>
  <c r="DY40" i="15"/>
  <c r="DY44" i="15"/>
  <c r="DY15" i="15"/>
  <c r="DY19" i="15"/>
  <c r="DY23" i="15"/>
  <c r="DY27" i="15"/>
  <c r="DY31" i="15"/>
  <c r="DY35" i="15"/>
  <c r="DY39" i="15"/>
  <c r="DY43" i="15"/>
  <c r="DY47" i="15"/>
  <c r="DY51" i="15"/>
  <c r="DY55" i="15"/>
  <c r="DY59" i="15"/>
  <c r="DY48" i="15"/>
  <c r="DY52" i="15"/>
  <c r="DY56" i="15"/>
  <c r="DY17" i="15"/>
  <c r="DY21" i="15"/>
  <c r="DY25" i="15"/>
  <c r="DY29" i="15"/>
  <c r="DY33" i="15"/>
  <c r="DY37" i="15"/>
  <c r="DY41" i="15"/>
  <c r="DY45" i="15"/>
  <c r="DY49" i="15"/>
  <c r="DY53" i="15"/>
  <c r="DY57" i="15"/>
  <c r="CW95" i="15"/>
  <c r="F187" i="11" l="1"/>
  <c r="DY61" i="15"/>
  <c r="F176" i="11" s="1"/>
  <c r="F186" i="11"/>
  <c r="F184" i="11"/>
  <c r="EE50" i="15"/>
  <c r="EE61" i="15" s="1"/>
  <c r="F173" i="11" s="1"/>
  <c r="ED61" i="15"/>
  <c r="CF60" i="15"/>
  <c r="CE60" i="15"/>
  <c r="CD60" i="15"/>
  <c r="F181" i="11" l="1"/>
  <c r="CM60" i="15"/>
  <c r="CN60" i="15"/>
  <c r="FH75" i="15" l="1"/>
  <c r="FH74" i="15"/>
  <c r="FH73" i="15"/>
  <c r="FH72" i="15"/>
  <c r="FH71" i="15"/>
  <c r="FH70" i="15"/>
  <c r="FH69" i="15"/>
  <c r="FH68" i="15"/>
  <c r="FH67" i="15"/>
  <c r="FH66" i="15"/>
  <c r="FH65" i="15"/>
  <c r="FH64" i="15"/>
  <c r="FH63" i="15"/>
  <c r="FH62" i="15"/>
  <c r="FH61" i="15"/>
  <c r="FH60" i="15"/>
  <c r="FH59" i="15"/>
  <c r="FH58" i="15"/>
  <c r="FH57" i="15"/>
  <c r="FH56" i="15"/>
  <c r="FH55" i="15"/>
  <c r="FH54" i="15"/>
  <c r="FH53" i="15"/>
  <c r="FH52" i="15"/>
  <c r="FH51" i="15"/>
  <c r="FH50" i="15"/>
  <c r="FH49" i="15"/>
  <c r="FH48" i="15"/>
  <c r="FH47" i="15"/>
  <c r="FH46" i="15"/>
  <c r="FH45" i="15"/>
  <c r="FH76" i="15"/>
  <c r="F189" i="11" l="1"/>
  <c r="FU41" i="15"/>
  <c r="HB41" i="15" s="1"/>
  <c r="FT41" i="15"/>
  <c r="GX41" i="15" s="1"/>
  <c r="FU40" i="15"/>
  <c r="HB40" i="15" s="1"/>
  <c r="FT40" i="15"/>
  <c r="GX40" i="15" s="1"/>
  <c r="FU39" i="15"/>
  <c r="HB39" i="15" s="1"/>
  <c r="FT39" i="15"/>
  <c r="GX39" i="15" s="1"/>
  <c r="FU38" i="15"/>
  <c r="HB38" i="15" s="1"/>
  <c r="FT38" i="15"/>
  <c r="GX38" i="15" s="1"/>
  <c r="FU37" i="15"/>
  <c r="HB37" i="15" s="1"/>
  <c r="FT37" i="15"/>
  <c r="GX37" i="15" s="1"/>
  <c r="FU36" i="15"/>
  <c r="HB36" i="15" s="1"/>
  <c r="FT36" i="15"/>
  <c r="GX36" i="15" s="1"/>
  <c r="FU35" i="15"/>
  <c r="HB35" i="15" s="1"/>
  <c r="FT35" i="15"/>
  <c r="GX35" i="15" s="1"/>
  <c r="FU34" i="15"/>
  <c r="HB34" i="15" s="1"/>
  <c r="FT34" i="15"/>
  <c r="GX34" i="15" s="1"/>
  <c r="FU33" i="15"/>
  <c r="HB33" i="15" s="1"/>
  <c r="FT33" i="15"/>
  <c r="GX33" i="15" s="1"/>
  <c r="FU32" i="15"/>
  <c r="HB32" i="15" s="1"/>
  <c r="FT32" i="15"/>
  <c r="GX32" i="15" s="1"/>
  <c r="FU31" i="15"/>
  <c r="HB31" i="15" s="1"/>
  <c r="FT31" i="15"/>
  <c r="GX31" i="15" s="1"/>
  <c r="FU30" i="15"/>
  <c r="HB30" i="15" s="1"/>
  <c r="FT30" i="15"/>
  <c r="GX30" i="15" s="1"/>
  <c r="FU29" i="15"/>
  <c r="HB29" i="15" s="1"/>
  <c r="FT29" i="15"/>
  <c r="GX29" i="15" s="1"/>
  <c r="FU28" i="15"/>
  <c r="HB28" i="15" s="1"/>
  <c r="FT28" i="15"/>
  <c r="GX28" i="15" s="1"/>
  <c r="FU27" i="15"/>
  <c r="HB27" i="15" s="1"/>
  <c r="FT27" i="15"/>
  <c r="GX27" i="15" s="1"/>
  <c r="FU26" i="15"/>
  <c r="HB26" i="15" s="1"/>
  <c r="FT26" i="15"/>
  <c r="GX26" i="15" s="1"/>
  <c r="FU25" i="15"/>
  <c r="HB25" i="15" s="1"/>
  <c r="FT25" i="15"/>
  <c r="GX25" i="15" s="1"/>
  <c r="FU24" i="15"/>
  <c r="HB24" i="15" s="1"/>
  <c r="FT24" i="15"/>
  <c r="GX24" i="15" s="1"/>
  <c r="FU23" i="15"/>
  <c r="HB23" i="15" s="1"/>
  <c r="FT23" i="15"/>
  <c r="GX23" i="15" s="1"/>
  <c r="FU22" i="15"/>
  <c r="HB22" i="15" s="1"/>
  <c r="FT22" i="15"/>
  <c r="GX22" i="15" s="1"/>
  <c r="FU21" i="15"/>
  <c r="HB21" i="15" s="1"/>
  <c r="FT21" i="15"/>
  <c r="GX21" i="15" s="1"/>
  <c r="FU20" i="15"/>
  <c r="HB20" i="15" s="1"/>
  <c r="FT20" i="15"/>
  <c r="GX20" i="15" s="1"/>
  <c r="FU19" i="15"/>
  <c r="HB19" i="15" s="1"/>
  <c r="FT19" i="15"/>
  <c r="GX19" i="15" s="1"/>
  <c r="FU18" i="15"/>
  <c r="HB18" i="15" s="1"/>
  <c r="FT18" i="15"/>
  <c r="GX18" i="15" s="1"/>
  <c r="FU17" i="15"/>
  <c r="HB17" i="15" s="1"/>
  <c r="FT17" i="15"/>
  <c r="GX17" i="15" s="1"/>
  <c r="FU16" i="15"/>
  <c r="HB16" i="15" s="1"/>
  <c r="FT16" i="15"/>
  <c r="GX16" i="15" s="1"/>
  <c r="FU15" i="15"/>
  <c r="HB15" i="15" s="1"/>
  <c r="FT15" i="15"/>
  <c r="GX15" i="15" s="1"/>
  <c r="FU14" i="15"/>
  <c r="HB14" i="15" s="1"/>
  <c r="FT14" i="15"/>
  <c r="GX14" i="15" s="1"/>
  <c r="FU13" i="15"/>
  <c r="HB13" i="15" s="1"/>
  <c r="FT13" i="15"/>
  <c r="GX13" i="15" s="1"/>
  <c r="FU12" i="15"/>
  <c r="HB12" i="15" s="1"/>
  <c r="FT12" i="15"/>
  <c r="GX12" i="15" s="1"/>
  <c r="FU11" i="15"/>
  <c r="HB11" i="15" s="1"/>
  <c r="FT11" i="15"/>
  <c r="GX11" i="15" s="1"/>
  <c r="FU10" i="15"/>
  <c r="HB10" i="15" s="1"/>
  <c r="FT10" i="15"/>
  <c r="GX10" i="15" s="1"/>
  <c r="FP41" i="15"/>
  <c r="GF41" i="15" s="1"/>
  <c r="FO41" i="15"/>
  <c r="GE41" i="15" s="1"/>
  <c r="FN41" i="15"/>
  <c r="FP40" i="15"/>
  <c r="FO40" i="15"/>
  <c r="FN40" i="15"/>
  <c r="FP39" i="15"/>
  <c r="FO39" i="15"/>
  <c r="FN39" i="15"/>
  <c r="FP38" i="15"/>
  <c r="FO38" i="15"/>
  <c r="FN38" i="15"/>
  <c r="FP37" i="15"/>
  <c r="GF37" i="15" s="1"/>
  <c r="FO37" i="15"/>
  <c r="GE37" i="15" s="1"/>
  <c r="FN37" i="15"/>
  <c r="GD37" i="15" s="1"/>
  <c r="FP36" i="15"/>
  <c r="FO36" i="15"/>
  <c r="FN36" i="15"/>
  <c r="FP35" i="15"/>
  <c r="FO35" i="15"/>
  <c r="GE35" i="15" s="1"/>
  <c r="FN35" i="15"/>
  <c r="GD35" i="15" s="1"/>
  <c r="FP34" i="15"/>
  <c r="FO34" i="15"/>
  <c r="GE34" i="15" s="1"/>
  <c r="FN34" i="15"/>
  <c r="FP33" i="15"/>
  <c r="GF33" i="15" s="1"/>
  <c r="FO33" i="15"/>
  <c r="GE33" i="15" s="1"/>
  <c r="FN33" i="15"/>
  <c r="GD33" i="15" s="1"/>
  <c r="FP32" i="15"/>
  <c r="FO32" i="15"/>
  <c r="FN32" i="15"/>
  <c r="FP31" i="15"/>
  <c r="GF31" i="15" s="1"/>
  <c r="FO31" i="15"/>
  <c r="FN31" i="15"/>
  <c r="FP30" i="15"/>
  <c r="FO30" i="15"/>
  <c r="FN30" i="15"/>
  <c r="FP29" i="15"/>
  <c r="GF29" i="15" s="1"/>
  <c r="FO29" i="15"/>
  <c r="GE29" i="15" s="1"/>
  <c r="FN29" i="15"/>
  <c r="GD29" i="15" s="1"/>
  <c r="FP28" i="15"/>
  <c r="FO28" i="15"/>
  <c r="FN28" i="15"/>
  <c r="FP27" i="15"/>
  <c r="GF27" i="15" s="1"/>
  <c r="FO27" i="15"/>
  <c r="GE27" i="15" s="1"/>
  <c r="FN27" i="15"/>
  <c r="GD27" i="15" s="1"/>
  <c r="FP26" i="15"/>
  <c r="FO26" i="15"/>
  <c r="GE26" i="15" s="1"/>
  <c r="FN26" i="15"/>
  <c r="FP25" i="15"/>
  <c r="GF25" i="15" s="1"/>
  <c r="FO25" i="15"/>
  <c r="GE25" i="15" s="1"/>
  <c r="FN25" i="15"/>
  <c r="GD25" i="15" s="1"/>
  <c r="FP24" i="15"/>
  <c r="FO24" i="15"/>
  <c r="FN24" i="15"/>
  <c r="FP23" i="15"/>
  <c r="GF23" i="15" s="1"/>
  <c r="FO23" i="15"/>
  <c r="FN23" i="15"/>
  <c r="FP22" i="15"/>
  <c r="FO22" i="15"/>
  <c r="FN22" i="15"/>
  <c r="FP21" i="15"/>
  <c r="GF21" i="15" s="1"/>
  <c r="FO21" i="15"/>
  <c r="GE21" i="15" s="1"/>
  <c r="FN21" i="15"/>
  <c r="GD21" i="15" s="1"/>
  <c r="FP20" i="15"/>
  <c r="FO20" i="15"/>
  <c r="FN20" i="15"/>
  <c r="FP19" i="15"/>
  <c r="GF19" i="15" s="1"/>
  <c r="FO19" i="15"/>
  <c r="GE19" i="15" s="1"/>
  <c r="FN19" i="15"/>
  <c r="GD19" i="15" s="1"/>
  <c r="FP18" i="15"/>
  <c r="FO18" i="15"/>
  <c r="GE18" i="15" s="1"/>
  <c r="FN18" i="15"/>
  <c r="FP17" i="15"/>
  <c r="GF17" i="15" s="1"/>
  <c r="FO17" i="15"/>
  <c r="GE17" i="15" s="1"/>
  <c r="FN17" i="15"/>
  <c r="GD17" i="15" s="1"/>
  <c r="FP16" i="15"/>
  <c r="FO16" i="15"/>
  <c r="FN16" i="15"/>
  <c r="FP15" i="15"/>
  <c r="GF15" i="15" s="1"/>
  <c r="FO15" i="15"/>
  <c r="FN15" i="15"/>
  <c r="FP14" i="15"/>
  <c r="FO14" i="15"/>
  <c r="FN14" i="15"/>
  <c r="FP13" i="15"/>
  <c r="GF13" i="15" s="1"/>
  <c r="FO13" i="15"/>
  <c r="GE13" i="15" s="1"/>
  <c r="FN13" i="15"/>
  <c r="GD13" i="15" s="1"/>
  <c r="FP12" i="15"/>
  <c r="FO12" i="15"/>
  <c r="FN12" i="15"/>
  <c r="FP11" i="15"/>
  <c r="GF11" i="15" s="1"/>
  <c r="FO11" i="15"/>
  <c r="GE11" i="15" s="1"/>
  <c r="FN11" i="15"/>
  <c r="GD11" i="15" s="1"/>
  <c r="FP10" i="15"/>
  <c r="FO10" i="15"/>
  <c r="GE10" i="15" s="1"/>
  <c r="FN10" i="15"/>
  <c r="FJ41" i="15"/>
  <c r="FI41" i="15"/>
  <c r="FY41" i="15" s="1"/>
  <c r="FH41" i="15"/>
  <c r="FJ40" i="15"/>
  <c r="FZ40" i="15" s="1"/>
  <c r="FI40" i="15"/>
  <c r="FH40" i="15"/>
  <c r="FJ39" i="15"/>
  <c r="FI39" i="15"/>
  <c r="FH39" i="15"/>
  <c r="FJ38" i="15"/>
  <c r="FI38" i="15"/>
  <c r="FH38" i="15"/>
  <c r="FJ37" i="15"/>
  <c r="FI37" i="15"/>
  <c r="FH37" i="15"/>
  <c r="FJ36" i="15"/>
  <c r="FZ36" i="15" s="1"/>
  <c r="FI36" i="15"/>
  <c r="FH36" i="15"/>
  <c r="FJ35" i="15"/>
  <c r="FI35" i="15"/>
  <c r="FH35" i="15"/>
  <c r="FJ34" i="15"/>
  <c r="FI34" i="15"/>
  <c r="FH34" i="15"/>
  <c r="FX34" i="15" s="1"/>
  <c r="FJ33" i="15"/>
  <c r="FI33" i="15"/>
  <c r="FH33" i="15"/>
  <c r="FJ32" i="15"/>
  <c r="FI32" i="15"/>
  <c r="FH32" i="15"/>
  <c r="FJ31" i="15"/>
  <c r="FI31" i="15"/>
  <c r="FH31" i="15"/>
  <c r="FJ30" i="15"/>
  <c r="FI30" i="15"/>
  <c r="FH30" i="15"/>
  <c r="FJ29" i="15"/>
  <c r="FI29" i="15"/>
  <c r="FH29" i="15"/>
  <c r="FJ28" i="15"/>
  <c r="FI28" i="15"/>
  <c r="FH28" i="15"/>
  <c r="FJ27" i="15"/>
  <c r="FI27" i="15"/>
  <c r="FH27" i="15"/>
  <c r="FJ26" i="15"/>
  <c r="FI26" i="15"/>
  <c r="FH26" i="15"/>
  <c r="FX26" i="15" s="1"/>
  <c r="FJ25" i="15"/>
  <c r="FI25" i="15"/>
  <c r="FH25" i="15"/>
  <c r="FJ24" i="15"/>
  <c r="FI24" i="15"/>
  <c r="FH24" i="15"/>
  <c r="FJ23" i="15"/>
  <c r="FI23" i="15"/>
  <c r="FH23" i="15"/>
  <c r="FJ22" i="15"/>
  <c r="FI22" i="15"/>
  <c r="FH22" i="15"/>
  <c r="FJ21" i="15"/>
  <c r="FI21" i="15"/>
  <c r="FH21" i="15"/>
  <c r="FJ20" i="15"/>
  <c r="FI20" i="15"/>
  <c r="FH20" i="15"/>
  <c r="FJ19" i="15"/>
  <c r="FI19" i="15"/>
  <c r="FH19" i="15"/>
  <c r="FJ18" i="15"/>
  <c r="FI18" i="15"/>
  <c r="FH18" i="15"/>
  <c r="FX18" i="15" s="1"/>
  <c r="FJ17" i="15"/>
  <c r="FI17" i="15"/>
  <c r="FH17" i="15"/>
  <c r="FJ16" i="15"/>
  <c r="FI16" i="15"/>
  <c r="FH16" i="15"/>
  <c r="FJ15" i="15"/>
  <c r="FI15" i="15"/>
  <c r="FH15" i="15"/>
  <c r="FJ14" i="15"/>
  <c r="FI14" i="15"/>
  <c r="FH14" i="15"/>
  <c r="FJ13" i="15"/>
  <c r="FI13" i="15"/>
  <c r="FY13" i="15" s="1"/>
  <c r="FH13" i="15"/>
  <c r="FJ12" i="15"/>
  <c r="FZ12" i="15" s="1"/>
  <c r="FI12" i="15"/>
  <c r="FH12" i="15"/>
  <c r="FJ11" i="15"/>
  <c r="FI11" i="15"/>
  <c r="FH11" i="15"/>
  <c r="FJ10" i="15"/>
  <c r="FI10" i="15"/>
  <c r="FH10" i="15"/>
  <c r="FX10" i="15" s="1"/>
  <c r="CJ95" i="15"/>
  <c r="CS93" i="15"/>
  <c r="HL41" i="15" s="1"/>
  <c r="CR93" i="15"/>
  <c r="CI93" i="15"/>
  <c r="CK93" i="15" s="1"/>
  <c r="CS92" i="15"/>
  <c r="HL40" i="15" s="1"/>
  <c r="CR92" i="15"/>
  <c r="CI92" i="15"/>
  <c r="CK92" i="15" s="1"/>
  <c r="CS91" i="15"/>
  <c r="HL39" i="15" s="1"/>
  <c r="CR91" i="15"/>
  <c r="CI91" i="15"/>
  <c r="CK91" i="15" s="1"/>
  <c r="CS90" i="15"/>
  <c r="HL38" i="15" s="1"/>
  <c r="CR90" i="15"/>
  <c r="CI90" i="15"/>
  <c r="CK90" i="15" s="1"/>
  <c r="CS89" i="15"/>
  <c r="HL37" i="15" s="1"/>
  <c r="CR89" i="15"/>
  <c r="CI89" i="15"/>
  <c r="CK89" i="15" s="1"/>
  <c r="CS88" i="15"/>
  <c r="HL36" i="15" s="1"/>
  <c r="CR88" i="15"/>
  <c r="CI88" i="15"/>
  <c r="CK88" i="15" s="1"/>
  <c r="CS87" i="15"/>
  <c r="HL35" i="15" s="1"/>
  <c r="CR87" i="15"/>
  <c r="CI87" i="15"/>
  <c r="CK87" i="15" s="1"/>
  <c r="CS86" i="15"/>
  <c r="HL34" i="15" s="1"/>
  <c r="CR86" i="15"/>
  <c r="CI86" i="15"/>
  <c r="CK86" i="15" s="1"/>
  <c r="CS85" i="15"/>
  <c r="HL33" i="15" s="1"/>
  <c r="CR85" i="15"/>
  <c r="CI85" i="15"/>
  <c r="CK85" i="15" s="1"/>
  <c r="CS84" i="15"/>
  <c r="HL32" i="15" s="1"/>
  <c r="CR84" i="15"/>
  <c r="CI84" i="15"/>
  <c r="CK84" i="15" s="1"/>
  <c r="CS83" i="15"/>
  <c r="HL31" i="15" s="1"/>
  <c r="CR83" i="15"/>
  <c r="CI83" i="15"/>
  <c r="CK83" i="15" s="1"/>
  <c r="HC31" i="15" s="1"/>
  <c r="CS82" i="15"/>
  <c r="HL30" i="15" s="1"/>
  <c r="CR82" i="15"/>
  <c r="CI82" i="15"/>
  <c r="CK82" i="15" s="1"/>
  <c r="HC30" i="15" s="1"/>
  <c r="CS81" i="15"/>
  <c r="HL29" i="15" s="1"/>
  <c r="CR81" i="15"/>
  <c r="CI81" i="15"/>
  <c r="CK81" i="15" s="1"/>
  <c r="CV71" i="15"/>
  <c r="CM63" i="15"/>
  <c r="CM66" i="15" s="1"/>
  <c r="CK63" i="15"/>
  <c r="CV70" i="15" s="1"/>
  <c r="HP41" i="15"/>
  <c r="HP40" i="15"/>
  <c r="HP39" i="15"/>
  <c r="HP38" i="15"/>
  <c r="HP37" i="15"/>
  <c r="HP36" i="15"/>
  <c r="HP35" i="15"/>
  <c r="HP34" i="15"/>
  <c r="HP33" i="15"/>
  <c r="HP32" i="15"/>
  <c r="HP31" i="15"/>
  <c r="HP30" i="15"/>
  <c r="HP29" i="15"/>
  <c r="G6" i="15"/>
  <c r="FY11" i="15" l="1"/>
  <c r="GF35" i="15"/>
  <c r="FY15" i="15"/>
  <c r="FY39" i="15"/>
  <c r="GE14" i="15"/>
  <c r="GE22" i="15"/>
  <c r="GE30" i="15"/>
  <c r="GE38" i="15"/>
  <c r="GD15" i="15"/>
  <c r="GD23" i="15"/>
  <c r="GD39" i="15"/>
  <c r="GE15" i="15"/>
  <c r="GE23" i="15"/>
  <c r="GE31" i="15"/>
  <c r="GE39" i="15"/>
  <c r="FX14" i="15"/>
  <c r="FX22" i="15"/>
  <c r="FX30" i="15"/>
  <c r="FX38" i="15"/>
  <c r="GD31" i="15"/>
  <c r="FZ23" i="15"/>
  <c r="FX25" i="15"/>
  <c r="FZ27" i="15"/>
  <c r="FX29" i="15"/>
  <c r="FZ31" i="15"/>
  <c r="FX33" i="15"/>
  <c r="FZ35" i="15"/>
  <c r="FX37" i="15"/>
  <c r="FZ39" i="15"/>
  <c r="FX41" i="15"/>
  <c r="FZ17" i="15"/>
  <c r="FX19" i="15"/>
  <c r="FZ21" i="15"/>
  <c r="FX23" i="15"/>
  <c r="FZ25" i="15"/>
  <c r="FX27" i="15"/>
  <c r="FZ29" i="15"/>
  <c r="FX31" i="15"/>
  <c r="FZ33" i="15"/>
  <c r="FX35" i="15"/>
  <c r="FZ37" i="15"/>
  <c r="FX39" i="15"/>
  <c r="FZ41" i="15"/>
  <c r="GD12" i="15"/>
  <c r="GF14" i="15"/>
  <c r="GD16" i="15"/>
  <c r="GF18" i="15"/>
  <c r="GD20" i="15"/>
  <c r="GF22" i="15"/>
  <c r="GD24" i="15"/>
  <c r="GF26" i="15"/>
  <c r="GD28" i="15"/>
  <c r="GF30" i="15"/>
  <c r="GD32" i="15"/>
  <c r="GF34" i="15"/>
  <c r="GD36" i="15"/>
  <c r="GF38" i="15"/>
  <c r="GD40" i="15"/>
  <c r="GE12" i="15"/>
  <c r="GE16" i="15"/>
  <c r="GE20" i="15"/>
  <c r="GE24" i="15"/>
  <c r="GE28" i="15"/>
  <c r="GE32" i="15"/>
  <c r="GE36" i="15"/>
  <c r="GE40" i="15"/>
  <c r="GF12" i="15"/>
  <c r="GD14" i="15"/>
  <c r="GF16" i="15"/>
  <c r="GD18" i="15"/>
  <c r="GF20" i="15"/>
  <c r="GD22" i="15"/>
  <c r="GF24" i="15"/>
  <c r="GD26" i="15"/>
  <c r="GF28" i="15"/>
  <c r="GD30" i="15"/>
  <c r="GF32" i="15"/>
  <c r="GD34" i="15"/>
  <c r="GF36" i="15"/>
  <c r="GD38" i="15"/>
  <c r="GF40" i="15"/>
  <c r="FX12" i="15"/>
  <c r="FX16" i="15"/>
  <c r="FX20" i="15"/>
  <c r="FX24" i="15"/>
  <c r="GF39" i="15"/>
  <c r="GD41" i="15"/>
  <c r="FV33" i="15"/>
  <c r="FY10" i="15"/>
  <c r="FY18" i="15"/>
  <c r="FY22" i="15"/>
  <c r="FY26" i="15"/>
  <c r="FY30" i="15"/>
  <c r="FY34" i="15"/>
  <c r="FY38" i="15"/>
  <c r="FX28" i="15"/>
  <c r="FX32" i="15"/>
  <c r="FX36" i="15"/>
  <c r="FZ38" i="15"/>
  <c r="FX40" i="15"/>
  <c r="FY16" i="15"/>
  <c r="FY20" i="15"/>
  <c r="FY24" i="15"/>
  <c r="FY28" i="15"/>
  <c r="FY32" i="15"/>
  <c r="FY36" i="15"/>
  <c r="FY40" i="15"/>
  <c r="FV35" i="15"/>
  <c r="FV36" i="15"/>
  <c r="FV27" i="15"/>
  <c r="FV31" i="15"/>
  <c r="FV12" i="15"/>
  <c r="FV18" i="15"/>
  <c r="FV19" i="15"/>
  <c r="FV21" i="15"/>
  <c r="FV32" i="15"/>
  <c r="FV10" i="15"/>
  <c r="FV11" i="15"/>
  <c r="FV13" i="15"/>
  <c r="FV26" i="15"/>
  <c r="FV28" i="15"/>
  <c r="FV20" i="15"/>
  <c r="FZ16" i="15"/>
  <c r="FY19" i="15"/>
  <c r="FZ20" i="15"/>
  <c r="FY23" i="15"/>
  <c r="FZ24" i="15"/>
  <c r="FY27" i="15"/>
  <c r="FZ28" i="15"/>
  <c r="FY31" i="15"/>
  <c r="FZ32" i="15"/>
  <c r="FY35" i="15"/>
  <c r="FQ10" i="15"/>
  <c r="GG10" i="15" s="1"/>
  <c r="GD10" i="15"/>
  <c r="FV29" i="15"/>
  <c r="FV38" i="15"/>
  <c r="FV40" i="15"/>
  <c r="FZ11" i="15"/>
  <c r="FX13" i="15"/>
  <c r="FZ13" i="15"/>
  <c r="FX15" i="15"/>
  <c r="FX21" i="15"/>
  <c r="FZ10" i="15"/>
  <c r="FZ14" i="15"/>
  <c r="FY17" i="15"/>
  <c r="FZ18" i="15"/>
  <c r="FY21" i="15"/>
  <c r="FZ22" i="15"/>
  <c r="FY25" i="15"/>
  <c r="FZ26" i="15"/>
  <c r="FY29" i="15"/>
  <c r="FZ30" i="15"/>
  <c r="FY33" i="15"/>
  <c r="FZ34" i="15"/>
  <c r="FY37" i="15"/>
  <c r="GF10" i="15"/>
  <c r="FV16" i="15"/>
  <c r="FV24" i="15"/>
  <c r="FV30" i="15"/>
  <c r="FV37" i="15"/>
  <c r="FV39" i="15"/>
  <c r="FV41" i="15"/>
  <c r="FY12" i="15"/>
  <c r="FZ15" i="15"/>
  <c r="FX17" i="15"/>
  <c r="FV14" i="15"/>
  <c r="FV15" i="15"/>
  <c r="FV17" i="15"/>
  <c r="FV22" i="15"/>
  <c r="FV23" i="15"/>
  <c r="FV25" i="15"/>
  <c r="FV34" i="15"/>
  <c r="FX11" i="15"/>
  <c r="FY14" i="15"/>
  <c r="FZ19" i="15"/>
  <c r="FQ12" i="15"/>
  <c r="GG12" i="15" s="1"/>
  <c r="FR13" i="15"/>
  <c r="GH13" i="15" s="1"/>
  <c r="HO13" i="15" s="1"/>
  <c r="FQ16" i="15"/>
  <c r="GG16" i="15" s="1"/>
  <c r="FR17" i="15"/>
  <c r="GH17" i="15" s="1"/>
  <c r="HO17" i="15" s="1"/>
  <c r="FQ20" i="15"/>
  <c r="GG20" i="15" s="1"/>
  <c r="FR21" i="15"/>
  <c r="GH21" i="15" s="1"/>
  <c r="HO21" i="15" s="1"/>
  <c r="FQ24" i="15"/>
  <c r="GG24" i="15" s="1"/>
  <c r="FR25" i="15"/>
  <c r="GH25" i="15" s="1"/>
  <c r="HO25" i="15" s="1"/>
  <c r="FQ28" i="15"/>
  <c r="GG28" i="15" s="1"/>
  <c r="FR29" i="15"/>
  <c r="GH29" i="15" s="1"/>
  <c r="HO29" i="15" s="1"/>
  <c r="FQ32" i="15"/>
  <c r="GG32" i="15" s="1"/>
  <c r="FR33" i="15"/>
  <c r="GH33" i="15" s="1"/>
  <c r="HO33" i="15" s="1"/>
  <c r="FQ36" i="15"/>
  <c r="GG36" i="15" s="1"/>
  <c r="FR11" i="15"/>
  <c r="GH11" i="15" s="1"/>
  <c r="HO11" i="15" s="1"/>
  <c r="FQ14" i="15"/>
  <c r="GG14" i="15" s="1"/>
  <c r="FR15" i="15"/>
  <c r="GH15" i="15" s="1"/>
  <c r="HO15" i="15" s="1"/>
  <c r="FR19" i="15"/>
  <c r="GH19" i="15" s="1"/>
  <c r="HO19" i="15" s="1"/>
  <c r="FR23" i="15"/>
  <c r="GH23" i="15" s="1"/>
  <c r="HO23" i="15" s="1"/>
  <c r="FQ18" i="15"/>
  <c r="GG18" i="15" s="1"/>
  <c r="FR37" i="15"/>
  <c r="GH37" i="15" s="1"/>
  <c r="HO37" i="15" s="1"/>
  <c r="FQ22" i="15"/>
  <c r="GG22" i="15" s="1"/>
  <c r="FQ26" i="15"/>
  <c r="GG26" i="15" s="1"/>
  <c r="FR27" i="15"/>
  <c r="GH27" i="15" s="1"/>
  <c r="HO27" i="15" s="1"/>
  <c r="FQ30" i="15"/>
  <c r="GG30" i="15" s="1"/>
  <c r="FR31" i="15"/>
  <c r="GH31" i="15" s="1"/>
  <c r="HO31" i="15" s="1"/>
  <c r="FQ34" i="15"/>
  <c r="GG34" i="15" s="1"/>
  <c r="FQ40" i="15"/>
  <c r="GG40" i="15" s="1"/>
  <c r="FR35" i="15"/>
  <c r="GH35" i="15" s="1"/>
  <c r="HO35" i="15" s="1"/>
  <c r="FR39" i="15"/>
  <c r="GH39" i="15" s="1"/>
  <c r="HO39" i="15" s="1"/>
  <c r="FR40" i="15"/>
  <c r="GH40" i="15" s="1"/>
  <c r="HO40" i="15" s="1"/>
  <c r="FR41" i="15"/>
  <c r="GH41" i="15" s="1"/>
  <c r="HO41" i="15" s="1"/>
  <c r="FQ38" i="15"/>
  <c r="GG38" i="15" s="1"/>
  <c r="FR10" i="15"/>
  <c r="GH10" i="15" s="1"/>
  <c r="HO10" i="15" s="1"/>
  <c r="FQ13" i="15"/>
  <c r="GG13" i="15" s="1"/>
  <c r="FR14" i="15"/>
  <c r="GH14" i="15" s="1"/>
  <c r="HO14" i="15" s="1"/>
  <c r="FQ17" i="15"/>
  <c r="GG17" i="15" s="1"/>
  <c r="FR18" i="15"/>
  <c r="GH18" i="15" s="1"/>
  <c r="HO18" i="15" s="1"/>
  <c r="FQ21" i="15"/>
  <c r="GG21" i="15" s="1"/>
  <c r="FR22" i="15"/>
  <c r="GH22" i="15" s="1"/>
  <c r="HO22" i="15" s="1"/>
  <c r="FQ25" i="15"/>
  <c r="GG25" i="15" s="1"/>
  <c r="FR26" i="15"/>
  <c r="GH26" i="15" s="1"/>
  <c r="HO26" i="15" s="1"/>
  <c r="FQ29" i="15"/>
  <c r="GG29" i="15" s="1"/>
  <c r="FR30" i="15"/>
  <c r="GH30" i="15" s="1"/>
  <c r="HO30" i="15" s="1"/>
  <c r="FQ33" i="15"/>
  <c r="GG33" i="15" s="1"/>
  <c r="FR34" i="15"/>
  <c r="GH34" i="15" s="1"/>
  <c r="HO34" i="15" s="1"/>
  <c r="FQ37" i="15"/>
  <c r="GG37" i="15" s="1"/>
  <c r="FR38" i="15"/>
  <c r="GH38" i="15" s="1"/>
  <c r="HO38" i="15" s="1"/>
  <c r="FQ41" i="15"/>
  <c r="GG41" i="15" s="1"/>
  <c r="FQ11" i="15"/>
  <c r="GG11" i="15" s="1"/>
  <c r="FR12" i="15"/>
  <c r="GH12" i="15" s="1"/>
  <c r="HO12" i="15" s="1"/>
  <c r="FR16" i="15"/>
  <c r="GH16" i="15" s="1"/>
  <c r="HO16" i="15" s="1"/>
  <c r="FR20" i="15"/>
  <c r="GH20" i="15" s="1"/>
  <c r="HO20" i="15" s="1"/>
  <c r="FR24" i="15"/>
  <c r="GH24" i="15" s="1"/>
  <c r="HO24" i="15" s="1"/>
  <c r="FR28" i="15"/>
  <c r="GH28" i="15" s="1"/>
  <c r="HO28" i="15" s="1"/>
  <c r="FR32" i="15"/>
  <c r="GH32" i="15" s="1"/>
  <c r="HO32" i="15" s="1"/>
  <c r="FR36" i="15"/>
  <c r="GH36" i="15" s="1"/>
  <c r="HO36" i="15" s="1"/>
  <c r="FN43" i="15"/>
  <c r="F179" i="11" s="1"/>
  <c r="FQ15" i="15"/>
  <c r="GG15" i="15" s="1"/>
  <c r="FQ19" i="15"/>
  <c r="GG19" i="15" s="1"/>
  <c r="FQ23" i="15"/>
  <c r="GG23" i="15" s="1"/>
  <c r="FQ27" i="15"/>
  <c r="GG27" i="15" s="1"/>
  <c r="FQ31" i="15"/>
  <c r="GG31" i="15" s="1"/>
  <c r="FQ35" i="15"/>
  <c r="GG35" i="15" s="1"/>
  <c r="FQ39" i="15"/>
  <c r="GG39" i="15" s="1"/>
  <c r="FK12" i="15"/>
  <c r="GA12" i="15" s="1"/>
  <c r="FL13" i="15"/>
  <c r="GB13" i="15" s="1"/>
  <c r="HK13" i="15" s="1"/>
  <c r="FK16" i="15"/>
  <c r="GA16" i="15" s="1"/>
  <c r="FK20" i="15"/>
  <c r="GA20" i="15" s="1"/>
  <c r="FK24" i="15"/>
  <c r="GA24" i="15" s="1"/>
  <c r="FK28" i="15"/>
  <c r="GA28" i="15" s="1"/>
  <c r="FK32" i="15"/>
  <c r="GA32" i="15" s="1"/>
  <c r="FK36" i="15"/>
  <c r="GA36" i="15" s="1"/>
  <c r="FK40" i="15"/>
  <c r="GA40" i="15" s="1"/>
  <c r="FL11" i="15"/>
  <c r="GB11" i="15" s="1"/>
  <c r="HK11" i="15" s="1"/>
  <c r="FL12" i="15"/>
  <c r="GB12" i="15" s="1"/>
  <c r="HK12" i="15" s="1"/>
  <c r="FK14" i="15"/>
  <c r="GA14" i="15" s="1"/>
  <c r="FL15" i="15"/>
  <c r="GB15" i="15" s="1"/>
  <c r="HK15" i="15" s="1"/>
  <c r="FK18" i="15"/>
  <c r="GA18" i="15" s="1"/>
  <c r="FK22" i="15"/>
  <c r="GA22" i="15" s="1"/>
  <c r="FK26" i="15"/>
  <c r="GA26" i="15" s="1"/>
  <c r="FK30" i="15"/>
  <c r="GA30" i="15" s="1"/>
  <c r="FK10" i="15"/>
  <c r="GA10" i="15" s="1"/>
  <c r="CN84" i="15"/>
  <c r="HC32" i="15"/>
  <c r="HD32" i="15" s="1"/>
  <c r="FK34" i="15"/>
  <c r="GA34" i="15" s="1"/>
  <c r="FK38" i="15"/>
  <c r="GA38" i="15" s="1"/>
  <c r="CT87" i="15"/>
  <c r="GY35" i="15" s="1"/>
  <c r="GZ35" i="15" s="1"/>
  <c r="FL10" i="15"/>
  <c r="GB10" i="15" s="1"/>
  <c r="HK10" i="15" s="1"/>
  <c r="FK13" i="15"/>
  <c r="GA13" i="15" s="1"/>
  <c r="FK17" i="15"/>
  <c r="GA17" i="15" s="1"/>
  <c r="FL18" i="15"/>
  <c r="FK21" i="15"/>
  <c r="GA21" i="15" s="1"/>
  <c r="FL22" i="15"/>
  <c r="FK25" i="15"/>
  <c r="GA25" i="15" s="1"/>
  <c r="FL26" i="15"/>
  <c r="GB26" i="15" s="1"/>
  <c r="HK26" i="15" s="1"/>
  <c r="FK29" i="15"/>
  <c r="GA29" i="15" s="1"/>
  <c r="FL30" i="15"/>
  <c r="GB30" i="15" s="1"/>
  <c r="HK30" i="15" s="1"/>
  <c r="FK33" i="15"/>
  <c r="GA33" i="15" s="1"/>
  <c r="FL34" i="15"/>
  <c r="GB34" i="15" s="1"/>
  <c r="HK34" i="15" s="1"/>
  <c r="FK37" i="15"/>
  <c r="GA37" i="15" s="1"/>
  <c r="FL38" i="15"/>
  <c r="GB38" i="15" s="1"/>
  <c r="HK38" i="15" s="1"/>
  <c r="HM38" i="15" s="1"/>
  <c r="FL39" i="15"/>
  <c r="GB39" i="15" s="1"/>
  <c r="HK39" i="15" s="1"/>
  <c r="HM39" i="15" s="1"/>
  <c r="FK41" i="15"/>
  <c r="GA41" i="15" s="1"/>
  <c r="HT38" i="15"/>
  <c r="CS95" i="15"/>
  <c r="CT93" i="15"/>
  <c r="CU93" i="15" s="1"/>
  <c r="FK11" i="15"/>
  <c r="GA11" i="15" s="1"/>
  <c r="FK15" i="15"/>
  <c r="GA15" i="15" s="1"/>
  <c r="FK19" i="15"/>
  <c r="GA19" i="15" s="1"/>
  <c r="FL20" i="15"/>
  <c r="FK23" i="15"/>
  <c r="GA23" i="15" s="1"/>
  <c r="FL24" i="15"/>
  <c r="FK27" i="15"/>
  <c r="GA27" i="15" s="1"/>
  <c r="FL28" i="15"/>
  <c r="FK31" i="15"/>
  <c r="GA31" i="15" s="1"/>
  <c r="FL32" i="15"/>
  <c r="FK35" i="15"/>
  <c r="GA35" i="15" s="1"/>
  <c r="FL36" i="15"/>
  <c r="FK39" i="15"/>
  <c r="GA39" i="15" s="1"/>
  <c r="FL40" i="15"/>
  <c r="FL17" i="15"/>
  <c r="GB17" i="15" s="1"/>
  <c r="HK17" i="15" s="1"/>
  <c r="FL21" i="15"/>
  <c r="FL25" i="15"/>
  <c r="GB25" i="15" s="1"/>
  <c r="HK25" i="15" s="1"/>
  <c r="FL29" i="15"/>
  <c r="GB29" i="15" s="1"/>
  <c r="HK29" i="15" s="1"/>
  <c r="FL33" i="15"/>
  <c r="FL37" i="15"/>
  <c r="FL41" i="15"/>
  <c r="FL14" i="15"/>
  <c r="FL16" i="15"/>
  <c r="FL19" i="15"/>
  <c r="FL23" i="15"/>
  <c r="GB23" i="15" s="1"/>
  <c r="HK23" i="15" s="1"/>
  <c r="FL27" i="15"/>
  <c r="FL31" i="15"/>
  <c r="FL35" i="15"/>
  <c r="GB35" i="15" s="1"/>
  <c r="HK35" i="15" s="1"/>
  <c r="FH43" i="15"/>
  <c r="F182" i="11" s="1"/>
  <c r="HT32" i="15"/>
  <c r="HT40" i="15"/>
  <c r="CT91" i="15"/>
  <c r="CU91" i="15" s="1"/>
  <c r="CT83" i="15"/>
  <c r="GY31" i="15" s="1"/>
  <c r="HT33" i="15"/>
  <c r="HT37" i="15"/>
  <c r="CT81" i="15"/>
  <c r="CN81" i="15"/>
  <c r="HC29" i="15"/>
  <c r="HE29" i="15" s="1"/>
  <c r="CL92" i="15"/>
  <c r="HC40" i="15"/>
  <c r="HE40" i="15" s="1"/>
  <c r="CN92" i="15"/>
  <c r="CN93" i="15"/>
  <c r="HC41" i="15"/>
  <c r="HE41" i="15" s="1"/>
  <c r="HT29" i="15"/>
  <c r="HD30" i="15"/>
  <c r="CI95" i="15"/>
  <c r="CT90" i="15"/>
  <c r="HD31" i="15"/>
  <c r="HT34" i="15"/>
  <c r="HT41" i="15"/>
  <c r="CT82" i="15"/>
  <c r="CR95" i="15"/>
  <c r="CT92" i="15"/>
  <c r="CU92" i="15" s="1"/>
  <c r="CK70" i="15"/>
  <c r="CK72" i="15" s="1"/>
  <c r="CV72" i="15" s="1"/>
  <c r="CV73" i="15" s="1"/>
  <c r="CV74" i="15" s="1"/>
  <c r="CM67" i="15"/>
  <c r="CN88" i="15"/>
  <c r="HC36" i="15"/>
  <c r="CL88" i="15"/>
  <c r="CN85" i="15"/>
  <c r="HC33" i="15"/>
  <c r="HE33" i="15" s="1"/>
  <c r="CN89" i="15"/>
  <c r="HC37" i="15"/>
  <c r="HE37" i="15" s="1"/>
  <c r="HG38" i="15"/>
  <c r="HE30" i="15"/>
  <c r="HE31" i="15"/>
  <c r="HG34" i="15"/>
  <c r="HG40" i="15"/>
  <c r="CK66" i="15"/>
  <c r="CN66" i="15" s="1"/>
  <c r="CK73" i="15"/>
  <c r="CL84" i="15"/>
  <c r="CT85" i="15"/>
  <c r="CT88" i="15"/>
  <c r="HT30" i="15"/>
  <c r="HT31" i="15"/>
  <c r="HT35" i="15"/>
  <c r="HG36" i="15"/>
  <c r="HT36" i="15"/>
  <c r="HG39" i="15"/>
  <c r="HG41" i="15"/>
  <c r="CT86" i="15"/>
  <c r="CT89" i="15"/>
  <c r="HG29" i="15"/>
  <c r="HG30" i="15"/>
  <c r="HG31" i="15"/>
  <c r="HG32" i="15"/>
  <c r="HG33" i="15"/>
  <c r="HG35" i="15"/>
  <c r="HG37" i="15"/>
  <c r="HT39" i="15"/>
  <c r="CL82" i="15"/>
  <c r="CN82" i="15"/>
  <c r="CX82" i="15" s="1"/>
  <c r="CY82" i="15" s="1"/>
  <c r="CN83" i="15"/>
  <c r="CX83" i="15" s="1"/>
  <c r="CY83" i="15" s="1"/>
  <c r="CL83" i="15"/>
  <c r="CL86" i="15"/>
  <c r="HC34" i="15"/>
  <c r="CN86" i="15"/>
  <c r="CX86" i="15" s="1"/>
  <c r="CY86" i="15" s="1"/>
  <c r="HC35" i="15"/>
  <c r="HE35" i="15" s="1"/>
  <c r="CN87" i="15"/>
  <c r="CX87" i="15" s="1"/>
  <c r="CY87" i="15" s="1"/>
  <c r="CL87" i="15"/>
  <c r="CL90" i="15"/>
  <c r="HC38" i="15"/>
  <c r="CN90" i="15"/>
  <c r="CX90" i="15" s="1"/>
  <c r="CY90" i="15" s="1"/>
  <c r="HC39" i="15"/>
  <c r="HE39" i="15" s="1"/>
  <c r="CN91" i="15"/>
  <c r="CX91" i="15" s="1"/>
  <c r="CY91" i="15" s="1"/>
  <c r="CL91" i="15"/>
  <c r="CN63" i="15"/>
  <c r="CL81" i="15"/>
  <c r="CT84" i="15"/>
  <c r="CL85" i="15"/>
  <c r="CL89" i="15"/>
  <c r="CL93" i="15"/>
  <c r="CO89" i="15" l="1"/>
  <c r="CX89" i="15"/>
  <c r="CY89" i="15" s="1"/>
  <c r="CO93" i="15"/>
  <c r="CX93" i="15"/>
  <c r="CY93" i="15" s="1"/>
  <c r="CO84" i="15"/>
  <c r="CX84" i="15"/>
  <c r="CO81" i="15"/>
  <c r="CX81" i="15"/>
  <c r="CY81" i="15" s="1"/>
  <c r="CO92" i="15"/>
  <c r="CX92" i="15"/>
  <c r="CY92" i="15" s="1"/>
  <c r="CO88" i="15"/>
  <c r="CX88" i="15"/>
  <c r="CY88" i="15" s="1"/>
  <c r="CO85" i="15"/>
  <c r="CX85" i="15"/>
  <c r="CY85" i="15" s="1"/>
  <c r="GD43" i="15"/>
  <c r="CU87" i="15"/>
  <c r="GY41" i="15"/>
  <c r="GZ41" i="15" s="1"/>
  <c r="FX43" i="15"/>
  <c r="F174" i="11" s="1"/>
  <c r="GH43" i="15"/>
  <c r="HD41" i="15"/>
  <c r="HQ41" i="15"/>
  <c r="HD29" i="15"/>
  <c r="GY39" i="15"/>
  <c r="GZ39" i="15" s="1"/>
  <c r="HQ34" i="15"/>
  <c r="HQ40" i="15"/>
  <c r="CU83" i="15"/>
  <c r="CK67" i="15"/>
  <c r="CN67" i="15" s="1"/>
  <c r="GY40" i="15"/>
  <c r="HH40" i="15" s="1"/>
  <c r="HI40" i="15" s="1"/>
  <c r="HD37" i="15"/>
  <c r="GB19" i="15"/>
  <c r="HK19" i="15" s="1"/>
  <c r="GB41" i="15"/>
  <c r="HK41" i="15" s="1"/>
  <c r="HS41" i="15" s="1"/>
  <c r="HU41" i="15" s="1"/>
  <c r="GB31" i="15"/>
  <c r="HK31" i="15" s="1"/>
  <c r="HM31" i="15" s="1"/>
  <c r="GB16" i="15"/>
  <c r="HK16" i="15" s="1"/>
  <c r="GB21" i="15"/>
  <c r="HK21" i="15" s="1"/>
  <c r="GB36" i="15"/>
  <c r="HK36" i="15" s="1"/>
  <c r="HM36" i="15" s="1"/>
  <c r="GB28" i="15"/>
  <c r="HK28" i="15" s="1"/>
  <c r="GB20" i="15"/>
  <c r="HK20" i="15" s="1"/>
  <c r="GB18" i="15"/>
  <c r="HK18" i="15" s="1"/>
  <c r="GB37" i="15"/>
  <c r="HK37" i="15" s="1"/>
  <c r="HE32" i="15"/>
  <c r="GB27" i="15"/>
  <c r="HK27" i="15" s="1"/>
  <c r="GB14" i="15"/>
  <c r="HK14" i="15" s="1"/>
  <c r="GB33" i="15"/>
  <c r="HK33" i="15" s="1"/>
  <c r="HM33" i="15" s="1"/>
  <c r="HD40" i="15"/>
  <c r="GB40" i="15"/>
  <c r="HK40" i="15" s="1"/>
  <c r="HM40" i="15" s="1"/>
  <c r="GB32" i="15"/>
  <c r="HK32" i="15" s="1"/>
  <c r="GB24" i="15"/>
  <c r="HK24" i="15" s="1"/>
  <c r="GB22" i="15"/>
  <c r="HK22" i="15" s="1"/>
  <c r="FR43" i="15"/>
  <c r="F180" i="11" s="1"/>
  <c r="CK74" i="15"/>
  <c r="FL43" i="15"/>
  <c r="F183" i="11" s="1"/>
  <c r="HD39" i="15"/>
  <c r="HD33" i="15"/>
  <c r="GZ31" i="15"/>
  <c r="HH31" i="15"/>
  <c r="HI31" i="15" s="1"/>
  <c r="CN95" i="15"/>
  <c r="HH35" i="15"/>
  <c r="HI35" i="15" s="1"/>
  <c r="CU81" i="15"/>
  <c r="GY29" i="15"/>
  <c r="CU90" i="15"/>
  <c r="GY38" i="15"/>
  <c r="GZ38" i="15" s="1"/>
  <c r="CU82" i="15"/>
  <c r="GY30" i="15"/>
  <c r="CU89" i="15"/>
  <c r="GY37" i="15"/>
  <c r="CU86" i="15"/>
  <c r="GY34" i="15"/>
  <c r="HE36" i="15"/>
  <c r="HD36" i="15"/>
  <c r="CU88" i="15"/>
  <c r="GY36" i="15"/>
  <c r="CL95" i="15"/>
  <c r="CU85" i="15"/>
  <c r="GY33" i="15"/>
  <c r="CO90" i="15"/>
  <c r="CO87" i="15"/>
  <c r="CO91" i="15"/>
  <c r="HD38" i="15"/>
  <c r="HE38" i="15"/>
  <c r="CO86" i="15"/>
  <c r="CO82" i="15"/>
  <c r="HM30" i="15"/>
  <c r="HM29" i="15"/>
  <c r="HH41" i="15"/>
  <c r="HI41" i="15" s="1"/>
  <c r="HE34" i="15"/>
  <c r="HD34" i="15"/>
  <c r="CO83" i="15"/>
  <c r="HM34" i="15"/>
  <c r="HD35" i="15"/>
  <c r="CU84" i="15"/>
  <c r="GY32" i="15"/>
  <c r="F172" i="11" l="1"/>
  <c r="F171" i="11"/>
  <c r="HM41" i="15"/>
  <c r="CX95" i="15"/>
  <c r="CY84" i="15"/>
  <c r="CY95" i="15" s="1"/>
  <c r="HH39" i="15"/>
  <c r="HI39" i="15" s="1"/>
  <c r="GZ40" i="15"/>
  <c r="HS34" i="15"/>
  <c r="HU34" i="15" s="1"/>
  <c r="HS40" i="15"/>
  <c r="HU40" i="15" s="1"/>
  <c r="HQ35" i="15"/>
  <c r="HQ37" i="15"/>
  <c r="HQ36" i="15"/>
  <c r="HQ32" i="15"/>
  <c r="HQ39" i="15"/>
  <c r="HS39" i="15"/>
  <c r="HU39" i="15" s="1"/>
  <c r="GB43" i="15"/>
  <c r="F175" i="11" s="1"/>
  <c r="CU95" i="15"/>
  <c r="HH38" i="15"/>
  <c r="HI38" i="15" s="1"/>
  <c r="GZ29" i="15"/>
  <c r="HH29" i="15"/>
  <c r="HI29" i="15" s="1"/>
  <c r="HH30" i="15"/>
  <c r="HI30" i="15" s="1"/>
  <c r="GZ30" i="15"/>
  <c r="CO95" i="15"/>
  <c r="GZ33" i="15"/>
  <c r="HH33" i="15"/>
  <c r="HI33" i="15" s="1"/>
  <c r="HH36" i="15"/>
  <c r="HI36" i="15" s="1"/>
  <c r="GZ36" i="15"/>
  <c r="HH34" i="15"/>
  <c r="HI34" i="15" s="1"/>
  <c r="GZ34" i="15"/>
  <c r="HH37" i="15"/>
  <c r="HI37" i="15" s="1"/>
  <c r="GZ37" i="15"/>
  <c r="HH32" i="15"/>
  <c r="HI32" i="15" s="1"/>
  <c r="GZ32" i="15"/>
  <c r="HS32" i="15"/>
  <c r="HU32" i="15" s="1"/>
  <c r="HM32" i="15"/>
  <c r="Y39" i="6" l="1"/>
  <c r="HQ31" i="15"/>
  <c r="HS31" i="15"/>
  <c r="HU31" i="15" s="1"/>
  <c r="HQ38" i="15"/>
  <c r="HS38" i="15"/>
  <c r="HU38" i="15" s="1"/>
  <c r="HS36" i="15"/>
  <c r="HU36" i="15" s="1"/>
  <c r="HQ33" i="15"/>
  <c r="HS33" i="15"/>
  <c r="HU33" i="15" s="1"/>
  <c r="HQ29" i="15"/>
  <c r="HS29" i="15"/>
  <c r="HU29" i="15" s="1"/>
  <c r="HQ30" i="15"/>
  <c r="HS30" i="15"/>
  <c r="HU30" i="15" s="1"/>
  <c r="HM37" i="15"/>
  <c r="HS37" i="15"/>
  <c r="HU37" i="15" s="1"/>
  <c r="HS35" i="15"/>
  <c r="HU35" i="15" s="1"/>
  <c r="HM35" i="15"/>
  <c r="BL35" i="1" l="1"/>
  <c r="U8" i="6" s="1"/>
  <c r="BT36" i="1"/>
  <c r="BL44" i="1" s="1"/>
  <c r="BR36" i="1"/>
  <c r="BL43" i="1" s="1"/>
  <c r="BQ37" i="1" l="1"/>
  <c r="U24" i="6" s="1"/>
  <c r="BP37" i="1"/>
  <c r="U25" i="6" s="1"/>
  <c r="BO37" i="1"/>
  <c r="U11" i="6" s="1"/>
  <c r="BN37" i="1"/>
  <c r="U10" i="6" s="1"/>
  <c r="BM35" i="1"/>
  <c r="U9" i="6" s="1"/>
  <c r="F136" i="11" l="1"/>
  <c r="F133" i="11"/>
  <c r="F131" i="11"/>
  <c r="F130" i="11"/>
  <c r="F117" i="11"/>
  <c r="F116" i="11" l="1"/>
  <c r="F115" i="11"/>
  <c r="F114" i="11" l="1"/>
  <c r="V22" i="6" l="1"/>
  <c r="BK55" i="1" l="1"/>
  <c r="BK54" i="1"/>
  <c r="BK53" i="1"/>
  <c r="BK52" i="1"/>
  <c r="BK51" i="1"/>
  <c r="BK50" i="1"/>
  <c r="BK49" i="1"/>
  <c r="BK56" i="1" l="1"/>
  <c r="U20" i="6" s="1"/>
  <c r="AG16" i="6"/>
  <c r="AG15" i="6"/>
  <c r="F154" i="11"/>
  <c r="AE17" i="6"/>
  <c r="F151" i="11" s="1"/>
  <c r="F148" i="11"/>
  <c r="F147" i="11"/>
  <c r="Z67" i="4" l="1"/>
  <c r="Z66" i="4"/>
  <c r="Z69" i="4" s="1"/>
  <c r="F146" i="11" s="1"/>
  <c r="Y67" i="4"/>
  <c r="AA67" i="4" s="1"/>
  <c r="Y66" i="4"/>
  <c r="X67" i="4"/>
  <c r="X66" i="4"/>
  <c r="AE10" i="6"/>
  <c r="F144" i="11" s="1"/>
  <c r="AA66" i="4" l="1"/>
  <c r="Y69" i="4"/>
  <c r="F145" i="11" s="1"/>
  <c r="W83" i="4"/>
  <c r="W82" i="4"/>
  <c r="W84" i="4" l="1"/>
  <c r="AE9" i="6" s="1"/>
  <c r="AE22" i="6" s="1"/>
  <c r="F143" i="11" l="1"/>
  <c r="F140" i="11"/>
  <c r="F139" i="11"/>
  <c r="AC47" i="1" l="1"/>
  <c r="AC44" i="1"/>
  <c r="Y22" i="6"/>
  <c r="F128" i="11" s="1"/>
  <c r="AC40" i="1" l="1"/>
  <c r="M41" i="1"/>
  <c r="AC37" i="1" l="1"/>
  <c r="AC35" i="1" l="1"/>
  <c r="Y18" i="6" s="1"/>
  <c r="F124" i="11" s="1"/>
  <c r="AC28" i="1"/>
  <c r="M8" i="1"/>
  <c r="AC8" i="1" s="1"/>
  <c r="F107" i="11" l="1"/>
  <c r="F106" i="11"/>
  <c r="F93" i="11"/>
  <c r="F92" i="11"/>
  <c r="F91" i="11"/>
  <c r="F90" i="11"/>
  <c r="W8" i="6" l="1"/>
  <c r="F62" i="11" s="1"/>
  <c r="F84" i="11" l="1"/>
  <c r="F81" i="11"/>
  <c r="F85" i="11"/>
  <c r="F82" i="11"/>
  <c r="F58" i="11" l="1"/>
  <c r="F48" i="11" l="1"/>
  <c r="F43" i="11" l="1"/>
  <c r="F29" i="11" l="1"/>
  <c r="F26" i="11"/>
  <c r="BS44" i="1"/>
  <c r="BQ44" i="1"/>
  <c r="BS43" i="1"/>
  <c r="BQ43" i="1"/>
  <c r="W27" i="6" l="1"/>
  <c r="F83" i="11" s="1"/>
  <c r="W26" i="6"/>
  <c r="F80" i="11" s="1"/>
  <c r="BT44" i="1"/>
  <c r="Y27" i="6" s="1"/>
  <c r="F135" i="11" s="1"/>
  <c r="F137" i="11"/>
  <c r="BT43" i="1"/>
  <c r="Y26" i="6" s="1"/>
  <c r="F132" i="11" s="1"/>
  <c r="F134" i="11"/>
  <c r="BU43" i="1" l="1"/>
  <c r="X26" i="6" s="1"/>
  <c r="F108" i="11" s="1"/>
  <c r="BU44" i="1"/>
  <c r="X27" i="6" s="1"/>
  <c r="F109" i="11" s="1"/>
  <c r="W39" i="6"/>
  <c r="AD12" i="4" l="1"/>
  <c r="AD23" i="4"/>
  <c r="AD24" i="4"/>
  <c r="AD14" i="4"/>
  <c r="AD10" i="4"/>
  <c r="AD19" i="4"/>
  <c r="AD17" i="4"/>
  <c r="AD22" i="4"/>
  <c r="AC25" i="4"/>
  <c r="AD25" i="4"/>
  <c r="AD21" i="4"/>
  <c r="AD20" i="4"/>
  <c r="AD18" i="4"/>
  <c r="AD15" i="4"/>
  <c r="AD9" i="4"/>
  <c r="AC12" i="4"/>
  <c r="AE12" i="4" s="1"/>
  <c r="F142" i="11" s="1"/>
  <c r="AC23" i="4"/>
  <c r="AC24" i="4"/>
  <c r="AC14" i="4"/>
  <c r="AC10" i="4"/>
  <c r="AE10" i="4" s="1"/>
  <c r="AC19" i="4"/>
  <c r="AC17" i="4"/>
  <c r="AC22" i="4"/>
  <c r="AC21" i="4"/>
  <c r="AC20" i="4"/>
  <c r="AC18" i="4"/>
  <c r="AC15" i="4"/>
  <c r="AE15" i="4" s="1"/>
  <c r="AC9" i="4"/>
  <c r="AE18" i="4" l="1"/>
  <c r="AE25" i="4"/>
  <c r="AE14" i="4"/>
  <c r="AE22" i="4"/>
  <c r="AE18" i="6" s="1"/>
  <c r="F152" i="11" s="1"/>
  <c r="AE24" i="4"/>
  <c r="AE20" i="4"/>
  <c r="AE16" i="6" s="1"/>
  <c r="F150" i="11" s="1"/>
  <c r="AE21" i="4"/>
  <c r="AE17" i="4"/>
  <c r="AE19" i="4"/>
  <c r="AE15" i="6" s="1"/>
  <c r="F149" i="11" s="1"/>
  <c r="AE23" i="4"/>
  <c r="AE19" i="6" s="1"/>
  <c r="F153" i="11" s="1"/>
  <c r="AE9" i="4"/>
  <c r="F22" i="11" l="1"/>
  <c r="F23" i="11"/>
  <c r="F9" i="11"/>
  <c r="F8" i="11"/>
  <c r="F7" i="11"/>
  <c r="F6" i="11"/>
  <c r="BN43" i="1" l="1"/>
  <c r="U26" i="6" s="1"/>
  <c r="F24" i="11" s="1"/>
  <c r="F25" i="11"/>
  <c r="F28" i="11"/>
  <c r="BN44" i="1"/>
  <c r="U27" i="6" s="1"/>
  <c r="F27" i="11" s="1"/>
  <c r="BG54" i="1"/>
  <c r="BG46" i="1"/>
  <c r="U16" i="6" s="1"/>
  <c r="BG118" i="1"/>
  <c r="U23" i="6" s="1"/>
  <c r="BG110" i="1"/>
  <c r="BG102" i="1"/>
  <c r="U21" i="6" s="1"/>
  <c r="F19" i="11" s="1"/>
  <c r="BG94" i="1"/>
  <c r="F18" i="11" s="1"/>
  <c r="BG86" i="1"/>
  <c r="U19" i="6" s="1"/>
  <c r="F17" i="11" s="1"/>
  <c r="BG78" i="1"/>
  <c r="U13" i="6" s="1"/>
  <c r="F11" i="11" s="1"/>
  <c r="BG70" i="1"/>
  <c r="U15" i="6" s="1"/>
  <c r="F13" i="11" s="1"/>
  <c r="BG62" i="1"/>
  <c r="U14" i="6" s="1"/>
  <c r="F12" i="11" s="1"/>
  <c r="BG38" i="1"/>
  <c r="BG30" i="1"/>
  <c r="U7" i="6" s="1"/>
  <c r="F5" i="11" s="1"/>
  <c r="BG22" i="1"/>
  <c r="U6" i="6" s="1"/>
  <c r="F4" i="11" s="1"/>
  <c r="BG14" i="1"/>
  <c r="U5" i="6" s="1"/>
  <c r="F3" i="11" s="1"/>
  <c r="U22" i="6" l="1"/>
  <c r="F20" i="11" s="1"/>
  <c r="AA44" i="1"/>
  <c r="W22" i="6" s="1"/>
  <c r="F76" i="11" s="1"/>
  <c r="U18" i="6"/>
  <c r="F16" i="11" s="1"/>
  <c r="AA35" i="1"/>
  <c r="W18" i="6" s="1"/>
  <c r="F72" i="11" s="1"/>
  <c r="F21" i="11"/>
  <c r="U12" i="6"/>
  <c r="F10" i="11" s="1"/>
  <c r="F15" i="11"/>
  <c r="F14" i="11"/>
  <c r="AZ117" i="1"/>
  <c r="AZ116" i="1"/>
  <c r="AZ115" i="1"/>
  <c r="AZ114" i="1"/>
  <c r="AZ113" i="1"/>
  <c r="AZ112" i="1"/>
  <c r="AZ111" i="1"/>
  <c r="AZ109" i="1"/>
  <c r="AZ108" i="1"/>
  <c r="AZ107" i="1"/>
  <c r="AZ106" i="1"/>
  <c r="AZ105" i="1"/>
  <c r="AZ104" i="1"/>
  <c r="AZ103" i="1"/>
  <c r="AZ101" i="1"/>
  <c r="AZ100" i="1"/>
  <c r="AZ99" i="1"/>
  <c r="AZ98" i="1"/>
  <c r="AZ97" i="1"/>
  <c r="AZ96" i="1"/>
  <c r="AZ95" i="1"/>
  <c r="AZ93" i="1"/>
  <c r="AZ92" i="1"/>
  <c r="AZ91" i="1"/>
  <c r="AZ90" i="1"/>
  <c r="AZ89" i="1"/>
  <c r="AZ88" i="1"/>
  <c r="AZ87" i="1"/>
  <c r="AZ85" i="1"/>
  <c r="AZ84" i="1"/>
  <c r="AZ83" i="1"/>
  <c r="AZ82" i="1"/>
  <c r="AZ81" i="1"/>
  <c r="AZ80" i="1"/>
  <c r="AZ79" i="1"/>
  <c r="AZ77" i="1"/>
  <c r="AZ76" i="1"/>
  <c r="AZ75" i="1"/>
  <c r="AZ74" i="1"/>
  <c r="AZ73" i="1"/>
  <c r="AZ72" i="1"/>
  <c r="AZ71" i="1"/>
  <c r="AZ69" i="1"/>
  <c r="AZ68" i="1"/>
  <c r="AZ67" i="1"/>
  <c r="AZ66" i="1"/>
  <c r="AZ65" i="1"/>
  <c r="AZ64" i="1"/>
  <c r="AZ63" i="1"/>
  <c r="AZ61" i="1"/>
  <c r="AZ60" i="1"/>
  <c r="AZ59" i="1"/>
  <c r="AZ58" i="1"/>
  <c r="AZ57" i="1"/>
  <c r="AZ56" i="1"/>
  <c r="AZ55" i="1"/>
  <c r="AZ53" i="1"/>
  <c r="AZ52" i="1"/>
  <c r="AZ51" i="1"/>
  <c r="AZ50" i="1"/>
  <c r="AZ49" i="1"/>
  <c r="AZ48" i="1"/>
  <c r="AZ47" i="1"/>
  <c r="AZ45" i="1"/>
  <c r="AZ44" i="1"/>
  <c r="AZ43" i="1"/>
  <c r="AZ42" i="1"/>
  <c r="AZ41" i="1"/>
  <c r="AZ40" i="1"/>
  <c r="AZ39" i="1"/>
  <c r="AZ37" i="1"/>
  <c r="AZ36" i="1"/>
  <c r="AZ35" i="1"/>
  <c r="AZ34" i="1"/>
  <c r="AZ33" i="1"/>
  <c r="AZ32" i="1"/>
  <c r="AZ31" i="1"/>
  <c r="AZ29" i="1"/>
  <c r="AZ28" i="1"/>
  <c r="AZ27" i="1"/>
  <c r="AZ26" i="1"/>
  <c r="AZ25" i="1"/>
  <c r="AZ24" i="1"/>
  <c r="AZ23" i="1"/>
  <c r="AZ21" i="1"/>
  <c r="AZ20" i="1"/>
  <c r="AZ19" i="1"/>
  <c r="AZ18" i="1"/>
  <c r="AZ17" i="1"/>
  <c r="AZ16" i="1"/>
  <c r="AZ15" i="1"/>
  <c r="AZ13" i="1"/>
  <c r="AZ12" i="1"/>
  <c r="AZ11" i="1"/>
  <c r="AZ10" i="1"/>
  <c r="AZ9" i="1"/>
  <c r="AZ8" i="1"/>
  <c r="AZ7" i="1"/>
  <c r="F155" i="11" l="1"/>
  <c r="F170" i="11"/>
  <c r="AG19" i="6"/>
  <c r="F169" i="11" s="1"/>
  <c r="AG18" i="6"/>
  <c r="F168" i="11" s="1"/>
  <c r="F167" i="11"/>
  <c r="F166" i="11"/>
  <c r="F165" i="11"/>
  <c r="F164" i="11"/>
  <c r="F163" i="11"/>
  <c r="AG12" i="6"/>
  <c r="F162" i="11" s="1"/>
  <c r="F161" i="11"/>
  <c r="F160" i="11"/>
  <c r="AG9" i="6"/>
  <c r="F158" i="11"/>
  <c r="AG7" i="6"/>
  <c r="F157" i="11" s="1"/>
  <c r="AG6" i="6"/>
  <c r="F156" i="11" s="1"/>
  <c r="AE7" i="6"/>
  <c r="AG22" i="6" l="1"/>
  <c r="F159" i="11"/>
  <c r="F141" i="11"/>
  <c r="AE21" i="6"/>
  <c r="M67" i="6" s="1"/>
  <c r="AG21" i="6"/>
  <c r="D8" i="4"/>
  <c r="E14" i="4"/>
  <c r="D16" i="4"/>
  <c r="D31" i="4"/>
  <c r="D32" i="4"/>
  <c r="D35" i="4"/>
  <c r="D36" i="4"/>
  <c r="D37" i="4"/>
  <c r="D38" i="4"/>
  <c r="D39" i="4"/>
  <c r="D40" i="4"/>
  <c r="D41" i="4"/>
  <c r="D42" i="4"/>
  <c r="D43" i="4"/>
  <c r="D44" i="4"/>
  <c r="D45" i="4"/>
  <c r="D54" i="4"/>
  <c r="D79" i="4"/>
  <c r="D99" i="4"/>
  <c r="E117" i="4"/>
  <c r="D123" i="4"/>
  <c r="D21" i="4" l="1"/>
  <c r="D46" i="4"/>
  <c r="F188" i="11" l="1"/>
  <c r="F185" i="11"/>
  <c r="U43" i="6"/>
  <c r="AO83" i="10"/>
  <c r="U30" i="6" s="1"/>
  <c r="AO82" i="10"/>
  <c r="R14" i="19" l="1"/>
  <c r="R14" i="18"/>
  <c r="U39" i="6"/>
  <c r="F30" i="11"/>
  <c r="X30" i="6"/>
  <c r="F110" i="11" s="1"/>
  <c r="W30" i="6"/>
  <c r="F86" i="11" s="1"/>
  <c r="Y30" i="6"/>
  <c r="F138" i="11" s="1"/>
  <c r="F192" i="11"/>
  <c r="E67" i="6" l="1"/>
  <c r="P7" i="19"/>
  <c r="S18" i="19" s="1"/>
  <c r="P7" i="18"/>
  <c r="S18" i="18" s="1"/>
  <c r="Y43" i="6"/>
  <c r="E78" i="10"/>
  <c r="F78" i="10" s="1"/>
  <c r="E77" i="10"/>
  <c r="F77" i="10" s="1"/>
  <c r="E76" i="10"/>
  <c r="F76" i="10" s="1"/>
  <c r="E75" i="10"/>
  <c r="F75" i="10" s="1"/>
  <c r="E74" i="10"/>
  <c r="F74" i="10" s="1"/>
  <c r="E73" i="10"/>
  <c r="F73" i="10" s="1"/>
  <c r="E72" i="10"/>
  <c r="F72" i="10" s="1"/>
  <c r="E71" i="10"/>
  <c r="F71" i="10" s="1"/>
  <c r="E70" i="10"/>
  <c r="F70" i="10" s="1"/>
  <c r="E69" i="10"/>
  <c r="F69" i="10" s="1"/>
  <c r="E68" i="10"/>
  <c r="F68" i="10" s="1"/>
  <c r="E67" i="10"/>
  <c r="F67" i="10" s="1"/>
  <c r="E66" i="10"/>
  <c r="F66" i="10" s="1"/>
  <c r="E65" i="10"/>
  <c r="F65" i="10" s="1"/>
  <c r="E64" i="10"/>
  <c r="F64" i="10" s="1"/>
  <c r="E63" i="10"/>
  <c r="F63" i="10" s="1"/>
  <c r="E62" i="10"/>
  <c r="F62" i="10" s="1"/>
  <c r="E61" i="10"/>
  <c r="F61" i="10" s="1"/>
  <c r="E60" i="10"/>
  <c r="F60" i="10" s="1"/>
  <c r="E59" i="10"/>
  <c r="F59" i="10" s="1"/>
  <c r="E58" i="10"/>
  <c r="F58" i="10" s="1"/>
  <c r="E57" i="10"/>
  <c r="F57" i="10" s="1"/>
  <c r="E56" i="10"/>
  <c r="F56" i="10" s="1"/>
  <c r="E55" i="10"/>
  <c r="F55" i="10" s="1"/>
  <c r="E54" i="10"/>
  <c r="F54" i="10" s="1"/>
  <c r="E53" i="10"/>
  <c r="F53" i="10" s="1"/>
  <c r="E52" i="10"/>
  <c r="F52" i="10" s="1"/>
  <c r="E51" i="10"/>
  <c r="F51" i="10" s="1"/>
  <c r="E50" i="10"/>
  <c r="F50" i="10" s="1"/>
  <c r="E49" i="10"/>
  <c r="F49" i="10" s="1"/>
  <c r="E48" i="10"/>
  <c r="F48" i="10" s="1"/>
  <c r="E47" i="10"/>
  <c r="F47" i="10" s="1"/>
  <c r="E46" i="10"/>
  <c r="F46" i="10" s="1"/>
  <c r="E45" i="10"/>
  <c r="F45" i="10" s="1"/>
  <c r="E44" i="10"/>
  <c r="F44" i="10" s="1"/>
  <c r="E43" i="10"/>
  <c r="F43" i="10" s="1"/>
  <c r="E42" i="10"/>
  <c r="F42" i="10" s="1"/>
  <c r="E41" i="10"/>
  <c r="F41" i="10" s="1"/>
  <c r="E40" i="10"/>
  <c r="F40" i="10" s="1"/>
  <c r="E39" i="10"/>
  <c r="F39" i="10" s="1"/>
  <c r="E38" i="10"/>
  <c r="F38" i="10" s="1"/>
  <c r="E37" i="10"/>
  <c r="F37" i="10" s="1"/>
  <c r="E36" i="10"/>
  <c r="F36" i="10" s="1"/>
  <c r="E35" i="10"/>
  <c r="F35" i="10" s="1"/>
  <c r="E34" i="10"/>
  <c r="F34" i="10" s="1"/>
  <c r="E33" i="10"/>
  <c r="F33" i="10" s="1"/>
  <c r="E32" i="10"/>
  <c r="F32" i="10" s="1"/>
  <c r="E31" i="10"/>
  <c r="F31" i="10" s="1"/>
  <c r="E30" i="10"/>
  <c r="F30" i="10" s="1"/>
  <c r="E29" i="10"/>
  <c r="F29" i="10" s="1"/>
  <c r="E28" i="10"/>
  <c r="F28" i="10" s="1"/>
  <c r="E27" i="10"/>
  <c r="F27" i="10" s="1"/>
  <c r="E26" i="10"/>
  <c r="F26" i="10" s="1"/>
  <c r="E25" i="10"/>
  <c r="F25" i="10" s="1"/>
  <c r="E24" i="10"/>
  <c r="F24" i="10" s="1"/>
  <c r="E23" i="10"/>
  <c r="F23" i="10" s="1"/>
  <c r="E22" i="10"/>
  <c r="F22" i="10" s="1"/>
  <c r="E21" i="10"/>
  <c r="F21" i="10" s="1"/>
  <c r="E20" i="10"/>
  <c r="F20" i="10" s="1"/>
  <c r="E19" i="10"/>
  <c r="F19" i="10" s="1"/>
  <c r="E18" i="10"/>
  <c r="F18" i="10" s="1"/>
  <c r="E17" i="10"/>
  <c r="F17" i="10" s="1"/>
  <c r="E16" i="10"/>
  <c r="F16" i="10" s="1"/>
  <c r="E15" i="10"/>
  <c r="F15" i="10" s="1"/>
  <c r="E14" i="10"/>
  <c r="F14" i="10" s="1"/>
  <c r="E13" i="10"/>
  <c r="F13" i="10" s="1"/>
  <c r="E12" i="10"/>
  <c r="F12" i="10" s="1"/>
  <c r="E11" i="10"/>
  <c r="F11" i="10" s="1"/>
  <c r="E10" i="10"/>
  <c r="F10" i="10" s="1"/>
  <c r="E9" i="10"/>
  <c r="F9" i="10" s="1"/>
  <c r="E8" i="10"/>
  <c r="F8" i="10" s="1"/>
  <c r="E7" i="10"/>
  <c r="F7" i="10" s="1"/>
  <c r="E6" i="10"/>
  <c r="F6" i="10" s="1"/>
  <c r="E5" i="10"/>
  <c r="F5" i="10" s="1"/>
  <c r="E4" i="10"/>
  <c r="F4" i="10" s="1"/>
  <c r="E3" i="10"/>
  <c r="F3" i="10" s="1"/>
  <c r="E2" i="10"/>
  <c r="F2" i="10" s="1"/>
  <c r="R16" i="19" l="1"/>
  <c r="S16" i="19"/>
  <c r="P8" i="19"/>
  <c r="Q7" i="19"/>
  <c r="R16" i="18"/>
  <c r="P8" i="18"/>
  <c r="S16" i="18"/>
  <c r="Q7" i="18"/>
  <c r="AL27" i="10"/>
  <c r="AL26" i="10"/>
  <c r="AL25" i="10"/>
  <c r="AL24" i="10"/>
  <c r="AL23" i="10"/>
  <c r="AL22" i="10"/>
  <c r="AL21" i="10"/>
  <c r="AL20" i="10"/>
  <c r="AL19" i="10"/>
  <c r="AL18" i="10"/>
  <c r="AL17" i="10"/>
  <c r="AL16" i="10"/>
  <c r="AL15" i="10"/>
  <c r="AL14" i="10"/>
  <c r="AL13" i="10"/>
  <c r="AL12" i="10"/>
  <c r="AL11" i="10"/>
  <c r="AL10" i="10"/>
  <c r="AL9" i="10"/>
  <c r="AL8" i="10"/>
  <c r="AL7" i="10"/>
  <c r="AL6" i="10"/>
  <c r="AL5" i="10"/>
  <c r="AL28" i="10"/>
  <c r="S17" i="18" l="1"/>
  <c r="Q8" i="18"/>
  <c r="R17" i="18"/>
  <c r="J17" i="18" s="1"/>
  <c r="J16" i="18"/>
  <c r="R17" i="19"/>
  <c r="J17" i="19" s="1"/>
  <c r="J16" i="19"/>
  <c r="S17" i="19"/>
  <c r="Q8" i="19"/>
  <c r="AL30" i="10"/>
  <c r="C82" i="10"/>
  <c r="K16" i="19" l="1"/>
  <c r="O16" i="19" s="1"/>
  <c r="M16" i="19"/>
  <c r="K16" i="18"/>
  <c r="M16" i="18"/>
  <c r="AE43" i="6" s="1"/>
  <c r="K17" i="19"/>
  <c r="O17" i="19" s="1"/>
  <c r="M17" i="19"/>
  <c r="K17" i="18"/>
  <c r="M17" i="18"/>
  <c r="AF43" i="6" s="1"/>
  <c r="X39" i="6"/>
  <c r="AF47" i="6" l="1"/>
  <c r="O17" i="18"/>
  <c r="AE47" i="6"/>
  <c r="O16" i="18"/>
  <c r="AF32" i="6"/>
  <c r="P17" i="19"/>
  <c r="P16" i="19"/>
  <c r="AE32" i="6"/>
  <c r="C80" i="10"/>
  <c r="P13" i="4"/>
  <c r="P12" i="4"/>
  <c r="P11" i="4"/>
  <c r="P16" i="18" l="1"/>
  <c r="AE51" i="6"/>
  <c r="P17" i="18"/>
  <c r="AF51" i="6"/>
  <c r="AD26" i="10"/>
  <c r="AD25" i="10"/>
  <c r="AD27" i="10"/>
  <c r="AG26" i="10"/>
  <c r="AH26" i="10" s="1"/>
  <c r="AG25" i="10"/>
  <c r="AH25" i="10" s="1"/>
  <c r="AG24" i="10"/>
  <c r="AH24" i="10" s="1"/>
  <c r="AG23" i="10"/>
  <c r="AH23" i="10" s="1"/>
  <c r="AG22" i="10"/>
  <c r="AH22" i="10" s="1"/>
  <c r="AG21" i="10"/>
  <c r="AH21" i="10" s="1"/>
  <c r="AG20" i="10"/>
  <c r="AH20" i="10" s="1"/>
  <c r="AG19" i="10"/>
  <c r="AG18" i="10"/>
  <c r="AH18" i="10" s="1"/>
  <c r="AG27" i="10"/>
  <c r="AH27" i="10" s="1"/>
  <c r="AD28" i="10"/>
  <c r="AC30" i="10"/>
  <c r="AB30" i="10"/>
  <c r="AA30" i="10"/>
  <c r="Z30" i="10"/>
  <c r="Y30" i="10"/>
  <c r="X30" i="10"/>
  <c r="W30" i="10"/>
  <c r="T33" i="10" s="1"/>
  <c r="V30" i="10"/>
  <c r="U30" i="10"/>
  <c r="T30" i="10"/>
  <c r="T36" i="10" s="1"/>
  <c r="AD30" i="10" l="1"/>
  <c r="T34" i="10" s="1"/>
  <c r="AG30" i="10"/>
  <c r="T38" i="10"/>
  <c r="AH19" i="10"/>
  <c r="AH30" i="10" s="1"/>
  <c r="T39" i="10" s="1"/>
  <c r="S30" i="10"/>
  <c r="T37" i="10" s="1"/>
  <c r="T41" i="10" l="1"/>
  <c r="P10" i="4" l="1"/>
  <c r="P15" i="4" s="1"/>
  <c r="AC97" i="1" l="1"/>
  <c r="AC93" i="1"/>
  <c r="AC91" i="1"/>
  <c r="AC82" i="1"/>
  <c r="AC77" i="1"/>
  <c r="AC73" i="1"/>
  <c r="AB44" i="1"/>
  <c r="X22" i="6" s="1"/>
  <c r="F104" i="11" s="1"/>
  <c r="AC12" i="1"/>
  <c r="AB12" i="1" s="1"/>
  <c r="AC10" i="1"/>
  <c r="AB10" i="1" s="1"/>
  <c r="AF10" i="1" s="1"/>
  <c r="AA58" i="1"/>
  <c r="AA60" i="1" s="1"/>
  <c r="AC60" i="1" s="1"/>
  <c r="AB60" i="1" s="1"/>
  <c r="AA56" i="1"/>
  <c r="AC56" i="1" s="1"/>
  <c r="AB56" i="1" s="1"/>
  <c r="AA51" i="1"/>
  <c r="AC51" i="1" s="1"/>
  <c r="AB51" i="1" s="1"/>
  <c r="AA49" i="1"/>
  <c r="AC49" i="1" s="1"/>
  <c r="AB49" i="1" s="1"/>
  <c r="AA47" i="1"/>
  <c r="AB47" i="1" s="1"/>
  <c r="AA42" i="1"/>
  <c r="AA40" i="1"/>
  <c r="AB40" i="1" s="1"/>
  <c r="AA37" i="1"/>
  <c r="AB37" i="1" s="1"/>
  <c r="AA33" i="1"/>
  <c r="W17" i="6" s="1"/>
  <c r="F71" i="11" s="1"/>
  <c r="AA31" i="1"/>
  <c r="AA28" i="1"/>
  <c r="AA26" i="1"/>
  <c r="AA24" i="1"/>
  <c r="AA21" i="1"/>
  <c r="AA17" i="1"/>
  <c r="AC17" i="1" s="1"/>
  <c r="AB17" i="1" s="1"/>
  <c r="AA15" i="1"/>
  <c r="AC15" i="1" s="1"/>
  <c r="AB15" i="1" s="1"/>
  <c r="AA8" i="1"/>
  <c r="AE8" i="1" s="1"/>
  <c r="AA6" i="1"/>
  <c r="AB8" i="1" l="1"/>
  <c r="AF8" i="1" s="1"/>
  <c r="AC58" i="1"/>
  <c r="AB58" i="1" s="1"/>
  <c r="AG10" i="1"/>
  <c r="AE10" i="1"/>
  <c r="AB35" i="1"/>
  <c r="X18" i="6" s="1"/>
  <c r="F100" i="11" s="1"/>
  <c r="AC42" i="1"/>
  <c r="AC33" i="1"/>
  <c r="Y17" i="6" s="1"/>
  <c r="F123" i="11" s="1"/>
  <c r="AC31" i="1"/>
  <c r="AG31" i="1" s="1"/>
  <c r="AC26" i="1"/>
  <c r="AG28" i="1" s="1"/>
  <c r="AC24" i="1"/>
  <c r="AG24" i="1" s="1"/>
  <c r="AC21" i="1"/>
  <c r="AC4" i="1"/>
  <c r="AG4" i="1" s="1"/>
  <c r="AG33" i="1" l="1"/>
  <c r="AG8" i="1"/>
  <c r="AG21" i="1"/>
  <c r="AG26" i="1"/>
  <c r="AG42" i="1"/>
  <c r="Y5" i="6"/>
  <c r="F111" i="11" s="1"/>
  <c r="Y20" i="6"/>
  <c r="F126" i="11" s="1"/>
  <c r="Y19" i="6"/>
  <c r="F125" i="11" s="1"/>
  <c r="Y23" i="6"/>
  <c r="F129" i="11" s="1"/>
  <c r="X23" i="6"/>
  <c r="F105" i="11" s="1"/>
  <c r="Y21" i="6"/>
  <c r="F127" i="11" s="1"/>
  <c r="X20" i="6"/>
  <c r="F102" i="11" s="1"/>
  <c r="X19" i="6"/>
  <c r="F101" i="11" s="1"/>
  <c r="Y16" i="6"/>
  <c r="F122" i="11" s="1"/>
  <c r="Y15" i="6"/>
  <c r="F121" i="11" s="1"/>
  <c r="Y14" i="6"/>
  <c r="F120" i="11" s="1"/>
  <c r="Y13" i="6"/>
  <c r="F119" i="11" s="1"/>
  <c r="Y12" i="6"/>
  <c r="F118" i="11" s="1"/>
  <c r="Y7" i="6"/>
  <c r="F113" i="11" s="1"/>
  <c r="X7" i="6"/>
  <c r="F89" i="11" s="1"/>
  <c r="W23" i="6"/>
  <c r="F77" i="11" s="1"/>
  <c r="W19" i="6"/>
  <c r="F73" i="11" s="1"/>
  <c r="W10" i="6"/>
  <c r="F64" i="11" s="1"/>
  <c r="W6" i="6"/>
  <c r="F60" i="11" s="1"/>
  <c r="W25" i="6"/>
  <c r="F79" i="11" s="1"/>
  <c r="W24" i="6"/>
  <c r="F78" i="11" s="1"/>
  <c r="AE42" i="1"/>
  <c r="W20" i="6"/>
  <c r="F74" i="11" s="1"/>
  <c r="W11" i="6"/>
  <c r="F65" i="11" s="1"/>
  <c r="AE33" i="1"/>
  <c r="AE31" i="1"/>
  <c r="AE28" i="1"/>
  <c r="AE26" i="1"/>
  <c r="AE24" i="1"/>
  <c r="AE21" i="1"/>
  <c r="W9" i="6"/>
  <c r="F63" i="11" s="1"/>
  <c r="W7" i="6"/>
  <c r="F61" i="11" s="1"/>
  <c r="AE6" i="1"/>
  <c r="AA4" i="1"/>
  <c r="AE4" i="1" s="1"/>
  <c r="V8" i="6"/>
  <c r="F34" i="11" s="1"/>
  <c r="V25" i="6"/>
  <c r="F51" i="11" s="1"/>
  <c r="V24" i="6"/>
  <c r="F50" i="11" s="1"/>
  <c r="V11" i="6"/>
  <c r="F37" i="11" s="1"/>
  <c r="V10" i="6"/>
  <c r="F36" i="11" s="1"/>
  <c r="V9" i="6"/>
  <c r="F35" i="11" s="1"/>
  <c r="V23" i="6"/>
  <c r="F49" i="11" s="1"/>
  <c r="V21" i="6"/>
  <c r="F47" i="11" s="1"/>
  <c r="V20" i="6"/>
  <c r="F46" i="11" s="1"/>
  <c r="V19" i="6"/>
  <c r="F45" i="11" s="1"/>
  <c r="V18" i="6"/>
  <c r="F44" i="11" s="1"/>
  <c r="V16" i="6"/>
  <c r="F42" i="11" s="1"/>
  <c r="V14" i="6"/>
  <c r="V13" i="6"/>
  <c r="F39" i="11" s="1"/>
  <c r="V12" i="6"/>
  <c r="F38" i="11" s="1"/>
  <c r="V7" i="6"/>
  <c r="F33" i="11" s="1"/>
  <c r="V6" i="6"/>
  <c r="F32" i="11" s="1"/>
  <c r="V5" i="6"/>
  <c r="W4" i="1"/>
  <c r="T94" i="9"/>
  <c r="S94" i="9"/>
  <c r="R94" i="9"/>
  <c r="D94" i="9"/>
  <c r="C94" i="9"/>
  <c r="T93" i="9"/>
  <c r="S93" i="9"/>
  <c r="R93" i="9"/>
  <c r="D93" i="9"/>
  <c r="C93" i="9"/>
  <c r="T92" i="9"/>
  <c r="S92" i="9"/>
  <c r="R92" i="9"/>
  <c r="D92" i="9"/>
  <c r="C92" i="9"/>
  <c r="H53" i="1"/>
  <c r="H19" i="1"/>
  <c r="F31" i="11" l="1"/>
  <c r="V29" i="6"/>
  <c r="V31" i="6" s="1"/>
  <c r="F41" i="11"/>
  <c r="F40" i="11"/>
  <c r="W12" i="6"/>
  <c r="F66" i="11" s="1"/>
  <c r="W16" i="6"/>
  <c r="F70" i="11" s="1"/>
  <c r="W21" i="6"/>
  <c r="F75" i="11" s="1"/>
  <c r="AB33" i="1"/>
  <c r="X17" i="6" s="1"/>
  <c r="F99" i="11" s="1"/>
  <c r="W5" i="6"/>
  <c r="F59" i="11" s="1"/>
  <c r="W13" i="6"/>
  <c r="F67" i="11" s="1"/>
  <c r="AB26" i="1"/>
  <c r="AB21" i="1"/>
  <c r="AB31" i="1"/>
  <c r="AB42" i="1"/>
  <c r="W14" i="6"/>
  <c r="F68" i="11" s="1"/>
  <c r="W15" i="6"/>
  <c r="F69" i="11" s="1"/>
  <c r="AB24" i="1"/>
  <c r="AB4" i="1"/>
  <c r="U29" i="6"/>
  <c r="F198" i="11" l="1"/>
  <c r="U31" i="6"/>
  <c r="E24" i="6"/>
  <c r="E20" i="6"/>
  <c r="AF33" i="1"/>
  <c r="W29" i="6"/>
  <c r="AF21" i="1"/>
  <c r="X12" i="6"/>
  <c r="F94" i="11" s="1"/>
  <c r="AF26" i="1"/>
  <c r="AB28" i="1"/>
  <c r="X14" i="6"/>
  <c r="F96" i="11" s="1"/>
  <c r="AF4" i="1"/>
  <c r="X5" i="6"/>
  <c r="F87" i="11" s="1"/>
  <c r="AF42" i="1"/>
  <c r="X21" i="6"/>
  <c r="F103" i="11" s="1"/>
  <c r="AF24" i="1"/>
  <c r="X13" i="6"/>
  <c r="F95" i="11" s="1"/>
  <c r="AF31" i="1"/>
  <c r="X16" i="6"/>
  <c r="F98" i="11" s="1"/>
  <c r="G40" i="1"/>
  <c r="G8" i="1"/>
  <c r="G6" i="1"/>
  <c r="W31" i="6" l="1"/>
  <c r="D7" i="19"/>
  <c r="H7" i="19" s="1"/>
  <c r="D7" i="18"/>
  <c r="E21" i="6"/>
  <c r="AF28" i="1"/>
  <c r="X15" i="6"/>
  <c r="F97" i="11" s="1"/>
  <c r="AE42" i="6" l="1"/>
  <c r="AE41" i="6" s="1"/>
  <c r="AE44" i="6" s="1"/>
  <c r="H7" i="18"/>
  <c r="K7" i="19"/>
  <c r="J7" i="19" s="1"/>
  <c r="AE27" i="6"/>
  <c r="AE26" i="6" s="1"/>
  <c r="AE29" i="6" s="1"/>
  <c r="F7" i="19"/>
  <c r="F197" i="11"/>
  <c r="F200" i="11"/>
  <c r="R58" i="1"/>
  <c r="R47" i="1"/>
  <c r="R44" i="1"/>
  <c r="R42" i="1"/>
  <c r="R40" i="1"/>
  <c r="R37" i="1"/>
  <c r="R35" i="1"/>
  <c r="R33" i="1"/>
  <c r="R31" i="1"/>
  <c r="R28" i="1"/>
  <c r="R26" i="1"/>
  <c r="R24" i="1"/>
  <c r="R21" i="1"/>
  <c r="R8" i="1"/>
  <c r="R6" i="1"/>
  <c r="R4" i="1"/>
  <c r="M63" i="1"/>
  <c r="M53" i="1"/>
  <c r="L8" i="1"/>
  <c r="L6" i="1"/>
  <c r="AE38" i="6" l="1"/>
  <c r="AE37" i="6" s="1"/>
  <c r="AE40" i="6" s="1"/>
  <c r="F7" i="18"/>
  <c r="K7" i="18"/>
  <c r="J7" i="18" s="1"/>
  <c r="M7" i="19"/>
  <c r="Q19" i="1"/>
  <c r="Q53" i="1"/>
  <c r="G63" i="1"/>
  <c r="N7" i="19" l="1"/>
  <c r="AE31" i="6"/>
  <c r="AE30" i="6" s="1"/>
  <c r="AE33" i="6" s="1"/>
  <c r="AE46" i="6"/>
  <c r="AE45" i="6" s="1"/>
  <c r="AE48" i="6" s="1"/>
  <c r="M7" i="18"/>
  <c r="M6" i="1"/>
  <c r="AC6" i="1" s="1"/>
  <c r="G65" i="1"/>
  <c r="AE50" i="6" l="1"/>
  <c r="AE49" i="6" s="1"/>
  <c r="AE52" i="6" s="1"/>
  <c r="N7" i="18"/>
  <c r="AB6" i="1"/>
  <c r="AG6" i="1"/>
  <c r="Y6" i="6"/>
  <c r="M19" i="1"/>
  <c r="M65" i="1" s="1"/>
  <c r="E64" i="1"/>
  <c r="E63" i="1"/>
  <c r="E55" i="1"/>
  <c r="E53" i="1"/>
  <c r="E20" i="1"/>
  <c r="E19" i="1"/>
  <c r="Y29" i="6" l="1"/>
  <c r="F112" i="11"/>
  <c r="AF6" i="1"/>
  <c r="X6" i="6"/>
  <c r="E65" i="1"/>
  <c r="E66" i="1"/>
  <c r="Y31" i="6" l="1"/>
  <c r="D9" i="19"/>
  <c r="H9" i="19" s="1"/>
  <c r="D9" i="18"/>
  <c r="E23" i="6"/>
  <c r="X29" i="6"/>
  <c r="F88" i="11"/>
  <c r="W58" i="1"/>
  <c r="W47" i="1"/>
  <c r="W42" i="1"/>
  <c r="W40" i="1"/>
  <c r="W37" i="1"/>
  <c r="W44" i="1"/>
  <c r="W35" i="1"/>
  <c r="W33" i="1"/>
  <c r="W31" i="1"/>
  <c r="W28" i="1"/>
  <c r="W10" i="1"/>
  <c r="W8" i="1"/>
  <c r="W6" i="1"/>
  <c r="AG42" i="6" l="1"/>
  <c r="AG41" i="6" s="1"/>
  <c r="AG44" i="6" s="1"/>
  <c r="H9" i="18"/>
  <c r="AG27" i="6"/>
  <c r="AG26" i="6" s="1"/>
  <c r="AG29" i="6" s="1"/>
  <c r="F9" i="19"/>
  <c r="K9" i="19"/>
  <c r="J9" i="19" s="1"/>
  <c r="X31" i="6"/>
  <c r="D8" i="19"/>
  <c r="H8" i="19" s="1"/>
  <c r="D8" i="18"/>
  <c r="E22" i="6"/>
  <c r="W56" i="1"/>
  <c r="W51" i="1"/>
  <c r="W60" i="1"/>
  <c r="W49" i="1"/>
  <c r="W26" i="1"/>
  <c r="W24" i="1"/>
  <c r="W21" i="1"/>
  <c r="W17" i="1"/>
  <c r="W15" i="1"/>
  <c r="M9" i="19" l="1"/>
  <c r="N9" i="19" s="1"/>
  <c r="AF42" i="6"/>
  <c r="AF41" i="6" s="1"/>
  <c r="AF44" i="6" s="1"/>
  <c r="H8" i="18"/>
  <c r="AF27" i="6"/>
  <c r="AF26" i="6" s="1"/>
  <c r="AF29" i="6" s="1"/>
  <c r="K8" i="19"/>
  <c r="J8" i="19" s="1"/>
  <c r="F8" i="19"/>
  <c r="K9" i="18"/>
  <c r="J9" i="18" s="1"/>
  <c r="Z36" i="6" s="1"/>
  <c r="F9" i="18"/>
  <c r="AG38" i="6"/>
  <c r="AG37" i="6" s="1"/>
  <c r="AG40" i="6" s="1"/>
  <c r="W19" i="1"/>
  <c r="W53" i="1"/>
  <c r="W63" i="1"/>
  <c r="AG31" i="6" l="1"/>
  <c r="AG30" i="6" s="1"/>
  <c r="AG33" i="6" s="1"/>
  <c r="M8" i="19"/>
  <c r="N8" i="19" s="1"/>
  <c r="AF38" i="6"/>
  <c r="AF37" i="6" s="1"/>
  <c r="AF40" i="6" s="1"/>
  <c r="K8" i="18"/>
  <c r="J8" i="18" s="1"/>
  <c r="F8" i="18"/>
  <c r="M9" i="18"/>
  <c r="Z38" i="6"/>
  <c r="Z39" i="6" s="1"/>
  <c r="AG46" i="6"/>
  <c r="AG45" i="6" s="1"/>
  <c r="AG48" i="6" s="1"/>
  <c r="W65" i="1"/>
  <c r="AF31" i="6" l="1"/>
  <c r="AF30" i="6" s="1"/>
  <c r="AF33" i="6" s="1"/>
  <c r="N9" i="18"/>
  <c r="AG50" i="6"/>
  <c r="AG49" i="6" s="1"/>
  <c r="AG52" i="6" s="1"/>
  <c r="AF46" i="6"/>
  <c r="AF45" i="6" s="1"/>
  <c r="AF48" i="6" s="1"/>
  <c r="M8" i="18"/>
  <c r="N8" i="18" l="1"/>
  <c r="AF50" i="6"/>
  <c r="AF49" i="6" s="1"/>
  <c r="AF5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xxx</author>
    <author>Ray Beamesderfer</author>
    <author>Amelia Johnson</author>
  </authors>
  <commentList>
    <comment ref="D3" authorId="0" shapeId="0" xr:uid="{00000000-0006-0000-0100-000001000000}">
      <text>
        <r>
          <rPr>
            <b/>
            <sz val="9"/>
            <color indexed="81"/>
            <rFont val="Tahoma"/>
            <family val="2"/>
          </rPr>
          <t xml:space="preserve">WA: Current abundance identified in LCFRB 2010 recovery plan.
OR: as per NMFS Recov Plan Table 6-4
</t>
        </r>
      </text>
    </comment>
    <comment ref="E3" authorId="0" shapeId="0" xr:uid="{00000000-0006-0000-0100-000002000000}">
      <text>
        <r>
          <rPr>
            <b/>
            <sz val="9"/>
            <color indexed="81"/>
            <rFont val="Tahoma"/>
            <family val="2"/>
          </rPr>
          <t>Source?</t>
        </r>
        <r>
          <rPr>
            <sz val="9"/>
            <color indexed="81"/>
            <rFont val="Tahoma"/>
            <family val="2"/>
          </rPr>
          <t xml:space="preserve">
</t>
        </r>
      </text>
    </comment>
    <comment ref="F3" authorId="0" shapeId="0" xr:uid="{00000000-0006-0000-0100-000003000000}">
      <text>
        <r>
          <rPr>
            <b/>
            <sz val="9"/>
            <color indexed="81"/>
            <rFont val="Tahoma"/>
            <family val="2"/>
          </rPr>
          <t>WA values EDT Template as per 2004 LCFRB recovery plan</t>
        </r>
      </text>
    </comment>
    <comment ref="H3" authorId="0" shapeId="0" xr:uid="{00000000-0006-0000-0100-000004000000}">
      <text>
        <r>
          <rPr>
            <b/>
            <sz val="9"/>
            <color indexed="81"/>
            <rFont val="Tahoma"/>
            <family val="2"/>
          </rPr>
          <t>WA values EDT Template as per 2010 LCFRB recovery plan, Table 6-9. Same as NMFS Recov Plan Table 6-4.
OR: NMFS Recov Plan Table 6-4</t>
        </r>
      </text>
    </comment>
    <comment ref="I3" authorId="1" shapeId="0" xr:uid="{00000000-0006-0000-0100-000005000000}">
      <text>
        <r>
          <rPr>
            <b/>
            <sz val="8"/>
            <color indexed="81"/>
            <rFont val="Tahoma"/>
            <family val="2"/>
          </rPr>
          <t>Hisotrical small, medium &amp; large pops identified by D Rawding (aligns w/ trt goals)</t>
        </r>
      </text>
    </comment>
    <comment ref="J3" authorId="0" shapeId="0" xr:uid="{00000000-0006-0000-0100-000006000000}">
      <text>
        <r>
          <rPr>
            <b/>
            <sz val="9"/>
            <color indexed="81"/>
            <rFont val="Tahoma"/>
            <family val="2"/>
          </rPr>
          <t>WA values inferred from McElhany et al. 2007 (Viability status of Oregon populations).  Category 3 values = high viability)</t>
        </r>
      </text>
    </comment>
    <comment ref="K3" authorId="0" shapeId="0" xr:uid="{00000000-0006-0000-0100-000007000000}">
      <text>
        <r>
          <rPr>
            <b/>
            <sz val="9"/>
            <color indexed="81"/>
            <rFont val="Tahoma"/>
            <family val="2"/>
          </rPr>
          <t>Steelhead values from ICTRT 2007 corresponding to pop size. Might be underestimates for coho due to lack of overlapping ages</t>
        </r>
      </text>
    </comment>
    <comment ref="L3" authorId="0" shapeId="0" xr:uid="{00000000-0006-0000-0100-000008000000}">
      <text>
        <r>
          <rPr>
            <b/>
            <sz val="9"/>
            <color indexed="81"/>
            <rFont val="Tahoma"/>
            <family val="2"/>
          </rPr>
          <t>WA: 2004 LCFRB Recovery Plan EDT patient</t>
        </r>
      </text>
    </comment>
    <comment ref="M3" authorId="0" shapeId="0" xr:uid="{00000000-0006-0000-0100-000009000000}">
      <text>
        <r>
          <rPr>
            <b/>
            <sz val="9"/>
            <color indexed="81"/>
            <rFont val="Tahoma"/>
            <family val="2"/>
          </rPr>
          <t>WA: LCFRB 2004 Recov Plan EDT properly functioning conditions</t>
        </r>
      </text>
    </comment>
    <comment ref="Q3" authorId="0" shapeId="0" xr:uid="{00000000-0006-0000-0100-00000A000000}">
      <text>
        <r>
          <rPr>
            <b/>
            <sz val="9"/>
            <color indexed="81"/>
            <rFont val="Tahoma"/>
            <family val="2"/>
          </rPr>
          <t>WA goals as per LCFRB 2010 recovery plan. Consistent w/ recovery priority/scenario. Based on PVA</t>
        </r>
      </text>
    </comment>
    <comment ref="R3" authorId="0" shapeId="0" xr:uid="{00000000-0006-0000-0100-00000B000000}">
      <text>
        <r>
          <rPr>
            <b/>
            <sz val="9"/>
            <color indexed="81"/>
            <rFont val="Tahoma"/>
            <family val="2"/>
          </rPr>
          <t>Rawding: ESA goal - EDT-PFC</t>
        </r>
      </text>
    </comment>
    <comment ref="AA4" authorId="1" shapeId="0" xr:uid="{00000000-0006-0000-0100-00000C000000}">
      <text>
        <r>
          <rPr>
            <b/>
            <sz val="8"/>
            <color indexed="81"/>
            <rFont val="Tahoma"/>
            <family val="2"/>
          </rPr>
          <t>Recovery Goal</t>
        </r>
      </text>
    </comment>
    <comment ref="AB4" authorId="0" shapeId="0" xr:uid="{00000000-0006-0000-0100-00000D000000}">
      <text>
        <r>
          <rPr>
            <b/>
            <sz val="9"/>
            <color indexed="81"/>
            <rFont val="Tahoma"/>
            <family val="2"/>
          </rPr>
          <t>Intemediate between low and high</t>
        </r>
      </text>
    </comment>
    <comment ref="AC4" authorId="0" shapeId="0" xr:uid="{00000000-0006-0000-0100-00000E000000}">
      <text>
        <r>
          <rPr>
            <b/>
            <sz val="9"/>
            <color indexed="81"/>
            <rFont val="Tahoma"/>
            <family val="2"/>
          </rPr>
          <t>Based on PFC+ potential for WA primary populations</t>
        </r>
      </text>
    </comment>
    <comment ref="AA6" authorId="1" shapeId="0" xr:uid="{00000000-0006-0000-0100-00000F000000}">
      <text>
        <r>
          <rPr>
            <b/>
            <sz val="8"/>
            <color indexed="81"/>
            <rFont val="Tahoma"/>
            <family val="2"/>
          </rPr>
          <t>Recovery Goal</t>
        </r>
      </text>
    </comment>
    <comment ref="AB6" authorId="0" shapeId="0" xr:uid="{00000000-0006-0000-0100-000010000000}">
      <text>
        <r>
          <rPr>
            <b/>
            <sz val="9"/>
            <color indexed="81"/>
            <rFont val="Tahoma"/>
            <family val="2"/>
          </rPr>
          <t>Intemediate between low and high</t>
        </r>
      </text>
    </comment>
    <comment ref="AC6" authorId="0" shapeId="0" xr:uid="{00000000-0006-0000-0100-000011000000}">
      <text>
        <r>
          <rPr>
            <b/>
            <sz val="9"/>
            <color indexed="81"/>
            <rFont val="Tahoma"/>
            <family val="2"/>
          </rPr>
          <t>Based on PFC+ potential for WA primary populations</t>
        </r>
      </text>
    </comment>
    <comment ref="AA8" authorId="1" shapeId="0" xr:uid="{00000000-0006-0000-0100-000012000000}">
      <text>
        <r>
          <rPr>
            <b/>
            <sz val="8"/>
            <color indexed="81"/>
            <rFont val="Tahoma"/>
            <family val="2"/>
          </rPr>
          <t>Recovery Goal</t>
        </r>
      </text>
    </comment>
    <comment ref="AB8" authorId="0" shapeId="0" xr:uid="{00000000-0006-0000-0100-000013000000}">
      <text>
        <r>
          <rPr>
            <b/>
            <sz val="9"/>
            <color indexed="81"/>
            <rFont val="Tahoma"/>
            <family val="2"/>
          </rPr>
          <t>Intemediate between low and high</t>
        </r>
      </text>
    </comment>
    <comment ref="AC8" authorId="0" shapeId="0" xr:uid="{00000000-0006-0000-0100-000014000000}">
      <text>
        <r>
          <rPr>
            <b/>
            <sz val="9"/>
            <color indexed="81"/>
            <rFont val="Tahoma"/>
            <family val="2"/>
          </rPr>
          <t>Based on PFC+ potential for WA primary populations</t>
        </r>
      </text>
    </comment>
    <comment ref="Q10" authorId="2" shapeId="0" xr:uid="{00000000-0006-0000-0100-000015000000}">
      <text>
        <r>
          <rPr>
            <b/>
            <sz val="9"/>
            <color indexed="81"/>
            <rFont val="Tahoma"/>
            <family val="2"/>
          </rPr>
          <t>Amelia Johnson:</t>
        </r>
        <r>
          <rPr>
            <sz val="9"/>
            <color indexed="81"/>
            <rFont val="Tahoma"/>
            <family val="2"/>
          </rPr>
          <t xml:space="preserve">
NMFS 2013, Table 6-4 target abundance = 7</t>
        </r>
      </text>
    </comment>
    <comment ref="AA10" authorId="1" shapeId="0" xr:uid="{00000000-0006-0000-0100-000016000000}">
      <text>
        <r>
          <rPr>
            <b/>
            <sz val="8"/>
            <color indexed="81"/>
            <rFont val="Tahoma"/>
            <family val="2"/>
          </rPr>
          <t>Placeholder where no goal specified = same as current (assuming no further decline)</t>
        </r>
      </text>
    </comment>
    <comment ref="AB10" authorId="0" shapeId="0" xr:uid="{00000000-0006-0000-0100-000017000000}">
      <text>
        <r>
          <rPr>
            <b/>
            <sz val="9"/>
            <color indexed="81"/>
            <rFont val="Tahoma"/>
            <family val="2"/>
          </rPr>
          <t>Intemediate between low and high</t>
        </r>
      </text>
    </comment>
    <comment ref="AC10" authorId="1" shapeId="0" xr:uid="{00000000-0006-0000-0100-000018000000}">
      <text>
        <r>
          <rPr>
            <b/>
            <sz val="8"/>
            <color indexed="81"/>
            <rFont val="Tahoma"/>
            <family val="2"/>
          </rPr>
          <t>placeholder: 2x low for stabilzing</t>
        </r>
      </text>
    </comment>
    <comment ref="AA12" authorId="1" shapeId="0" xr:uid="{00000000-0006-0000-0100-000019000000}">
      <text>
        <r>
          <rPr>
            <b/>
            <sz val="8"/>
            <color indexed="81"/>
            <rFont val="Tahoma"/>
            <family val="2"/>
          </rPr>
          <t>Placeholder where no goal specified = same as current (assuming no further decline)</t>
        </r>
      </text>
    </comment>
    <comment ref="AB12" authorId="0" shapeId="0" xr:uid="{00000000-0006-0000-0100-00001A000000}">
      <text>
        <r>
          <rPr>
            <b/>
            <sz val="9"/>
            <color indexed="81"/>
            <rFont val="Tahoma"/>
            <family val="2"/>
          </rPr>
          <t>Intemediate between low and high</t>
        </r>
      </text>
    </comment>
    <comment ref="AC12" authorId="1" shapeId="0" xr:uid="{00000000-0006-0000-0100-00001B000000}">
      <text>
        <r>
          <rPr>
            <b/>
            <sz val="8"/>
            <color indexed="81"/>
            <rFont val="Tahoma"/>
            <family val="2"/>
          </rPr>
          <t>placeholder: 2x low for stabilzing</t>
        </r>
      </text>
    </comment>
    <comment ref="Q15" authorId="2" shapeId="0" xr:uid="{00000000-0006-0000-0100-00001C000000}">
      <text>
        <r>
          <rPr>
            <b/>
            <sz val="9"/>
            <color indexed="81"/>
            <rFont val="Tahoma"/>
            <family val="2"/>
          </rPr>
          <t>Amelia Johnson:</t>
        </r>
        <r>
          <rPr>
            <sz val="9"/>
            <color indexed="81"/>
            <rFont val="Tahoma"/>
            <family val="2"/>
          </rPr>
          <t xml:space="preserve">
NMFS 2013, Table 6-4 target abundance = 3,201</t>
        </r>
      </text>
    </comment>
    <comment ref="AA15" authorId="1" shapeId="0" xr:uid="{00000000-0006-0000-0100-00001D000000}">
      <text>
        <r>
          <rPr>
            <b/>
            <sz val="8"/>
            <color indexed="81"/>
            <rFont val="Tahoma"/>
            <family val="2"/>
          </rPr>
          <t>Recovery Goal</t>
        </r>
      </text>
    </comment>
    <comment ref="AB15" authorId="0" shapeId="0" xr:uid="{00000000-0006-0000-0100-00001E000000}">
      <text>
        <r>
          <rPr>
            <b/>
            <sz val="9"/>
            <color indexed="81"/>
            <rFont val="Tahoma"/>
            <family val="2"/>
          </rPr>
          <t>Intemediate between low and high</t>
        </r>
      </text>
    </comment>
    <comment ref="AC15" authorId="1" shapeId="0" xr:uid="{00000000-0006-0000-0100-00001F000000}">
      <text/>
    </comment>
    <comment ref="Q17" authorId="2" shapeId="0" xr:uid="{00000000-0006-0000-0100-000020000000}">
      <text>
        <r>
          <rPr>
            <b/>
            <sz val="9"/>
            <color indexed="81"/>
            <rFont val="Tahoma"/>
            <family val="2"/>
          </rPr>
          <t>Amelia Johnson:</t>
        </r>
        <r>
          <rPr>
            <sz val="9"/>
            <color indexed="81"/>
            <rFont val="Tahoma"/>
            <family val="2"/>
          </rPr>
          <t xml:space="preserve">
NMFS 2013, Table 6-4 target abundance = 3,208</t>
        </r>
      </text>
    </comment>
    <comment ref="AA17" authorId="1" shapeId="0" xr:uid="{00000000-0006-0000-0100-000021000000}">
      <text>
        <r>
          <rPr>
            <b/>
            <sz val="8"/>
            <color indexed="81"/>
            <rFont val="Tahoma"/>
            <family val="2"/>
          </rPr>
          <t>Recovery Goal</t>
        </r>
      </text>
    </comment>
    <comment ref="AB17" authorId="0" shapeId="0" xr:uid="{00000000-0006-0000-0100-000022000000}">
      <text>
        <r>
          <rPr>
            <b/>
            <sz val="9"/>
            <color indexed="81"/>
            <rFont val="Tahoma"/>
            <family val="2"/>
          </rPr>
          <t>Intemediate between low and high</t>
        </r>
      </text>
    </comment>
    <comment ref="AC17" authorId="1" shapeId="0" xr:uid="{00000000-0006-0000-0100-000023000000}">
      <text/>
    </comment>
    <comment ref="AA21" authorId="1" shapeId="0" xr:uid="{00000000-0006-0000-0100-000024000000}">
      <text>
        <r>
          <rPr>
            <b/>
            <sz val="8"/>
            <color indexed="81"/>
            <rFont val="Tahoma"/>
            <family val="2"/>
          </rPr>
          <t>Recovery Goal</t>
        </r>
      </text>
    </comment>
    <comment ref="AB21" authorId="0" shapeId="0" xr:uid="{00000000-0006-0000-0100-000025000000}">
      <text>
        <r>
          <rPr>
            <b/>
            <sz val="9"/>
            <color indexed="81"/>
            <rFont val="Tahoma"/>
            <family val="2"/>
          </rPr>
          <t>Intemediate between low and high</t>
        </r>
      </text>
    </comment>
    <comment ref="AC21" authorId="0" shapeId="0" xr:uid="{00000000-0006-0000-0100-000026000000}">
      <text>
        <r>
          <rPr>
            <b/>
            <sz val="9"/>
            <color indexed="81"/>
            <rFont val="Tahoma"/>
            <family val="2"/>
          </rPr>
          <t>Based on PFC+ potential for WA primary populations</t>
        </r>
      </text>
    </comment>
    <comment ref="AA24" authorId="1" shapeId="0" xr:uid="{00000000-0006-0000-0100-000027000000}">
      <text>
        <r>
          <rPr>
            <b/>
            <sz val="8"/>
            <color indexed="81"/>
            <rFont val="Tahoma"/>
            <family val="2"/>
          </rPr>
          <t>Recovery Goal</t>
        </r>
      </text>
    </comment>
    <comment ref="AB24" authorId="0" shapeId="0" xr:uid="{00000000-0006-0000-0100-000028000000}">
      <text>
        <r>
          <rPr>
            <b/>
            <sz val="9"/>
            <color indexed="81"/>
            <rFont val="Tahoma"/>
            <family val="2"/>
          </rPr>
          <t>Intemediate between low and high</t>
        </r>
      </text>
    </comment>
    <comment ref="AC24" authorId="0" shapeId="0" xr:uid="{00000000-0006-0000-0100-000029000000}">
      <text>
        <r>
          <rPr>
            <b/>
            <sz val="9"/>
            <color indexed="81"/>
            <rFont val="Tahoma"/>
            <family val="2"/>
          </rPr>
          <t>Based on PFC+ potential for WA primary populations</t>
        </r>
      </text>
    </comment>
    <comment ref="AA26" authorId="1" shapeId="0" xr:uid="{00000000-0006-0000-0100-00002A000000}">
      <text>
        <r>
          <rPr>
            <b/>
            <sz val="8"/>
            <color indexed="81"/>
            <rFont val="Tahoma"/>
            <family val="2"/>
          </rPr>
          <t>Recovery Goal</t>
        </r>
      </text>
    </comment>
    <comment ref="AB26" authorId="0" shapeId="0" xr:uid="{00000000-0006-0000-0100-00002B000000}">
      <text>
        <r>
          <rPr>
            <b/>
            <sz val="9"/>
            <color indexed="81"/>
            <rFont val="Tahoma"/>
            <family val="2"/>
          </rPr>
          <t>Intemediate between low and high</t>
        </r>
      </text>
    </comment>
    <comment ref="AC26" authorId="0" shapeId="0" xr:uid="{00000000-0006-0000-0100-00002C000000}">
      <text>
        <r>
          <rPr>
            <b/>
            <sz val="9"/>
            <color indexed="81"/>
            <rFont val="Tahoma"/>
            <family val="2"/>
          </rPr>
          <t>Based on PFC+ potential for WA primary populations</t>
        </r>
      </text>
    </comment>
    <comment ref="AA28" authorId="1" shapeId="0" xr:uid="{00000000-0006-0000-0100-00002D000000}">
      <text>
        <r>
          <rPr>
            <b/>
            <sz val="8"/>
            <color indexed="81"/>
            <rFont val="Tahoma"/>
            <family val="2"/>
          </rPr>
          <t>Recovery Goal</t>
        </r>
      </text>
    </comment>
    <comment ref="AC28" authorId="0" shapeId="0" xr:uid="{00000000-0006-0000-0100-00002E000000}">
      <text>
        <r>
          <rPr>
            <b/>
            <sz val="9"/>
            <color indexed="81"/>
            <rFont val="Tahoma"/>
            <family val="2"/>
          </rPr>
          <t>Based on PFC+ potential for WA primary populations</t>
        </r>
      </text>
    </comment>
    <comment ref="AA31" authorId="1" shapeId="0" xr:uid="{00000000-0006-0000-0100-00002F000000}">
      <text>
        <r>
          <rPr>
            <b/>
            <sz val="8"/>
            <color indexed="81"/>
            <rFont val="Tahoma"/>
            <family val="2"/>
          </rPr>
          <t>Recovery Goal</t>
        </r>
      </text>
    </comment>
    <comment ref="AB31" authorId="0" shapeId="0" xr:uid="{00000000-0006-0000-0100-000030000000}">
      <text>
        <r>
          <rPr>
            <b/>
            <sz val="9"/>
            <color indexed="81"/>
            <rFont val="Tahoma"/>
            <family val="2"/>
          </rPr>
          <t>Intemediate between low and high</t>
        </r>
      </text>
    </comment>
    <comment ref="AC31" authorId="0" shapeId="0" xr:uid="{00000000-0006-0000-0100-000031000000}">
      <text>
        <r>
          <rPr>
            <b/>
            <sz val="9"/>
            <color indexed="81"/>
            <rFont val="Tahoma"/>
            <family val="2"/>
          </rPr>
          <t>Based on PFC+ potential for WA primary populations</t>
        </r>
      </text>
    </comment>
    <comment ref="AA33" authorId="1" shapeId="0" xr:uid="{00000000-0006-0000-0100-000032000000}">
      <text>
        <r>
          <rPr>
            <b/>
            <sz val="8"/>
            <color indexed="81"/>
            <rFont val="Tahoma"/>
            <family val="2"/>
          </rPr>
          <t>Recovery Goal</t>
        </r>
      </text>
    </comment>
    <comment ref="AB33" authorId="0" shapeId="0" xr:uid="{00000000-0006-0000-0100-000033000000}">
      <text>
        <r>
          <rPr>
            <b/>
            <sz val="9"/>
            <color indexed="81"/>
            <rFont val="Tahoma"/>
            <family val="2"/>
          </rPr>
          <t>Intemediate between low and high</t>
        </r>
      </text>
    </comment>
    <comment ref="AC33" authorId="0" shapeId="0" xr:uid="{00000000-0006-0000-0100-000034000000}">
      <text>
        <r>
          <rPr>
            <b/>
            <sz val="9"/>
            <color indexed="81"/>
            <rFont val="Tahoma"/>
            <family val="2"/>
          </rPr>
          <t>Based on PFC+ potential for WA primary populations</t>
        </r>
      </text>
    </comment>
    <comment ref="J35" authorId="0" shapeId="0" xr:uid="{00000000-0006-0000-0100-000035000000}">
      <text>
        <r>
          <rPr>
            <b/>
            <sz val="9"/>
            <color indexed="81"/>
            <rFont val="Tahoma"/>
            <family val="2"/>
          </rPr>
          <t>corrected from 2000-2600</t>
        </r>
      </text>
    </comment>
    <comment ref="AA35" authorId="1" shapeId="0" xr:uid="{00000000-0006-0000-0100-000036000000}">
      <text>
        <r>
          <rPr>
            <b/>
            <sz val="8"/>
            <color indexed="81"/>
            <rFont val="Tahoma"/>
            <family val="2"/>
          </rPr>
          <t>Placeholder where no goal specified = same as current (assuming no further decline)</t>
        </r>
      </text>
    </comment>
    <comment ref="AB35" authorId="0" shapeId="0" xr:uid="{00000000-0006-0000-0100-000037000000}">
      <text>
        <r>
          <rPr>
            <b/>
            <sz val="9"/>
            <color indexed="81"/>
            <rFont val="Tahoma"/>
            <family val="2"/>
          </rPr>
          <t>Intemediate between low and high</t>
        </r>
      </text>
    </comment>
    <comment ref="AC35" authorId="0" shapeId="0" xr:uid="{00000000-0006-0000-0100-000038000000}">
      <text>
        <r>
          <rPr>
            <b/>
            <sz val="9"/>
            <color indexed="81"/>
            <rFont val="Tahoma"/>
            <family val="2"/>
          </rPr>
          <t>Based on PFC+ potential for WA primary populations</t>
        </r>
      </text>
    </comment>
    <comment ref="AA37" authorId="1" shapeId="0" xr:uid="{00000000-0006-0000-0100-000039000000}">
      <text>
        <r>
          <rPr>
            <b/>
            <sz val="8"/>
            <color indexed="81"/>
            <rFont val="Tahoma"/>
            <family val="2"/>
          </rPr>
          <t>Recovery Goal</t>
        </r>
      </text>
    </comment>
    <comment ref="AB37" authorId="0" shapeId="0" xr:uid="{00000000-0006-0000-0100-00003A000000}">
      <text>
        <r>
          <rPr>
            <b/>
            <sz val="9"/>
            <color indexed="81"/>
            <rFont val="Tahoma"/>
            <family val="2"/>
          </rPr>
          <t>Intemediate between low and high</t>
        </r>
      </text>
    </comment>
    <comment ref="AC37" authorId="0" shapeId="0" xr:uid="{00000000-0006-0000-0100-00003B000000}">
      <text>
        <r>
          <rPr>
            <b/>
            <sz val="9"/>
            <color indexed="81"/>
            <rFont val="Tahoma"/>
            <family val="2"/>
          </rPr>
          <t>Based on PFC+ potential for WA primary populations</t>
        </r>
      </text>
    </comment>
    <comment ref="AA40" authorId="1" shapeId="0" xr:uid="{00000000-0006-0000-0100-00003C000000}">
      <text>
        <r>
          <rPr>
            <b/>
            <sz val="8"/>
            <color indexed="81"/>
            <rFont val="Tahoma"/>
            <family val="2"/>
          </rPr>
          <t>Recovery Goal</t>
        </r>
      </text>
    </comment>
    <comment ref="AB40" authorId="0" shapeId="0" xr:uid="{00000000-0006-0000-0100-00003D000000}">
      <text>
        <r>
          <rPr>
            <b/>
            <sz val="9"/>
            <color indexed="81"/>
            <rFont val="Tahoma"/>
            <family val="2"/>
          </rPr>
          <t>Intemediate between low and high</t>
        </r>
      </text>
    </comment>
    <comment ref="AC40" authorId="0" shapeId="0" xr:uid="{00000000-0006-0000-0100-00003E000000}">
      <text>
        <r>
          <rPr>
            <b/>
            <sz val="9"/>
            <color indexed="81"/>
            <rFont val="Tahoma"/>
            <family val="2"/>
          </rPr>
          <t>Based on PFC+ potential for WA primary populations</t>
        </r>
      </text>
    </comment>
    <comment ref="AA42" authorId="1" shapeId="0" xr:uid="{00000000-0006-0000-0100-00003F000000}">
      <text>
        <r>
          <rPr>
            <b/>
            <sz val="8"/>
            <color indexed="81"/>
            <rFont val="Tahoma"/>
            <family val="2"/>
          </rPr>
          <t>Recovery Goal</t>
        </r>
      </text>
    </comment>
    <comment ref="AB42" authorId="0" shapeId="0" xr:uid="{00000000-0006-0000-0100-000040000000}">
      <text>
        <r>
          <rPr>
            <b/>
            <sz val="9"/>
            <color indexed="81"/>
            <rFont val="Tahoma"/>
            <family val="2"/>
          </rPr>
          <t>Intemediate between low and high</t>
        </r>
      </text>
    </comment>
    <comment ref="AC42" authorId="0" shapeId="0" xr:uid="{00000000-0006-0000-0100-000041000000}">
      <text>
        <r>
          <rPr>
            <b/>
            <sz val="9"/>
            <color indexed="81"/>
            <rFont val="Tahoma"/>
            <family val="2"/>
          </rPr>
          <t>Based on PFC+ potential for WA primary populations</t>
        </r>
      </text>
    </comment>
    <comment ref="AA44" authorId="1" shapeId="0" xr:uid="{00000000-0006-0000-0100-000042000000}">
      <text>
        <r>
          <rPr>
            <b/>
            <sz val="8"/>
            <color indexed="81"/>
            <rFont val="Tahoma"/>
            <family val="2"/>
          </rPr>
          <t>Placeholder where no goal specified = same as current (assuming no further decline)</t>
        </r>
      </text>
    </comment>
    <comment ref="AB44" authorId="0" shapeId="0" xr:uid="{00000000-0006-0000-0100-000043000000}">
      <text>
        <r>
          <rPr>
            <b/>
            <sz val="9"/>
            <color indexed="81"/>
            <rFont val="Tahoma"/>
            <family val="2"/>
          </rPr>
          <t>Intemediate between low and high</t>
        </r>
      </text>
    </comment>
    <comment ref="AC44" authorId="0" shapeId="0" xr:uid="{00000000-0006-0000-0100-000044000000}">
      <text>
        <r>
          <rPr>
            <b/>
            <sz val="9"/>
            <color indexed="81"/>
            <rFont val="Tahoma"/>
            <family val="2"/>
          </rPr>
          <t>Based on PFC+ potential for WA primary populations</t>
        </r>
      </text>
    </comment>
    <comment ref="AA47" authorId="1" shapeId="0" xr:uid="{00000000-0006-0000-0100-000045000000}">
      <text>
        <r>
          <rPr>
            <b/>
            <sz val="8"/>
            <color indexed="81"/>
            <rFont val="Tahoma"/>
            <family val="2"/>
          </rPr>
          <t>Recovery Goal</t>
        </r>
      </text>
    </comment>
    <comment ref="AB47" authorId="0" shapeId="0" xr:uid="{00000000-0006-0000-0100-000046000000}">
      <text>
        <r>
          <rPr>
            <b/>
            <sz val="9"/>
            <color indexed="81"/>
            <rFont val="Tahoma"/>
            <family val="2"/>
          </rPr>
          <t>Intemediate between low and high</t>
        </r>
      </text>
    </comment>
    <comment ref="AC47" authorId="0" shapeId="0" xr:uid="{00000000-0006-0000-0100-000047000000}">
      <text>
        <r>
          <rPr>
            <b/>
            <sz val="9"/>
            <color indexed="81"/>
            <rFont val="Tahoma"/>
            <family val="2"/>
          </rPr>
          <t>Based on PFC+ potential for WA primary populations</t>
        </r>
      </text>
    </comment>
    <comment ref="Q49" authorId="2" shapeId="0" xr:uid="{00000000-0006-0000-0100-000048000000}">
      <text>
        <r>
          <rPr>
            <b/>
            <sz val="9"/>
            <color indexed="81"/>
            <rFont val="Tahoma"/>
            <family val="2"/>
          </rPr>
          <t>Amelia Johnson:</t>
        </r>
        <r>
          <rPr>
            <sz val="9"/>
            <color indexed="81"/>
            <rFont val="Tahoma"/>
            <family val="2"/>
          </rPr>
          <t xml:space="preserve">
NMFS 2013, Table 6-4 target abundance = 5,685</t>
        </r>
      </text>
    </comment>
    <comment ref="AA49" authorId="1" shapeId="0" xr:uid="{00000000-0006-0000-0100-000049000000}">
      <text>
        <r>
          <rPr>
            <b/>
            <sz val="8"/>
            <color indexed="81"/>
            <rFont val="Tahoma"/>
            <family val="2"/>
          </rPr>
          <t>Recovery Goal</t>
        </r>
      </text>
    </comment>
    <comment ref="AB49" authorId="0" shapeId="0" xr:uid="{00000000-0006-0000-0100-00004A000000}">
      <text>
        <r>
          <rPr>
            <b/>
            <sz val="9"/>
            <color indexed="81"/>
            <rFont val="Tahoma"/>
            <family val="2"/>
          </rPr>
          <t>Intemediate between low and high</t>
        </r>
      </text>
    </comment>
    <comment ref="AC49" authorId="1" shapeId="0" xr:uid="{00000000-0006-0000-0100-00004B000000}">
      <text/>
    </comment>
    <comment ref="Q51" authorId="2" shapeId="0" xr:uid="{00000000-0006-0000-0100-00004C000000}">
      <text>
        <r>
          <rPr>
            <b/>
            <sz val="9"/>
            <color indexed="81"/>
            <rFont val="Tahoma"/>
            <family val="2"/>
          </rPr>
          <t>Amelia Johnson:</t>
        </r>
        <r>
          <rPr>
            <sz val="9"/>
            <color indexed="81"/>
            <rFont val="Tahoma"/>
            <family val="2"/>
          </rPr>
          <t xml:space="preserve">
NMFS 2013, Table 6-4 target abundance = 11,232</t>
        </r>
      </text>
    </comment>
    <comment ref="AA51" authorId="1" shapeId="0" xr:uid="{00000000-0006-0000-0100-00004D000000}">
      <text>
        <r>
          <rPr>
            <b/>
            <sz val="8"/>
            <color indexed="81"/>
            <rFont val="Tahoma"/>
            <family val="2"/>
          </rPr>
          <t>Recovery Goal</t>
        </r>
      </text>
    </comment>
    <comment ref="AB51" authorId="0" shapeId="0" xr:uid="{00000000-0006-0000-0100-00004E000000}">
      <text>
        <r>
          <rPr>
            <b/>
            <sz val="9"/>
            <color indexed="81"/>
            <rFont val="Tahoma"/>
            <family val="2"/>
          </rPr>
          <t>Intemediate between low and high</t>
        </r>
      </text>
    </comment>
    <comment ref="AC51" authorId="1" shapeId="0" xr:uid="{00000000-0006-0000-0100-00004F000000}">
      <text/>
    </comment>
    <comment ref="AA56" authorId="1" shapeId="0" xr:uid="{00000000-0006-0000-0100-000050000000}">
      <text>
        <r>
          <rPr>
            <b/>
            <sz val="8"/>
            <color indexed="81"/>
            <rFont val="Tahoma"/>
            <family val="2"/>
          </rPr>
          <t>Recovery Goal</t>
        </r>
      </text>
    </comment>
    <comment ref="AB56" authorId="0" shapeId="0" xr:uid="{00000000-0006-0000-0100-000051000000}">
      <text>
        <r>
          <rPr>
            <b/>
            <sz val="9"/>
            <color indexed="81"/>
            <rFont val="Tahoma"/>
            <family val="2"/>
          </rPr>
          <t>Intemediate between low and high</t>
        </r>
      </text>
    </comment>
    <comment ref="AC56" authorId="1" shapeId="0" xr:uid="{00000000-0006-0000-0100-000052000000}">
      <text/>
    </comment>
    <comment ref="AA58" authorId="1" shapeId="0" xr:uid="{00000000-0006-0000-0100-000053000000}">
      <text>
        <r>
          <rPr>
            <b/>
            <sz val="8"/>
            <color indexed="81"/>
            <rFont val="Tahoma"/>
            <family val="2"/>
          </rPr>
          <t>Recovery Goal</t>
        </r>
      </text>
    </comment>
    <comment ref="AB58" authorId="0" shapeId="0" xr:uid="{00000000-0006-0000-0100-000054000000}">
      <text>
        <r>
          <rPr>
            <b/>
            <sz val="9"/>
            <color indexed="81"/>
            <rFont val="Tahoma"/>
            <family val="2"/>
          </rPr>
          <t>Intemediate between low and high</t>
        </r>
      </text>
    </comment>
    <comment ref="AC58" authorId="1" shapeId="0" xr:uid="{00000000-0006-0000-0100-000055000000}">
      <text/>
    </comment>
    <comment ref="AA60" authorId="1" shapeId="0" xr:uid="{00000000-0006-0000-0100-000056000000}">
      <text>
        <r>
          <rPr>
            <b/>
            <sz val="8"/>
            <color indexed="81"/>
            <rFont val="Tahoma"/>
            <family val="2"/>
          </rPr>
          <t>assume same as other gorge pops</t>
        </r>
      </text>
    </comment>
    <comment ref="AB60" authorId="0" shapeId="0" xr:uid="{00000000-0006-0000-0100-000057000000}">
      <text>
        <r>
          <rPr>
            <b/>
            <sz val="9"/>
            <color indexed="81"/>
            <rFont val="Tahoma"/>
            <family val="2"/>
          </rPr>
          <t>Intemediate between low and high</t>
        </r>
      </text>
    </comment>
    <comment ref="AC60" authorId="1" shapeId="0" xr:uid="{00000000-0006-0000-0100-000058000000}">
      <text/>
    </comment>
    <comment ref="I67" authorId="1" shapeId="0" xr:uid="{00000000-0006-0000-0100-000059000000}">
      <text>
        <r>
          <rPr>
            <b/>
            <sz val="8"/>
            <color indexed="81"/>
            <rFont val="Tahoma"/>
            <family val="2"/>
          </rPr>
          <t>Pop size assumptions supplied by Beamesderfer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K71" authorId="0" shapeId="0" xr:uid="{00000000-0006-0000-0200-000001000000}">
      <text>
        <r>
          <rPr>
            <b/>
            <sz val="8"/>
            <color indexed="81"/>
            <rFont val="Tahoma"/>
            <family val="2"/>
          </rPr>
          <t>Placeholder from Ray</t>
        </r>
      </text>
    </comment>
    <comment ref="L71" authorId="0" shapeId="0" xr:uid="{00000000-0006-0000-0200-000002000000}">
      <text>
        <r>
          <rPr>
            <b/>
            <sz val="8"/>
            <color indexed="81"/>
            <rFont val="Tahoma"/>
            <family val="2"/>
          </rPr>
          <t>Placeholder from Ray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WDFW</author>
    <author>wdfw</author>
  </authors>
  <commentList>
    <comment ref="S15" authorId="0" shapeId="0" xr:uid="{00000000-0006-0000-0300-000001000000}">
      <text>
        <r>
          <rPr>
            <b/>
            <sz val="8"/>
            <color indexed="81"/>
            <rFont val="Tahoma"/>
            <family val="2"/>
          </rPr>
          <t>WDFW:</t>
        </r>
        <r>
          <rPr>
            <sz val="8"/>
            <color indexed="81"/>
            <rFont val="Tahoma"/>
            <family val="2"/>
          </rPr>
          <t xml:space="preserve">
Progam switched to late stock beginning 2009 releases</t>
        </r>
      </text>
    </comment>
    <comment ref="X15" authorId="0" shapeId="0" xr:uid="{00000000-0006-0000-0300-000002000000}">
      <text>
        <r>
          <rPr>
            <b/>
            <sz val="8"/>
            <color indexed="81"/>
            <rFont val="Tahoma"/>
            <family val="2"/>
          </rPr>
          <t>WDFW:</t>
        </r>
        <r>
          <rPr>
            <sz val="8"/>
            <color indexed="81"/>
            <rFont val="Tahoma"/>
            <family val="2"/>
          </rPr>
          <t xml:space="preserve">
Progam switched to late stock beginning 2009 releases</t>
        </r>
      </text>
    </comment>
    <comment ref="S16" authorId="1" shapeId="0" xr:uid="{00000000-0006-0000-0300-000003000000}">
      <text>
        <r>
          <rPr>
            <b/>
            <sz val="9"/>
            <color indexed="81"/>
            <rFont val="Tahoma"/>
            <family val="2"/>
          </rPr>
          <t>wdfw:</t>
        </r>
        <r>
          <rPr>
            <sz val="9"/>
            <color indexed="81"/>
            <rFont val="Tahoma"/>
            <family val="2"/>
          </rPr>
          <t xml:space="preserve">
An intregrated program with hatchery and wild fish combined since 2010.  in 2013, 42% of the release was categorized as 'wild'.   </t>
        </r>
      </text>
    </comment>
    <comment ref="X16" authorId="1" shapeId="0" xr:uid="{00000000-0006-0000-0300-000004000000}">
      <text>
        <r>
          <rPr>
            <b/>
            <sz val="9"/>
            <color indexed="81"/>
            <rFont val="Tahoma"/>
            <family val="2"/>
          </rPr>
          <t>wdfw:</t>
        </r>
        <r>
          <rPr>
            <sz val="9"/>
            <color indexed="81"/>
            <rFont val="Tahoma"/>
            <family val="2"/>
          </rPr>
          <t xml:space="preserve">
An intregrated program with hatchery and wild fish combined since 2010.  in 2013, 42% of the release was categorized as 'wild'.   </t>
        </r>
      </text>
    </comment>
    <comment ref="S17" authorId="0" shapeId="0" xr:uid="{00000000-0006-0000-0300-000005000000}">
      <text>
        <r>
          <rPr>
            <b/>
            <sz val="9"/>
            <color indexed="81"/>
            <rFont val="Tahoma"/>
            <family val="2"/>
          </rPr>
          <t>WDFW:</t>
        </r>
        <r>
          <rPr>
            <sz val="9"/>
            <color indexed="81"/>
            <rFont val="Tahoma"/>
            <family val="2"/>
          </rPr>
          <t xml:space="preserve">
Kalama falls Hatchery</t>
        </r>
      </text>
    </comment>
    <comment ref="X17" authorId="0" shapeId="0" xr:uid="{00000000-0006-0000-0300-000006000000}">
      <text>
        <r>
          <rPr>
            <b/>
            <sz val="9"/>
            <color indexed="81"/>
            <rFont val="Tahoma"/>
            <family val="2"/>
          </rPr>
          <t>WDFW:</t>
        </r>
        <r>
          <rPr>
            <sz val="9"/>
            <color indexed="81"/>
            <rFont val="Tahoma"/>
            <family val="2"/>
          </rPr>
          <t xml:space="preserve">
Kalama falls Hatchery</t>
        </r>
      </text>
    </comment>
    <comment ref="S18" authorId="0" shapeId="0" xr:uid="{00000000-0006-0000-0300-000007000000}">
      <text>
        <r>
          <rPr>
            <b/>
            <sz val="8"/>
            <color indexed="81"/>
            <rFont val="Tahoma"/>
            <family val="2"/>
          </rPr>
          <t>WDFW:</t>
        </r>
        <r>
          <rPr>
            <sz val="8"/>
            <color indexed="81"/>
            <rFont val="Tahoma"/>
            <family val="2"/>
          </rPr>
          <t xml:space="preserve">
Program changes expected in 2011.  Around 850 K expected to be released.  Data does not include ~300K WILD fry released (2009) from egg boxes, etc. </t>
        </r>
      </text>
    </comment>
    <comment ref="X18" authorId="0" shapeId="0" xr:uid="{00000000-0006-0000-0300-000008000000}">
      <text>
        <r>
          <rPr>
            <b/>
            <sz val="8"/>
            <color indexed="81"/>
            <rFont val="Tahoma"/>
            <family val="2"/>
          </rPr>
          <t>WDFW:</t>
        </r>
        <r>
          <rPr>
            <sz val="8"/>
            <color indexed="81"/>
            <rFont val="Tahoma"/>
            <family val="2"/>
          </rPr>
          <t xml:space="preserve">
Program changes expected in 2011.  Around 850 K expected to be released.  Data does not include ~300K WILD fry released (2009) from egg boxes, etc. </t>
        </r>
      </text>
    </comment>
    <comment ref="S19" authorId="0" shapeId="0" xr:uid="{00000000-0006-0000-0300-000009000000}">
      <text>
        <r>
          <rPr>
            <b/>
            <sz val="8"/>
            <color indexed="81"/>
            <rFont val="Tahoma"/>
            <family val="2"/>
          </rPr>
          <t>WDFW:</t>
        </r>
        <r>
          <rPr>
            <sz val="8"/>
            <color indexed="81"/>
            <rFont val="Tahoma"/>
            <family val="2"/>
          </rPr>
          <t xml:space="preserve">
Program changes beginning 2009.  Production reduced. Now ~150K. </t>
        </r>
      </text>
    </comment>
    <comment ref="X19" authorId="0" shapeId="0" xr:uid="{00000000-0006-0000-0300-00000A000000}">
      <text>
        <r>
          <rPr>
            <b/>
            <sz val="8"/>
            <color indexed="81"/>
            <rFont val="Tahoma"/>
            <family val="2"/>
          </rPr>
          <t>WDFW:</t>
        </r>
        <r>
          <rPr>
            <sz val="8"/>
            <color indexed="81"/>
            <rFont val="Tahoma"/>
            <family val="2"/>
          </rPr>
          <t xml:space="preserve">
Program changes beginning 2009.  Production reduced. Now ~150K. </t>
        </r>
      </text>
    </comment>
    <comment ref="S38" authorId="0" shapeId="0" xr:uid="{00000000-0006-0000-0300-00000B000000}">
      <text>
        <r>
          <rPr>
            <b/>
            <sz val="8"/>
            <color indexed="81"/>
            <rFont val="Tahoma"/>
            <family val="2"/>
          </rPr>
          <t>WDFW:</t>
        </r>
        <r>
          <rPr>
            <sz val="8"/>
            <color indexed="81"/>
            <rFont val="Tahoma"/>
            <family val="2"/>
          </rPr>
          <t xml:space="preserve">
Program changes beginning in 2009.  Releases should be around 150K</t>
        </r>
      </text>
    </comment>
    <comment ref="X38" authorId="0" shapeId="0" xr:uid="{00000000-0006-0000-0300-00000C000000}">
      <text>
        <r>
          <rPr>
            <b/>
            <sz val="8"/>
            <color indexed="81"/>
            <rFont val="Tahoma"/>
            <family val="2"/>
          </rPr>
          <t>WDFW:</t>
        </r>
        <r>
          <rPr>
            <sz val="8"/>
            <color indexed="81"/>
            <rFont val="Tahoma"/>
            <family val="2"/>
          </rPr>
          <t xml:space="preserve">
Program changes beginning in 2009.  Releases should be around 150K</t>
        </r>
      </text>
    </comment>
    <comment ref="S39" authorId="0" shapeId="0" xr:uid="{00000000-0006-0000-0300-00000D000000}">
      <text>
        <r>
          <rPr>
            <b/>
            <sz val="8"/>
            <color indexed="81"/>
            <rFont val="Tahoma"/>
            <family val="2"/>
          </rPr>
          <t xml:space="preserve">WDFW:Program discontinued in 2014.  Final 2013 BY released early (Oct) in Cowlitz River. </t>
        </r>
        <r>
          <rPr>
            <sz val="8"/>
            <color indexed="81"/>
            <rFont val="Tahoma"/>
            <family val="2"/>
          </rPr>
          <t xml:space="preserve">
Fallert Cr Hatchery Program Changes beginning in 2010. releases will be ~100K.  </t>
        </r>
      </text>
    </comment>
    <comment ref="X39" authorId="0" shapeId="0" xr:uid="{00000000-0006-0000-0300-00000E000000}">
      <text>
        <r>
          <rPr>
            <b/>
            <sz val="8"/>
            <color indexed="81"/>
            <rFont val="Tahoma"/>
            <family val="2"/>
          </rPr>
          <t xml:space="preserve">WDFW:Program discontinued in 2014.  Final 2013 BY released early (Oct) in Cowlitz River. </t>
        </r>
        <r>
          <rPr>
            <sz val="8"/>
            <color indexed="81"/>
            <rFont val="Tahoma"/>
            <family val="2"/>
          </rPr>
          <t xml:space="preserve">
Fallert Cr Hatchery Program Changes beginning in 2010. releases will be ~100K.  </t>
        </r>
      </text>
    </comment>
    <comment ref="S40" authorId="0" shapeId="0" xr:uid="{00000000-0006-0000-0300-00000F000000}">
      <text>
        <r>
          <rPr>
            <b/>
            <sz val="8"/>
            <color indexed="81"/>
            <rFont val="Tahoma"/>
            <family val="2"/>
          </rPr>
          <t>WDFW:</t>
        </r>
        <r>
          <rPr>
            <sz val="8"/>
            <color indexed="81"/>
            <rFont val="Tahoma"/>
            <family val="2"/>
          </rPr>
          <t xml:space="preserve">
Program changes beginning 2011 releases.  Includes ~500K released from Net pens in Speelie Bay</t>
        </r>
      </text>
    </comment>
    <comment ref="X40" authorId="0" shapeId="0" xr:uid="{00000000-0006-0000-0300-000010000000}">
      <text>
        <r>
          <rPr>
            <b/>
            <sz val="8"/>
            <color indexed="81"/>
            <rFont val="Tahoma"/>
            <family val="2"/>
          </rPr>
          <t>WDFW:</t>
        </r>
        <r>
          <rPr>
            <sz val="8"/>
            <color indexed="81"/>
            <rFont val="Tahoma"/>
            <family val="2"/>
          </rPr>
          <t xml:space="preserve">
Program changes beginning 2011 releases.  Includes ~500K released from Net pens in Speelie Bay</t>
        </r>
      </text>
    </comment>
    <comment ref="S43" authorId="0" shapeId="0" xr:uid="{00000000-0006-0000-0300-000011000000}">
      <text>
        <r>
          <rPr>
            <b/>
            <sz val="8"/>
            <color indexed="81"/>
            <rFont val="Tahoma"/>
            <family val="2"/>
          </rPr>
          <t>WDFW:</t>
        </r>
        <r>
          <rPr>
            <sz val="8"/>
            <color indexed="81"/>
            <rFont val="Tahoma"/>
            <family val="2"/>
          </rPr>
          <t xml:space="preserve">
Program increased beginig 2009.  So should see around 800K.  Additional 350K from Washougal Early should show up beginig 2010 </t>
        </r>
      </text>
    </comment>
    <comment ref="X43" authorId="0" shapeId="0" xr:uid="{00000000-0006-0000-0300-000012000000}">
      <text>
        <r>
          <rPr>
            <b/>
            <sz val="8"/>
            <color indexed="81"/>
            <rFont val="Tahoma"/>
            <family val="2"/>
          </rPr>
          <t>WDFW:</t>
        </r>
        <r>
          <rPr>
            <sz val="8"/>
            <color indexed="81"/>
            <rFont val="Tahoma"/>
            <family val="2"/>
          </rPr>
          <t xml:space="preserve">
Program increased beginig 2009.  So should see around 800K.  Additional 350K from Washougal Early should show up beginig 2010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T35" authorId="0" shapeId="0" xr:uid="{00000000-0006-0000-0700-000001000000}">
      <text>
        <r>
          <rPr>
            <b/>
            <sz val="8"/>
            <color indexed="81"/>
            <rFont val="Tahoma"/>
            <family val="2"/>
          </rPr>
          <t>from text in JSR based on CRC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8C2BB278-346E-4E01-A3C5-AF8BF5BD32C1}">
      <text>
        <r>
          <rPr>
            <b/>
            <sz val="9"/>
            <color indexed="81"/>
            <rFont val="Tahoma"/>
            <family val="2"/>
          </rPr>
          <t>from goal summary table</t>
        </r>
      </text>
    </comment>
    <comment ref="E4" authorId="0" shapeId="0" xr:uid="{0A28D494-9B69-4292-BB4E-2E8B0479FD03}">
      <text>
        <r>
          <rPr>
            <b/>
            <sz val="9"/>
            <color indexed="81"/>
            <rFont val="Tahoma"/>
            <family val="2"/>
          </rPr>
          <t>For this example solved to force match to number of spawners (because averages don't always align perfectly)</t>
        </r>
      </text>
    </comment>
    <comment ref="Q7" authorId="0" shapeId="0" xr:uid="{B2A25FF1-C6B6-47F4-AF12-487BBCA45437}">
      <text>
        <r>
          <rPr>
            <b/>
            <sz val="9"/>
            <color indexed="81"/>
            <rFont val="Tahoma"/>
            <family val="2"/>
          </rPr>
          <t>need to select this so that total matches target (col N = col P)</t>
        </r>
      </text>
    </comment>
    <comment ref="Q8" authorId="0" shapeId="0" xr:uid="{3EB49909-0128-4333-B1CA-C321314E4F7E}">
      <text>
        <r>
          <rPr>
            <b/>
            <sz val="9"/>
            <color indexed="81"/>
            <rFont val="Tahoma"/>
            <family val="2"/>
          </rPr>
          <t>need to select this so that total matches target (col N = col P)</t>
        </r>
      </text>
    </comment>
    <comment ref="G9" authorId="0" shapeId="0" xr:uid="{5EC85A2C-4DFC-41E9-A033-AAA0A3474FB3}">
      <text>
        <r>
          <rPr>
            <b/>
            <sz val="9"/>
            <color indexed="81"/>
            <rFont val="Tahoma"/>
            <family val="2"/>
          </rPr>
          <t>need to select this so that total matches target (col N = col P)</t>
        </r>
      </text>
    </comment>
    <comment ref="Q9" authorId="0" shapeId="0" xr:uid="{A91C0E6D-2C6B-4118-8E43-C0BF8DE76D07}">
      <text>
        <r>
          <rPr>
            <b/>
            <sz val="9"/>
            <color indexed="81"/>
            <rFont val="Tahoma"/>
            <family val="2"/>
          </rPr>
          <t>need to select this so that total matches target (col N = col P)</t>
        </r>
      </text>
    </comment>
    <comment ref="M12" authorId="0" shapeId="0" xr:uid="{A749C30B-E93E-4AC3-8A25-D800567B7704}">
      <text>
        <r>
          <rPr>
            <b/>
            <sz val="9"/>
            <color indexed="81"/>
            <rFont val="Tahoma"/>
            <family val="2"/>
          </rPr>
          <t>this ideally should include hatchery rack returns &amp; strays into natural spawning grounds</t>
        </r>
      </text>
    </comment>
    <comment ref="R12" authorId="0" shapeId="0" xr:uid="{175827CF-D1CF-4FA8-8030-D4D2273DBFF2}">
      <text>
        <r>
          <rPr>
            <b/>
            <sz val="9"/>
            <color indexed="81"/>
            <rFont val="Tahoma"/>
            <family val="2"/>
          </rPr>
          <t>from goal summary table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F91A0CD8-7AA6-4BD2-BF8F-B1444595101B}">
      <text>
        <r>
          <rPr>
            <b/>
            <sz val="9"/>
            <color indexed="81"/>
            <rFont val="Tahoma"/>
            <family val="2"/>
          </rPr>
          <t>from goal summary table</t>
        </r>
      </text>
    </comment>
    <comment ref="E4" authorId="0" shapeId="0" xr:uid="{11B8D7BC-672E-4569-979E-41A1DC440AEB}">
      <text>
        <r>
          <rPr>
            <b/>
            <sz val="9"/>
            <color indexed="81"/>
            <rFont val="Tahoma"/>
            <family val="2"/>
          </rPr>
          <t>For this example solved to force match to number of spawners (because averages don't always align perfectly)</t>
        </r>
      </text>
    </comment>
    <comment ref="Q7" authorId="0" shapeId="0" xr:uid="{8B22051D-7E33-45CC-8043-9ABEEAE82180}">
      <text>
        <r>
          <rPr>
            <b/>
            <sz val="9"/>
            <color indexed="81"/>
            <rFont val="Tahoma"/>
            <family val="2"/>
          </rPr>
          <t>need to select this so that total matches target (col N = col P)</t>
        </r>
      </text>
    </comment>
    <comment ref="Q8" authorId="0" shapeId="0" xr:uid="{7DA05D7A-3039-4180-AC8D-8539AC26B6AD}">
      <text>
        <r>
          <rPr>
            <b/>
            <sz val="9"/>
            <color indexed="81"/>
            <rFont val="Tahoma"/>
            <family val="2"/>
          </rPr>
          <t>need to select this so that total matches target (col N = col P)</t>
        </r>
      </text>
    </comment>
    <comment ref="G9" authorId="0" shapeId="0" xr:uid="{10BDC651-9130-462F-9CF9-92E1DCB382DE}">
      <text>
        <r>
          <rPr>
            <b/>
            <sz val="9"/>
            <color indexed="81"/>
            <rFont val="Tahoma"/>
            <family val="2"/>
          </rPr>
          <t>need to select this so that total matches target (col N = col P)</t>
        </r>
      </text>
    </comment>
    <comment ref="Q9" authorId="0" shapeId="0" xr:uid="{B50D960A-3866-469F-B357-22F517619D4B}">
      <text>
        <r>
          <rPr>
            <b/>
            <sz val="9"/>
            <color indexed="81"/>
            <rFont val="Tahoma"/>
            <family val="2"/>
          </rPr>
          <t>need to select this so that total matches target (col N = col P)</t>
        </r>
      </text>
    </comment>
    <comment ref="M12" authorId="0" shapeId="0" xr:uid="{F615D15A-E8C0-4F2C-9DC9-4F0ACA4150F9}">
      <text>
        <r>
          <rPr>
            <b/>
            <sz val="9"/>
            <color indexed="81"/>
            <rFont val="Tahoma"/>
            <family val="2"/>
          </rPr>
          <t>this ideally should include hatchery rack returns &amp; strays into natural spawning grounds</t>
        </r>
      </text>
    </comment>
    <comment ref="R12" authorId="0" shapeId="0" xr:uid="{1C1BB905-BFB2-4FAD-B9C8-19FFA15E7318}">
      <text>
        <r>
          <rPr>
            <b/>
            <sz val="9"/>
            <color indexed="81"/>
            <rFont val="Tahoma"/>
            <family val="2"/>
          </rPr>
          <t>from goal summary table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2" authorId="0" shapeId="0" xr:uid="{00000000-0006-0000-0800-000001000000}">
      <text>
        <r>
          <rPr>
            <b/>
            <u/>
            <sz val="9"/>
            <color indexed="81"/>
            <rFont val="Tahoma"/>
            <family val="2"/>
          </rPr>
          <t>Subject</t>
        </r>
        <r>
          <rPr>
            <b/>
            <sz val="9"/>
            <color indexed="81"/>
            <rFont val="Tahoma"/>
            <family val="2"/>
          </rPr>
          <t xml:space="preserve">
Population
Fishery
Hatchery</t>
        </r>
      </text>
    </comment>
    <comment ref="F2" authorId="0" shapeId="0" xr:uid="{00000000-0006-0000-0800-000002000000}">
      <text>
        <r>
          <rPr>
            <b/>
            <sz val="9"/>
            <color indexed="81"/>
            <rFont val="Tahoma"/>
            <family val="2"/>
          </rPr>
          <t>fill these in when final</t>
        </r>
      </text>
    </comment>
    <comment ref="I2" authorId="0" shapeId="0" xr:uid="{00000000-0006-0000-0800-000003000000}">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J2" authorId="0" shapeId="0" xr:uid="{00000000-0006-0000-0800-000004000000}">
      <text>
        <r>
          <rPr>
            <b/>
            <sz val="9"/>
            <color indexed="81"/>
            <rFont val="Tahoma"/>
            <family val="2"/>
          </rPr>
          <t>if applicable</t>
        </r>
      </text>
    </comment>
    <comment ref="L2" authorId="0" shapeId="0" xr:uid="{00000000-0006-0000-0800-000005000000}">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sharedStrings.xml><?xml version="1.0" encoding="utf-8"?>
<sst xmlns="http://schemas.openxmlformats.org/spreadsheetml/2006/main" count="6198" uniqueCount="1197">
  <si>
    <t>Units</t>
  </si>
  <si>
    <t>Reference Values</t>
  </si>
  <si>
    <t>Existing Goals</t>
  </si>
  <si>
    <t>Current</t>
  </si>
  <si>
    <t>Historical</t>
  </si>
  <si>
    <t>ESA</t>
  </si>
  <si>
    <t>Tribal</t>
  </si>
  <si>
    <t>State</t>
  </si>
  <si>
    <t>Natural spawners</t>
  </si>
  <si>
    <t>Total spawners</t>
  </si>
  <si>
    <t>Total</t>
  </si>
  <si>
    <t>Grays</t>
  </si>
  <si>
    <t>Elochoman</t>
  </si>
  <si>
    <t>Mill</t>
  </si>
  <si>
    <t>Coast</t>
  </si>
  <si>
    <t>Cascade</t>
  </si>
  <si>
    <t>Kalama</t>
  </si>
  <si>
    <t>Salmon</t>
  </si>
  <si>
    <t>Gorge</t>
  </si>
  <si>
    <t>Lower Columbia</t>
  </si>
  <si>
    <t>PotentialTarget</t>
  </si>
  <si>
    <t>Numbers</t>
  </si>
  <si>
    <t>Rebuilding Expl. Rate</t>
  </si>
  <si>
    <r>
      <t>Optimum Yield</t>
    </r>
    <r>
      <rPr>
        <b/>
        <vertAlign val="superscript"/>
        <sz val="11"/>
        <color theme="1"/>
        <rFont val="Calibri"/>
        <family val="2"/>
        <scheme val="minor"/>
      </rPr>
      <t>b</t>
    </r>
  </si>
  <si>
    <r>
      <t>Max.Yield</t>
    </r>
    <r>
      <rPr>
        <b/>
        <vertAlign val="superscript"/>
        <sz val="11"/>
        <color theme="1"/>
        <rFont val="Calibri"/>
        <family val="2"/>
        <scheme val="minor"/>
      </rPr>
      <t>c</t>
    </r>
  </si>
  <si>
    <t>PSC</t>
  </si>
  <si>
    <t>PFMC</t>
  </si>
  <si>
    <t>USvOR</t>
  </si>
  <si>
    <r>
      <t>Stock-ESU totals</t>
    </r>
    <r>
      <rPr>
        <vertAlign val="superscript"/>
        <sz val="11"/>
        <color theme="1"/>
        <rFont val="Calibri"/>
        <family val="2"/>
        <scheme val="minor"/>
      </rPr>
      <t>a</t>
    </r>
  </si>
  <si>
    <t>Harvest (Natl.)</t>
  </si>
  <si>
    <t>Harvest (Hat.)</t>
  </si>
  <si>
    <t>Impact rate (Natl.)</t>
  </si>
  <si>
    <t>Impact rate (Hat.)</t>
  </si>
  <si>
    <t>Fishery</t>
  </si>
  <si>
    <t>Terminal tribal</t>
  </si>
  <si>
    <t>Terminal sport</t>
  </si>
  <si>
    <t>Zone 6 tribal</t>
  </si>
  <si>
    <t>UpR. sport</t>
  </si>
  <si>
    <t>LCR comm.</t>
  </si>
  <si>
    <t>LCR sport</t>
  </si>
  <si>
    <t>US Ocean</t>
  </si>
  <si>
    <t>AK/CA</t>
  </si>
  <si>
    <t>Return</t>
  </si>
  <si>
    <t>Broodstock</t>
  </si>
  <si>
    <t>Hatchery</t>
  </si>
  <si>
    <t>Releases</t>
  </si>
  <si>
    <t>Returns</t>
  </si>
  <si>
    <t>% from current to PFC</t>
  </si>
  <si>
    <t>Coastal Subtotal</t>
  </si>
  <si>
    <t>Cascade Subtotal</t>
  </si>
  <si>
    <t>Gorge Subtotal</t>
  </si>
  <si>
    <t>Grays R.</t>
  </si>
  <si>
    <t>Big Cr.</t>
  </si>
  <si>
    <t>Washougal</t>
  </si>
  <si>
    <t>L. Gorge</t>
  </si>
  <si>
    <t>Minimum Abundance Threshold</t>
  </si>
  <si>
    <t>Subbasin</t>
  </si>
  <si>
    <t>U. Gorge</t>
  </si>
  <si>
    <t>pNOB</t>
  </si>
  <si>
    <t>NOB</t>
  </si>
  <si>
    <t>Type</t>
  </si>
  <si>
    <t>Youngs Bay</t>
  </si>
  <si>
    <t>Clatskanie</t>
  </si>
  <si>
    <t>L. Cowlitz</t>
  </si>
  <si>
    <t>Coweeman</t>
  </si>
  <si>
    <t>SF Toutle</t>
  </si>
  <si>
    <t>NF Toutle</t>
  </si>
  <si>
    <t>U. Cowlitz</t>
  </si>
  <si>
    <t>Cispus</t>
  </si>
  <si>
    <t>Tilton</t>
  </si>
  <si>
    <t>NF Lewis</t>
  </si>
  <si>
    <t>EF Lewis</t>
  </si>
  <si>
    <t>Sandy</t>
  </si>
  <si>
    <t>Clackamas</t>
  </si>
  <si>
    <t>Hood</t>
  </si>
  <si>
    <t>UC</t>
  </si>
  <si>
    <t>Deep R.</t>
  </si>
  <si>
    <t>Integrated</t>
  </si>
  <si>
    <t>Segregated</t>
  </si>
  <si>
    <t>OR SAFE</t>
  </si>
  <si>
    <t>OR STEP</t>
  </si>
  <si>
    <t>Kalama(N)</t>
  </si>
  <si>
    <t>Bonnevile</t>
  </si>
  <si>
    <t>Cowlitz(Seg)</t>
  </si>
  <si>
    <t>Cowlitz(Int)</t>
  </si>
  <si>
    <t>Lewis(S)</t>
  </si>
  <si>
    <t>Lewis(N)</t>
  </si>
  <si>
    <t>NA</t>
  </si>
  <si>
    <t>57-80%</t>
  </si>
  <si>
    <t>54-72%</t>
  </si>
  <si>
    <t>&gt;90%</t>
  </si>
  <si>
    <t>2400-3773</t>
  </si>
  <si>
    <t>2400-5787</t>
  </si>
  <si>
    <t>1800-2979</t>
  </si>
  <si>
    <t>3700-15655</t>
  </si>
  <si>
    <t>1200-6225</t>
  </si>
  <si>
    <t>1900-8196</t>
  </si>
  <si>
    <t>1900-NA</t>
  </si>
  <si>
    <t>2000-23633</t>
  </si>
  <si>
    <t>2000-5351</t>
  </si>
  <si>
    <t>NA-3233</t>
  </si>
  <si>
    <t>500-1033</t>
  </si>
  <si>
    <t>500-20979</t>
  </si>
  <si>
    <t>2000-3306</t>
  </si>
  <si>
    <t>1500-3362</t>
  </si>
  <si>
    <t>50-280</t>
  </si>
  <si>
    <t>50-898</t>
  </si>
  <si>
    <t>2014</t>
  </si>
  <si>
    <t>&lt;10-30%</t>
  </si>
  <si>
    <t>1079-7190</t>
  </si>
  <si>
    <t>717-4783</t>
  </si>
  <si>
    <t>1215-8101</t>
  </si>
  <si>
    <t>1010-6735</t>
  </si>
  <si>
    <t>1120-7470</t>
  </si>
  <si>
    <t>4595-33026</t>
  </si>
  <si>
    <t>569-3794</t>
  </si>
  <si>
    <t>0-4621</t>
  </si>
  <si>
    <t>9701-32489</t>
  </si>
  <si>
    <t>44787-79568</t>
  </si>
  <si>
    <t>195-922</t>
  </si>
  <si>
    <t>1182-5614</t>
  </si>
  <si>
    <t>55670-117671</t>
  </si>
  <si>
    <t>6304-7151</t>
  </si>
  <si>
    <t>47844-48691</t>
  </si>
  <si>
    <t>1000-1200</t>
  </si>
  <si>
    <t>3000-3600</t>
  </si>
  <si>
    <t>2000-2400</t>
  </si>
  <si>
    <t>Term</t>
  </si>
  <si>
    <t>Alternate</t>
  </si>
  <si>
    <t>Abbrev.</t>
  </si>
  <si>
    <t>Source</t>
  </si>
  <si>
    <t>Definition</t>
  </si>
  <si>
    <t>Natural Spawners</t>
  </si>
  <si>
    <t xml:space="preserve">Natural Origin Spawner Abundance </t>
  </si>
  <si>
    <t>NOSA</t>
  </si>
  <si>
    <t>Total Spawner</t>
  </si>
  <si>
    <t>fields/data added by LCFRB highlighted in yellow, copied definitions from Dan Rawding in red italics.</t>
  </si>
  <si>
    <t>Abundance</t>
  </si>
  <si>
    <t>Lower Columbia River Salmon and Steelhead ESA Recovery Plan, NMFS (2013)</t>
  </si>
  <si>
    <r>
      <t>a</t>
    </r>
    <r>
      <rPr>
        <i/>
        <sz val="11"/>
        <color rgb="FFFF0000"/>
        <rFont val="Calibri"/>
        <family val="2"/>
        <scheme val="minor"/>
      </rPr>
      <t xml:space="preserve"> Abundance goals may include corresponding goals for productivity, spatial structure, and diversity (NMFS 2013).</t>
    </r>
  </si>
  <si>
    <t>Habitat capacity</t>
  </si>
  <si>
    <t>Washington Lower Columbia Salmon Recovery and Fish &amp; Wildlife Subbasin Plan, LCFRB (2010); need OR reference</t>
  </si>
  <si>
    <r>
      <t>b</t>
    </r>
    <r>
      <rPr>
        <sz val="11"/>
        <rFont val="Calibri"/>
        <family val="2"/>
        <scheme val="minor"/>
      </rPr>
      <t xml:space="preserve"> Habitat capacity (current) is based on the EDT model (2007), and incorporated into the recovery plan (LCFRB 2010) need OR referenceO</t>
    </r>
  </si>
  <si>
    <t>Properly Functioning Conditions</t>
  </si>
  <si>
    <t>PFC</t>
  </si>
  <si>
    <t>Washington Lower Columbia Salmon Recovery and Fish &amp; Wildlife Subbasin Plan, LCFRB (2004)</t>
  </si>
  <si>
    <r>
      <t>c</t>
    </r>
    <r>
      <rPr>
        <i/>
        <sz val="11"/>
        <color rgb="FFFF0000"/>
        <rFont val="Calibri"/>
        <family val="2"/>
        <scheme val="minor"/>
      </rPr>
      <t xml:space="preserve"> Potential is based on NOAA properly functioning conditions (PFC) for habitat using the EDT model (LCFRB 2004)</t>
    </r>
  </si>
  <si>
    <t>Historical Abundance</t>
  </si>
  <si>
    <t>Lower Columbia River Salmon and Steelhead ESA Recovery Plan, NMFS (2013), Table 8-2</t>
  </si>
  <si>
    <r>
      <t>d</t>
    </r>
    <r>
      <rPr>
        <i/>
        <sz val="11"/>
        <color rgb="FFFF0000"/>
        <rFont val="Calibri"/>
        <family val="2"/>
        <scheme val="minor"/>
      </rPr>
      <t xml:space="preserve"> Historical abundance </t>
    </r>
    <r>
      <rPr>
        <sz val="8"/>
        <color rgb="FFFF0000"/>
        <rFont val="Calibri"/>
        <family val="2"/>
        <scheme val="minor"/>
      </rPr>
      <t> </t>
    </r>
    <r>
      <rPr>
        <i/>
        <sz val="11"/>
        <color rgb="FFFF0000"/>
        <rFont val="Calibri"/>
        <family val="2"/>
        <scheme val="minor"/>
      </rPr>
      <t>is based on pristine habitat for the EDT model (LCFRB 2010 and NMFS 2013) &amp; OR reference</t>
    </r>
  </si>
  <si>
    <t>Current Abundance</t>
  </si>
  <si>
    <r>
      <t>f</t>
    </r>
    <r>
      <rPr>
        <i/>
        <sz val="11"/>
        <color rgb="FFFF0000"/>
        <rFont val="Calibri"/>
        <family val="2"/>
        <scheme val="minor"/>
      </rPr>
      <t xml:space="preserve"> Abundance from OR 10 yr geomean from 2007-2016 and WA abundance based on 5yr geomean since monitoring was initiated in 2010.</t>
    </r>
  </si>
  <si>
    <t>MAT</t>
  </si>
  <si>
    <r>
      <t>h</t>
    </r>
    <r>
      <rPr>
        <i/>
        <sz val="11"/>
        <color rgb="FFFF0000"/>
        <rFont val="Calibri"/>
        <family val="2"/>
        <scheme val="minor"/>
      </rPr>
      <t xml:space="preserve"> MAT for OR from NMFS et al. 2007, specific MAT not developed WA populations.  WDFW applied MAT rules from NMFS (2007; Table 4) to estimate MAT</t>
    </r>
  </si>
  <si>
    <r>
      <t xml:space="preserve">I </t>
    </r>
    <r>
      <rPr>
        <i/>
        <sz val="11"/>
        <color rgb="FFFF0000"/>
        <rFont val="Calibri"/>
        <family val="2"/>
        <scheme val="minor"/>
      </rPr>
      <t>ESA is delisting goal from NMFS (2013)</t>
    </r>
  </si>
  <si>
    <t>ESA delisting goals</t>
  </si>
  <si>
    <t>ESA delisting goals from Lower Columbia River Salmon and Steelhead ESA Recovery Plan, NMFS (2013), Table 8-2, but match WA and OR recovery plans (2010); PFC from Washington Lower Columbia Salmon Recovery and Fish &amp; Wildlife Subbasin Plan, LCFRB (2004).</t>
  </si>
  <si>
    <t>Range of adult abundance from ESA delisting goal (low end of range) to PFC abundance estimates (high end of range).  PFC represents a potential expectation, not a goal.</t>
  </si>
  <si>
    <t>Lower Columbia River Salmon and Steelhead ESA Recovery Plan, NMFS (2013), Table 8-2; match WA and OR recovery plans (2010)</t>
  </si>
  <si>
    <t>Proportionate Natural Influence</t>
  </si>
  <si>
    <t>PNI</t>
  </si>
  <si>
    <t>HSRG (2014) via Lower Columbia Conservation and Sustainable Fisheries Plan, WDFW and LCFRB (2016)</t>
  </si>
  <si>
    <t>Proportion of effective Hatchery Origin Spawners</t>
  </si>
  <si>
    <t xml:space="preserve">pHOS </t>
  </si>
  <si>
    <t>HSRG (2009) Lower Columbia Conservation and Sustainable Fisheries Plan, WDFW and LCFRB (2016)</t>
  </si>
  <si>
    <t>Proportion of Natural Origin Spawners</t>
  </si>
  <si>
    <t xml:space="preserve">pNOB </t>
  </si>
  <si>
    <t>Lower Columbia Conservation and Sustainable Fisheries Plan, WDFW and LCFRB (2016)</t>
  </si>
  <si>
    <t>Proportion of hatchery brood stock composed of natural origin fish (HSRG, 2009a).</t>
  </si>
  <si>
    <t>Table 4 harvest rates</t>
  </si>
  <si>
    <t xml:space="preserve">Harvest rates for hatchery and natural origin WA fish at the population-scale are included in the Lower Columbia Conservation and Sustainable Fisheries Plan (WDFW and LCFRB 2016).  These are considered to be the maximum harvest rate that populations can sustain and still meet minimum viability targets. </t>
  </si>
  <si>
    <t>Population Designation</t>
  </si>
  <si>
    <t>Stabilizing</t>
  </si>
  <si>
    <t>Very Low</t>
  </si>
  <si>
    <t>Primary</t>
  </si>
  <si>
    <t>High</t>
  </si>
  <si>
    <t>Contributing</t>
  </si>
  <si>
    <t>Medium</t>
  </si>
  <si>
    <t>Very High</t>
  </si>
  <si>
    <t>N/A</t>
  </si>
  <si>
    <t>Low</t>
  </si>
  <si>
    <t>Medium+</t>
  </si>
  <si>
    <t>High+</t>
  </si>
  <si>
    <t>&gt;0.67</t>
  </si>
  <si>
    <t>&lt;.05</t>
  </si>
  <si>
    <t>&lt;.30</t>
  </si>
  <si>
    <t>&lt;0.05</t>
  </si>
  <si>
    <t>&lt;0.30</t>
  </si>
  <si>
    <t>&gt;0.05</t>
  </si>
  <si>
    <t>&lt;.10</t>
  </si>
  <si>
    <t>&gt;0.50</t>
  </si>
  <si>
    <t>Proportion of natural origin spawners made up of hatchery origin fish (HSRG, 2009a); used for evaluating both integrated and segregated populations (CSFP 2016); when segregated and integrated hatchery programs exist in the same subbasin, total pHOS for combined should not to exceed 30% (CSFP 2016)</t>
  </si>
  <si>
    <t>&gt;0.67 PNI</t>
  </si>
  <si>
    <t>Proportionate Natural Influence. A metric that can be interpreted as a measure of how well the population is adapting to the natural environment (HSRG, 2014); only used for evaluating integrated hatchery programs (CSFP 2016)</t>
  </si>
  <si>
    <t>Coho</t>
  </si>
  <si>
    <t>ESA: Threatened</t>
  </si>
  <si>
    <t>Natural Production</t>
  </si>
  <si>
    <t>Potential Goal Range</t>
  </si>
  <si>
    <t>MPG</t>
  </si>
  <si>
    <t>Population</t>
  </si>
  <si>
    <t>Med</t>
  </si>
  <si>
    <t>Location (Program)</t>
  </si>
  <si>
    <t>Brood</t>
  </si>
  <si>
    <t>Fisheries / Harvest</t>
  </si>
  <si>
    <t>Goals</t>
  </si>
  <si>
    <t>Location</t>
  </si>
  <si>
    <t>Wild/Natural</t>
  </si>
  <si>
    <t>Ocean (AK/Can)</t>
  </si>
  <si>
    <t>--</t>
  </si>
  <si>
    <t>Ocean (US)</t>
  </si>
  <si>
    <t>Potential</t>
  </si>
  <si>
    <t>Baseline</t>
  </si>
  <si>
    <r>
      <t xml:space="preserve">	Population productivity, abundance, and diversity (of both smolts and adults) based on EDT analysis of current (P or patient) and historical (T or template)</t>
    </r>
    <r>
      <rPr>
        <vertAlign val="superscript"/>
        <sz val="12"/>
        <color theme="1"/>
        <rFont val="Times New Roman"/>
        <family val="1"/>
      </rPr>
      <t>1</t>
    </r>
    <r>
      <rPr>
        <sz val="12"/>
        <color theme="1"/>
        <rFont val="Times New Roman"/>
        <family val="1"/>
      </rPr>
      <t xml:space="preserve"> habitat conditions.</t>
    </r>
  </si>
  <si>
    <r>
      <t>1</t>
    </r>
    <r>
      <rPr>
        <sz val="8"/>
        <color theme="1"/>
        <rFont val="Calibri"/>
        <family val="2"/>
        <scheme val="minor"/>
      </rPr>
      <t xml:space="preserve"> Estimate represents historical conditions in the subbasin and current conditions in the mainstem and estuary.</t>
    </r>
  </si>
  <si>
    <t>2010 Recovery Plan</t>
  </si>
  <si>
    <t>2004 draft Recovery Plan</t>
  </si>
  <si>
    <t> </t>
  </si>
  <si>
    <t>Adult Abundance</t>
  </si>
  <si>
    <t>Adult Productivity</t>
  </si>
  <si>
    <t>Diversity Index</t>
  </si>
  <si>
    <t>Smolt Abundance</t>
  </si>
  <si>
    <t>Smolt Productivity</t>
  </si>
  <si>
    <t>Species</t>
  </si>
  <si>
    <t>P</t>
  </si>
  <si>
    <t>T</t>
  </si>
  <si>
    <t>Fall Chinook</t>
  </si>
  <si>
    <t>Chum</t>
  </si>
  <si>
    <t>Winter Steelhead</t>
  </si>
  <si>
    <t>Skamokawa</t>
  </si>
  <si>
    <t>Abernathy</t>
  </si>
  <si>
    <t>Germany</t>
  </si>
  <si>
    <t>Cowlitz upper</t>
  </si>
  <si>
    <t>Spring Chinook</t>
  </si>
  <si>
    <t>Cowlitz lower</t>
  </si>
  <si>
    <t>Toutle</t>
  </si>
  <si>
    <t>-</t>
  </si>
  <si>
    <t>Summer Steelhead</t>
  </si>
  <si>
    <t>Lewis NF (lower)</t>
  </si>
  <si>
    <t>Lewis NF (upper)</t>
  </si>
  <si>
    <t>Lewis EF</t>
  </si>
  <si>
    <t>Salmon Cr</t>
  </si>
  <si>
    <t>L Gorge tribs</t>
  </si>
  <si>
    <t>Wind</t>
  </si>
  <si>
    <t>Delisting</t>
  </si>
  <si>
    <t>Viability</t>
  </si>
  <si>
    <t>Scappoose</t>
  </si>
  <si>
    <t>U Cowlitz</t>
  </si>
  <si>
    <t>Historical (rec pln)</t>
  </si>
  <si>
    <t>Historical (2010 EDT)</t>
  </si>
  <si>
    <t>Historical (2004 EDT)</t>
  </si>
  <si>
    <t>"</t>
  </si>
  <si>
    <t>Columbia River Coho</t>
  </si>
  <si>
    <t>MAT (ICTRT)</t>
  </si>
  <si>
    <t>sorted</t>
  </si>
  <si>
    <t>very large</t>
  </si>
  <si>
    <t>intermediate</t>
  </si>
  <si>
    <t>large</t>
  </si>
  <si>
    <t>MAG</t>
  </si>
  <si>
    <t>Eloch/Skam</t>
  </si>
  <si>
    <t>Lewis NF</t>
  </si>
  <si>
    <t>NPPC database</t>
  </si>
  <si>
    <t>CPB Options</t>
  </si>
  <si>
    <t>Recent</t>
  </si>
  <si>
    <t>Mill/Aber/Germ</t>
  </si>
  <si>
    <t>Youngs</t>
  </si>
  <si>
    <t>Big</t>
  </si>
  <si>
    <t>???</t>
  </si>
  <si>
    <t>vs MAT</t>
  </si>
  <si>
    <t>McElhany et al.</t>
  </si>
  <si>
    <t>Life History: Early &amp; Late Fall types, Stream-rearing</t>
  </si>
  <si>
    <t>Small</t>
  </si>
  <si>
    <t>Large</t>
  </si>
  <si>
    <t>Historical pop size</t>
  </si>
  <si>
    <t>MAT (LCR TRT)</t>
  </si>
  <si>
    <t>Upriver</t>
  </si>
  <si>
    <t>Klickitat</t>
  </si>
  <si>
    <t>Umatilla</t>
  </si>
  <si>
    <t>Yakima</t>
  </si>
  <si>
    <t>Wenatchee</t>
  </si>
  <si>
    <t>Entiat</t>
  </si>
  <si>
    <t>Methow</t>
  </si>
  <si>
    <t>Okanogan</t>
  </si>
  <si>
    <t>Abv. Coulee</t>
  </si>
  <si>
    <t>Grande Ronde</t>
  </si>
  <si>
    <t>Walla Walla</t>
  </si>
  <si>
    <t>Clearwater</t>
  </si>
  <si>
    <t>962-1900</t>
  </si>
  <si>
    <t>150-600</t>
  </si>
  <si>
    <t>600-4530</t>
  </si>
  <si>
    <t>CR min</t>
  </si>
  <si>
    <t>Grays R</t>
  </si>
  <si>
    <t>Deep R</t>
  </si>
  <si>
    <t>OR Select Areas</t>
  </si>
  <si>
    <t>Big Cr</t>
  </si>
  <si>
    <t>Cowlitz (Integrated)</t>
  </si>
  <si>
    <t>Cowlitz (Segregated)</t>
  </si>
  <si>
    <t>Lews (N/Late)</t>
  </si>
  <si>
    <t>Lewis (S/Early)</t>
  </si>
  <si>
    <t>Bonneville</t>
  </si>
  <si>
    <t>Quantitative mitigation reference values (including hatcheries) for (prototype) stock of Columbia R. Salmon and Steelhead.</t>
  </si>
  <si>
    <r>
      <rPr>
        <sz val="11"/>
        <rFont val="Calibri"/>
        <family val="2"/>
        <scheme val="minor"/>
      </rPr>
      <t>Klickitat</t>
    </r>
  </si>
  <si>
    <r>
      <rPr>
        <sz val="11"/>
        <rFont val="Calibri"/>
        <family val="2"/>
        <scheme val="minor"/>
      </rPr>
      <t>Segregated</t>
    </r>
  </si>
  <si>
    <r>
      <rPr>
        <sz val="11"/>
        <rFont val="Calibri"/>
        <family val="2"/>
        <scheme val="minor"/>
      </rPr>
      <t>Umatilla</t>
    </r>
  </si>
  <si>
    <r>
      <rPr>
        <sz val="11"/>
        <rFont val="Calibri"/>
        <family val="2"/>
        <scheme val="minor"/>
      </rPr>
      <t>6000</t>
    </r>
    <r>
      <rPr>
        <vertAlign val="superscript"/>
        <sz val="11"/>
        <rFont val="Calibri"/>
        <family val="2"/>
        <scheme val="minor"/>
      </rPr>
      <t>c</t>
    </r>
  </si>
  <si>
    <r>
      <rPr>
        <sz val="11"/>
        <rFont val="Calibri"/>
        <family val="2"/>
        <scheme val="minor"/>
      </rPr>
      <t>Clearwater</t>
    </r>
  </si>
  <si>
    <r>
      <rPr>
        <sz val="11"/>
        <rFont val="Calibri"/>
        <family val="2"/>
        <scheme val="minor"/>
      </rPr>
      <t>Reintroduction</t>
    </r>
  </si>
  <si>
    <r>
      <rPr>
        <sz val="11"/>
        <rFont val="Calibri"/>
        <family val="2"/>
        <scheme val="minor"/>
      </rPr>
      <t>Yakima</t>
    </r>
  </si>
  <si>
    <r>
      <rPr>
        <sz val="11"/>
        <rFont val="Calibri"/>
        <family val="2"/>
        <scheme val="minor"/>
      </rPr>
      <t>Wenatchee</t>
    </r>
    <r>
      <rPr>
        <vertAlign val="superscript"/>
        <sz val="11"/>
        <rFont val="Calibri"/>
        <family val="2"/>
        <scheme val="minor"/>
      </rPr>
      <t>d</t>
    </r>
  </si>
  <si>
    <r>
      <rPr>
        <sz val="11"/>
        <rFont val="Calibri"/>
        <family val="2"/>
        <scheme val="minor"/>
      </rPr>
      <t>Methow</t>
    </r>
    <r>
      <rPr>
        <vertAlign val="superscript"/>
        <sz val="11"/>
        <rFont val="Calibri"/>
        <family val="2"/>
        <scheme val="minor"/>
      </rPr>
      <t>d</t>
    </r>
  </si>
  <si>
    <t>Source: ODFW/WDFW joint staff reports</t>
  </si>
  <si>
    <r>
      <rPr>
        <sz val="11"/>
        <rFont val="Calibri"/>
        <family val="2"/>
        <scheme val="minor"/>
      </rPr>
      <t>Broodstock</t>
    </r>
  </si>
  <si>
    <r>
      <rPr>
        <sz val="11"/>
        <rFont val="Calibri"/>
        <family val="2"/>
        <scheme val="minor"/>
      </rPr>
      <t>Returns</t>
    </r>
  </si>
  <si>
    <t>&lt;10-40%</t>
  </si>
  <si>
    <t>&lt;10-50%</t>
  </si>
  <si>
    <t>Comm</t>
  </si>
  <si>
    <t>1-5</t>
  </si>
  <si>
    <t>Safe</t>
  </si>
  <si>
    <t>Sport</t>
  </si>
  <si>
    <t>Est</t>
  </si>
  <si>
    <t>MS</t>
  </si>
  <si>
    <t>Trib</t>
  </si>
  <si>
    <t>Adult coho returns to the CR</t>
  </si>
  <si>
    <t>Hatch</t>
  </si>
  <si>
    <t>rtn</t>
  </si>
  <si>
    <t>Natl</t>
  </si>
  <si>
    <t>esc</t>
  </si>
  <si>
    <t>dams</t>
  </si>
  <si>
    <t>BV</t>
  </si>
  <si>
    <t>dam</t>
  </si>
  <si>
    <t>min</t>
  </si>
  <si>
    <t>run</t>
  </si>
  <si>
    <t>AK/CAN</t>
  </si>
  <si>
    <t xml:space="preserve">LCR comm. </t>
  </si>
  <si>
    <t>Zn 6</t>
  </si>
  <si>
    <t>harv</t>
  </si>
  <si>
    <t>er v BV</t>
  </si>
  <si>
    <t>Ocn ER</t>
  </si>
  <si>
    <t>v OPI abund</t>
  </si>
  <si>
    <t>CR ocn</t>
  </si>
  <si>
    <t>abund</t>
  </si>
  <si>
    <t>ocn</t>
  </si>
  <si>
    <t>LCR comm. Terminal</t>
  </si>
  <si>
    <t>Upriver sport</t>
  </si>
  <si>
    <t>Tributary sport</t>
  </si>
  <si>
    <t>LCR</t>
  </si>
  <si>
    <t>MCR</t>
  </si>
  <si>
    <t>UCR</t>
  </si>
  <si>
    <t>Snake</t>
  </si>
  <si>
    <t>John Day</t>
  </si>
  <si>
    <t>Hatchery Production</t>
  </si>
  <si>
    <t>Current Production</t>
  </si>
  <si>
    <t>Yearlings</t>
  </si>
  <si>
    <t>Exploitation rate</t>
  </si>
  <si>
    <t>Harvest</t>
  </si>
  <si>
    <t>L Col R</t>
  </si>
  <si>
    <t>% hatchery</t>
  </si>
  <si>
    <t>@ Columbia R Mouth</t>
  </si>
  <si>
    <t>@ Goals</t>
  </si>
  <si>
    <t>Total Return</t>
  </si>
  <si>
    <t>10-yr avg</t>
  </si>
  <si>
    <t>old matrix</t>
  </si>
  <si>
    <t>treaty all</t>
  </si>
  <si>
    <t>ER v</t>
  </si>
  <si>
    <t>CR</t>
  </si>
  <si>
    <t>Lower Columbia River Coho</t>
  </si>
  <si>
    <t>Other</t>
  </si>
  <si>
    <t>Willamette*</t>
  </si>
  <si>
    <t>* Not part of Listed ESU</t>
  </si>
  <si>
    <t>BV count</t>
  </si>
  <si>
    <t>&lt;BV</t>
  </si>
  <si>
    <t>total</t>
  </si>
  <si>
    <t>goal</t>
  </si>
  <si>
    <t>Subtotal</t>
  </si>
  <si>
    <t>recent</t>
  </si>
  <si>
    <t>L Col stock</t>
  </si>
  <si>
    <t>Willamette Falls Counts</t>
  </si>
  <si>
    <t>YEAR</t>
  </si>
  <si>
    <t>ADULTS</t>
  </si>
  <si>
    <t>JACKS</t>
  </si>
  <si>
    <t>TOTAL</t>
  </si>
  <si>
    <r>
      <t xml:space="preserve">1998 </t>
    </r>
    <r>
      <rPr>
        <b/>
        <i/>
        <sz val="10"/>
        <color indexed="8"/>
        <rFont val="Arial"/>
        <family val="1"/>
        <charset val="204"/>
      </rPr>
      <t>1</t>
    </r>
  </si>
  <si>
    <r>
      <t xml:space="preserve">1999 </t>
    </r>
    <r>
      <rPr>
        <b/>
        <i/>
        <sz val="10"/>
        <color indexed="8"/>
        <rFont val="Arial"/>
        <family val="1"/>
        <charset val="204"/>
      </rPr>
      <t>1</t>
    </r>
  </si>
  <si>
    <t>Limits</t>
  </si>
  <si>
    <t>High goal</t>
  </si>
  <si>
    <t>Low goal</t>
  </si>
  <si>
    <t>Med goal</t>
  </si>
  <si>
    <t>Natural</t>
  </si>
  <si>
    <t>Year</t>
  </si>
  <si>
    <t>Data from OPI files provided by Cindy LeFleur ---------&gt;</t>
  </si>
  <si>
    <t xml:space="preserve">Table 4. </t>
  </si>
  <si>
    <t>Total ocean and freshwater run size of Columbia River early and late stock adult coho (in thousands of fish).</t>
  </si>
  <si>
    <t>Coastal</t>
  </si>
  <si>
    <t xml:space="preserve"> Ocean</t>
  </si>
  <si>
    <t xml:space="preserve"> </t>
  </si>
  <si>
    <t>Columbia R. Ocean Abundance</t>
  </si>
  <si>
    <t xml:space="preserve"> Harvest</t>
  </si>
  <si>
    <t>Ocean Abundance</t>
  </si>
  <si>
    <t xml:space="preserve">   Year  </t>
  </si>
  <si>
    <t>Early</t>
  </si>
  <si>
    <t>Late</t>
  </si>
  <si>
    <t xml:space="preserve">  Rate</t>
  </si>
  <si>
    <t xml:space="preserve">  Early</t>
  </si>
  <si>
    <t xml:space="preserve">   Late</t>
  </si>
  <si>
    <t xml:space="preserve">Combined </t>
  </si>
  <si>
    <t>Escapement</t>
  </si>
  <si>
    <t>Comm HR</t>
  </si>
  <si>
    <t xml:space="preserve">Table 4j.  Columbia River Estimated Natual Escapement of Adult WILD Early and Late Coho Stocksa/ </t>
  </si>
  <si>
    <t xml:space="preserve">       Washington</t>
  </si>
  <si>
    <t>Oregon</t>
  </si>
  <si>
    <t>Total Wild Escapement</t>
  </si>
  <si>
    <t xml:space="preserve">  Early </t>
  </si>
  <si>
    <t xml:space="preserve">  Early b/</t>
  </si>
  <si>
    <t>Late c/</t>
  </si>
  <si>
    <t xml:space="preserve">Early </t>
  </si>
  <si>
    <t>OPI Files: Page HR - Harvest rate calculations for early, late and combined Columbia River stocks</t>
  </si>
  <si>
    <t xml:space="preserve">All </t>
  </si>
  <si>
    <t>Runsize</t>
  </si>
  <si>
    <t>Sport HR</t>
  </si>
  <si>
    <t>Total HR</t>
  </si>
  <si>
    <t>5 yr ave</t>
  </si>
  <si>
    <t>ESCAPEMENT</t>
  </si>
  <si>
    <t>HARVEST (Below BON only)</t>
  </si>
  <si>
    <t>COLUMBIA RIVER RETURN</t>
  </si>
  <si>
    <t>Wild</t>
  </si>
  <si>
    <t>GRAND</t>
  </si>
  <si>
    <t>YB</t>
  </si>
  <si>
    <t>late</t>
  </si>
  <si>
    <t>COLUMBIA RIVER ADULT COHO</t>
  </si>
  <si>
    <t>Columbia R. Returns</t>
  </si>
  <si>
    <t xml:space="preserve">       Hatchery Component</t>
  </si>
  <si>
    <t>OPIH</t>
  </si>
  <si>
    <t>OCN</t>
  </si>
  <si>
    <t>Ocean</t>
  </si>
  <si>
    <t>(- Pvt</t>
  </si>
  <si>
    <t>Impacts</t>
  </si>
  <si>
    <t>Escap</t>
  </si>
  <si>
    <t>hatchery)</t>
  </si>
  <si>
    <t>Exploit</t>
  </si>
  <si>
    <t>Rate</t>
  </si>
  <si>
    <t>m/</t>
  </si>
  <si>
    <t>OPI Files: Page T5 - Columbia River escapement, harvest and run size data</t>
  </si>
  <si>
    <t>OPI Files: Page T6d - ocean harvest data and harvest rate calculations</t>
  </si>
  <si>
    <t>Data from OPI files provided by Cindy LeFleur</t>
  </si>
  <si>
    <t>&lt;------------</t>
  </si>
  <si>
    <t>Exploitation rate:</t>
  </si>
  <si>
    <t>ocean catch vs ocean abundance</t>
  </si>
  <si>
    <t>Columbia River catch vs Columbia River abundance</t>
  </si>
  <si>
    <t>Ocean Exploitation Rate</t>
  </si>
  <si>
    <t>Ocean Harvest</t>
  </si>
  <si>
    <t>Table 34 JSR</t>
  </si>
  <si>
    <t>Ocean Abundance - CR Return</t>
  </si>
  <si>
    <t>CR Return/1-Ocean ER</t>
  </si>
  <si>
    <t>Inriver Exploitation Rate</t>
  </si>
  <si>
    <t>Ocean Abundance * Inriver Harvest Rate</t>
  </si>
  <si>
    <t>Col R Return</t>
  </si>
  <si>
    <t>Col R Harvest</t>
  </si>
  <si>
    <t>Col R Harvest Rate</t>
  </si>
  <si>
    <t>Col R Harvest/Col R Return</t>
  </si>
  <si>
    <t>Summary of Columns Above</t>
  </si>
  <si>
    <t>See Table 1 Above</t>
  </si>
  <si>
    <t>Table 1. Ocean Harvest and ER Calculations</t>
  </si>
  <si>
    <t>Table 2. Columbia River Wild Harvest and HR Calculations</t>
  </si>
  <si>
    <t>Sum of Col R Comm and Sport Catch</t>
  </si>
  <si>
    <t>Col R Total Harvest</t>
  </si>
  <si>
    <t>Col R Wild Harvest</t>
  </si>
  <si>
    <t>See Table 2 Above</t>
  </si>
  <si>
    <t>Col R Hatchery Harvest</t>
  </si>
  <si>
    <t>Col R Total Harvest - Col Wild Harvest</t>
  </si>
  <si>
    <t>Col R Hatchery Harvest/Col R Return</t>
  </si>
  <si>
    <t>Table 3. Columbia River Hatchery Harvest and HR Calculations</t>
  </si>
  <si>
    <t>Col R</t>
  </si>
  <si>
    <t>Column EW</t>
  </si>
  <si>
    <t>E.R.</t>
  </si>
  <si>
    <t>Abund</t>
  </si>
  <si>
    <t>Inriver</t>
  </si>
  <si>
    <t>H.R.</t>
  </si>
  <si>
    <t>Calculations for Fishery/Harvest Exploitation Rates and Harvest for Wild/Natural Fish (see above for methodology using 2017 data: Tables 1&amp;2 for wild/natural and Tables 1&amp;3 for hatchery)</t>
  </si>
  <si>
    <t>Col R  Tot</t>
  </si>
  <si>
    <t>Col R Hat</t>
  </si>
  <si>
    <t>Wid/Natural</t>
  </si>
  <si>
    <t>Average</t>
  </si>
  <si>
    <t>2014 BY</t>
  </si>
  <si>
    <t>Stock</t>
  </si>
  <si>
    <t>Hatchery/Release site</t>
  </si>
  <si>
    <t>LATE ("N") COHO</t>
  </si>
  <si>
    <t>Below Bonneville Dam</t>
  </si>
  <si>
    <t>"N"</t>
  </si>
  <si>
    <t>Grays River</t>
  </si>
  <si>
    <t>Cowlitz River</t>
  </si>
  <si>
    <t>Kalama River</t>
  </si>
  <si>
    <t>Lewis River</t>
  </si>
  <si>
    <t>Washougal River</t>
  </si>
  <si>
    <t>WA Below BON</t>
  </si>
  <si>
    <t>Above Bonneville Dam</t>
  </si>
  <si>
    <t>Klickitat/Klickitat R</t>
  </si>
  <si>
    <t>Washougal/Klickitat R</t>
  </si>
  <si>
    <t>WA Above BON</t>
  </si>
  <si>
    <t>"N" Columbia River Total</t>
  </si>
  <si>
    <t>EARLY ("S") COHO</t>
  </si>
  <si>
    <t>"S"</t>
  </si>
  <si>
    <t>Eagle Creek</t>
  </si>
  <si>
    <t>Fed. Below BON</t>
  </si>
  <si>
    <t>Toutle River</t>
  </si>
  <si>
    <t>Deep River</t>
  </si>
  <si>
    <t>WA Below BON (SAFE)</t>
  </si>
  <si>
    <t>Big Creek</t>
  </si>
  <si>
    <t>OR Below BON</t>
  </si>
  <si>
    <t>Klaskanine , N. FK.</t>
  </si>
  <si>
    <t>Klaskanine, S. FK</t>
  </si>
  <si>
    <t>Youngs R.(Y.Bay Net Pen)</t>
  </si>
  <si>
    <t xml:space="preserve">CEDC/Blind Slough </t>
  </si>
  <si>
    <t xml:space="preserve">CEDC/Tongue Pt. </t>
  </si>
  <si>
    <t>OR Below BON (SAFE)</t>
  </si>
  <si>
    <t>Released</t>
  </si>
  <si>
    <t>Table 3 b.  Yearling releases of Mass Marked Columbia River Hatchery Coho, in 2017.</t>
  </si>
  <si>
    <t>2015 BY</t>
  </si>
  <si>
    <t>2017 releases</t>
  </si>
  <si>
    <t>2016 releases</t>
  </si>
  <si>
    <t>2015-2016</t>
  </si>
  <si>
    <t>by 2022</t>
  </si>
  <si>
    <t>Clackamas (Eagle Creek)</t>
  </si>
  <si>
    <t>Spp-Pop</t>
  </si>
  <si>
    <t>Strata</t>
  </si>
  <si>
    <t>Designation</t>
  </si>
  <si>
    <t>NOR_MinViabilityGoal</t>
  </si>
  <si>
    <t>NOR_Abu</t>
  </si>
  <si>
    <t>HOR_Abu</t>
  </si>
  <si>
    <t>coho</t>
  </si>
  <si>
    <t>Grays/Chinook</t>
  </si>
  <si>
    <t>L Cowlitz</t>
  </si>
  <si>
    <t>U Cowlitz + Cispus</t>
  </si>
  <si>
    <t>Data complied from WDFW monitoring database (SCORE) and provided by Amelia Johnson with the LCFRB</t>
  </si>
  <si>
    <t>GEOMEAN</t>
  </si>
  <si>
    <t>Ocean and L Col R harvest estimates include catch of coho destined for upstream of The Dalles Dam</t>
  </si>
  <si>
    <t>CSFP</t>
  </si>
  <si>
    <t>Previous</t>
  </si>
  <si>
    <t>Version</t>
  </si>
  <si>
    <t>300k-600k</t>
  </si>
  <si>
    <t>Anticipated</t>
  </si>
  <si>
    <t>production</t>
  </si>
  <si>
    <t>Delisting Goal (CBP Low)</t>
  </si>
  <si>
    <t>Broad Sense Goal (CBP High)</t>
  </si>
  <si>
    <t>Ore</t>
  </si>
  <si>
    <t>Was</t>
  </si>
  <si>
    <t>Lower Gorge</t>
  </si>
  <si>
    <t>Upper Gorge/Hood</t>
  </si>
  <si>
    <t>Record type</t>
  </si>
  <si>
    <t>Fishery (wild/natural)</t>
  </si>
  <si>
    <t>Fishery (hatchery)</t>
  </si>
  <si>
    <t>Subject</t>
  </si>
  <si>
    <t>Variable</t>
  </si>
  <si>
    <t>Value</t>
  </si>
  <si>
    <t>Metric</t>
  </si>
  <si>
    <t># smolts</t>
  </si>
  <si>
    <t>v ocean abundance</t>
  </si>
  <si>
    <t>Method</t>
  </si>
  <si>
    <t>dam count</t>
  </si>
  <si>
    <t>Years</t>
  </si>
  <si>
    <t>2007-2016</t>
  </si>
  <si>
    <t>not applicable</t>
  </si>
  <si>
    <t>Quantitative Goal Rules</t>
  </si>
  <si>
    <t>no rules apply</t>
  </si>
  <si>
    <t>1 - delisting abundance goal (desired status)</t>
  </si>
  <si>
    <t>1 - juvenile production levels of existing programs</t>
  </si>
  <si>
    <t>3 - juvenile production identified in existing plan</t>
  </si>
  <si>
    <t>1 - juvenile production continues at current levels</t>
  </si>
  <si>
    <t>Reference</t>
  </si>
  <si>
    <t>Reference Link</t>
  </si>
  <si>
    <t>http://www.odfwrecoverytracker.org</t>
  </si>
  <si>
    <t>https://www.dfw.state.or.us/fish/crp/conservation_recovery_plans.asp</t>
  </si>
  <si>
    <t>https://www.dfw.state.or.us/fish/fish_counts/willamette%20falls.asp</t>
  </si>
  <si>
    <t>Notes</t>
  </si>
  <si>
    <t>2010-2016</t>
  </si>
  <si>
    <t>Lower Cowlitz</t>
  </si>
  <si>
    <t>Census count of fish captured at the Cowlitz Barrier Dam and trucked upstream for release into the Tilton Basin.</t>
  </si>
  <si>
    <t>ODFW Recovery Tracker Database</t>
  </si>
  <si>
    <t>Willamette Falls count</t>
  </si>
  <si>
    <t>Willamette Falls Fish Counts</t>
  </si>
  <si>
    <t>LCFRB database</t>
  </si>
  <si>
    <t>LCFRB/WDFW Conservation and Sustainable Fishery Plan Annual Report (Draft in progress)</t>
  </si>
  <si>
    <t>Lower Gorge Tribs OR</t>
  </si>
  <si>
    <t>Return Year</t>
  </si>
  <si>
    <t>Marine Survival</t>
  </si>
  <si>
    <t>Nat. Origin Spawners</t>
  </si>
  <si>
    <t>H</t>
  </si>
  <si>
    <t>M</t>
  </si>
  <si>
    <t>L</t>
  </si>
  <si>
    <t>2008-2012</t>
  </si>
  <si>
    <t>2008-2017</t>
  </si>
  <si>
    <t>habitat based analysis (HPVA)</t>
  </si>
  <si>
    <t>habitat based analysis (EDT)</t>
  </si>
  <si>
    <t>NOAA Technical Memorandum NMFS-NWFSC-73</t>
  </si>
  <si>
    <t>https://www.nwfsc.noaa.gov/publications/scipubs/displayinclude.cfm?incfile=technicalmemorandum2018.inc</t>
  </si>
  <si>
    <t>Upper Willamette not accessible to coho salmon prior to installation of fish passage ladder at Willamette Falls.</t>
  </si>
  <si>
    <t>set goal equal to recent abundance estimates</t>
  </si>
  <si>
    <t>1 - delisting abundance goal (desired status) - maintain current abundance</t>
  </si>
  <si>
    <t>Prior to 2010 surveys for natural origin coho were inconsistent at best and for some streams nonexistent.  Since 2010 WDFW has implemented a comprehensive monitoring program of lower Columbia Coho.</t>
  </si>
  <si>
    <t>Surveys discontinued in 2013.</t>
  </si>
  <si>
    <t>Conservation Assessment Tool for Anadromous Salmonids (CATAS) population viability model</t>
  </si>
  <si>
    <t>Stabilizing population - recovery scenario requires population maintain current status - goal set to maintain recent abundance - updated abundance estimate as compared to modeled estimates in Recovery Plan.</t>
  </si>
  <si>
    <t>https://www.westcoast.fisheries.noaa.gov/columbia_river/index.html</t>
  </si>
  <si>
    <t>2 - mid-way between low- and high-range goals</t>
  </si>
  <si>
    <t>Population Viability Analysis (PVA) using a Stochastic Stock Recruitment Model (Popcycle)</t>
  </si>
  <si>
    <t>https://www.nwcouncil.org/sites/default/files/TechFoundationVolumeII.pdf</t>
  </si>
  <si>
    <t>EDT - based on PFC+ potential</t>
  </si>
  <si>
    <t>3 - habitat model inferences with feasible habitat restoration</t>
  </si>
  <si>
    <t>Assumed typo on Table 7-1: chum should actually be coho - Abundance estimate for entire Toutle basin was split equally between the North Fork and the South Fork basins</t>
  </si>
  <si>
    <t>https://www.westcoast.fisheries.noaa.gov/hatcheries/mitchell_act/ma_programs.html</t>
  </si>
  <si>
    <t>Mitchell Act BiOp</t>
  </si>
  <si>
    <t>Oregon Select Areas</t>
  </si>
  <si>
    <t>BiOp Mitchell Act Hatchery Programs - Table 1</t>
  </si>
  <si>
    <t>OPI Database</t>
  </si>
  <si>
    <t>Release locations include Youngs Bay, Tongue Point, Blind Slough, Klaskanine and SF Klaskanine</t>
  </si>
  <si>
    <t> Species </t>
  </si>
  <si>
    <t> Hatchery </t>
  </si>
  <si>
    <t> ReleaseSite </t>
  </si>
  <si>
    <t>Unknown Coho Subyearling</t>
  </si>
  <si>
    <t>Enhancement Program</t>
  </si>
  <si>
    <t>Presmolt</t>
  </si>
  <si>
    <t>Unknown Coho Yearling</t>
  </si>
  <si>
    <t>Skipanon River</t>
  </si>
  <si>
    <t>Data from Fish Passage Center Web Site - Query of Hatchery Release database</t>
  </si>
  <si>
    <t>MigrationYear </t>
  </si>
  <si>
    <t> Number Released </t>
  </si>
  <si>
    <t> Age Code </t>
  </si>
  <si>
    <t> Life Stage </t>
  </si>
  <si>
    <t>2015-16</t>
  </si>
  <si>
    <t>Subtotal (Yearlings)</t>
  </si>
  <si>
    <t>Subtotal (Presmolts)</t>
  </si>
  <si>
    <t># presmolts</t>
  </si>
  <si>
    <t>Fish Passage Center Hatchery Release Database</t>
  </si>
  <si>
    <t>http://www.fpc.org/hatchery/Hatchery_Queries_v2.php</t>
  </si>
  <si>
    <t>Release locations include Youngs Bay and Skipannon River (tributary to Columbia River at mouth of Youngs Bay)</t>
  </si>
  <si>
    <t>Oregon Production Index Database - Table T3b</t>
  </si>
  <si>
    <t>Ad</t>
  </si>
  <si>
    <t>AD+</t>
  </si>
  <si>
    <t>CWT</t>
  </si>
  <si>
    <t>NoClip</t>
  </si>
  <si>
    <t>Only</t>
  </si>
  <si>
    <t>Cowlitz Releases:</t>
  </si>
  <si>
    <t>Integrated = AD+CWT and CWT Only</t>
  </si>
  <si>
    <t>Segregated = AD Only, CWT Only and NoClipReleases</t>
  </si>
  <si>
    <t>Inegrated</t>
  </si>
  <si>
    <t>OR STEP (Presmolts)</t>
  </si>
  <si>
    <t>Cowlitz (segregrated)</t>
  </si>
  <si>
    <t>North Fork Toutle</t>
  </si>
  <si>
    <t>Lewis (N/Late)</t>
  </si>
  <si>
    <t>Production reared and released from Eagle Creek National Fish Hatchery</t>
  </si>
  <si>
    <t>Production reared and release from Beaver Creek Hatchery</t>
  </si>
  <si>
    <t>BiOp Mitchell Act Hatchery Programs - Table 2</t>
  </si>
  <si>
    <t>BiOp Mitchell Act Hatchery Programs - Table 84</t>
  </si>
  <si>
    <t>Table 84 includes combined production for integrated and segregated programs</t>
  </si>
  <si>
    <t>Includes both estimates for tributaries downstream of River Mill Dam and number of natrual orign fish passed upstream of River Mill Dam.</t>
  </si>
  <si>
    <t>Assumption is that goal includes both estimates for tributaries downstream of River Mill Dam and number of natrual orign fish passed upstream of River Mill Dam.</t>
  </si>
  <si>
    <t>Exploitation Rate</t>
  </si>
  <si>
    <t>NOR's</t>
  </si>
  <si>
    <t>Passed</t>
  </si>
  <si>
    <t>Upstream</t>
  </si>
  <si>
    <t>Total NOR</t>
  </si>
  <si>
    <t>Prior to 2010 surveys for natural origin coho were inconsistent at best and for some streams nonexistent.  Since 2010 WDFW has implemented a comprehensive monitoring program of lower Columbia Coho.  Includes both estimates for tributaries downstream of Merwin Dam and natrual natural origin fish passed over Merwin Dam.</t>
  </si>
  <si>
    <t>Assumption is that goal includes both estimates for tributaries downstream of Merwin Dam and number of natrual orign fish passed upstream of Merwin Dam.</t>
  </si>
  <si>
    <t>No estimate of historic abundance levels provided in the 2010 Recovery Plan.  Used abundance estimate for Template condition from 2004 Recovery Plan.</t>
  </si>
  <si>
    <t>calculated - 3 times delisting goal</t>
  </si>
  <si>
    <t>1 - broad sense goal identified in existing plan</t>
  </si>
  <si>
    <t>Recovery Plan broad based goal was 3,201 which is same as low goal and is not consistent with expectations for other Primary populations.  The Work Group concluded that the application of the default rule (3 times low goal) would be produce a more apporpriate abundance estimate for the high goal.</t>
  </si>
  <si>
    <t>Calculations for Lower and Upper Gorge/Hood Populations.  Joint estimates for low and high goals.</t>
  </si>
  <si>
    <t>Med Goal</t>
  </si>
  <si>
    <t>Anticiapted Production</t>
  </si>
  <si>
    <t>EL</t>
  </si>
  <si>
    <t>geomean (2008-2012)</t>
  </si>
  <si>
    <t>geomean (2008-2017)</t>
  </si>
  <si>
    <t>geomean (2007-2016)</t>
  </si>
  <si>
    <t>No link available - Joint ODFW/WDFW database - Unpublished data</t>
  </si>
  <si>
    <t>implement new goal by 2022</t>
  </si>
  <si>
    <t>continue current goal</t>
  </si>
  <si>
    <t>Ocean Harvest Hatchery</t>
  </si>
  <si>
    <t>Ocean Harvest Wild</t>
  </si>
  <si>
    <t>Ocean Exploitation Rate Hatchery</t>
  </si>
  <si>
    <t>Ocean Exploitation Rate Wild</t>
  </si>
  <si>
    <t>AK-BC</t>
  </si>
  <si>
    <t>NoF</t>
  </si>
  <si>
    <t>SoF</t>
  </si>
  <si>
    <t>Sof</t>
  </si>
  <si>
    <t>Columbia River coho harvest estimates, including release mortalities, and run size estimates.  Data from MSM/OPITT database used to document estimated harvest estimates and forecast returns for the upcoming year.  Copied from CBP Summary Tab of "Copy of MSMOPITTRunsize1986-2017OPITTFeb_2018 - with PF summary.xls" file.</t>
  </si>
  <si>
    <t>Cells highlighted in orange indicate situations where difference between MSM/OPITT database and are significant (5.4% in 2005 and 3.8% in 2010).</t>
  </si>
  <si>
    <t>Cells highlighted in yellow indicated situations where difference between MSM/OPITT Database and Joint Staff Report (Table 34) are between 1%-2% (1.1% in 2007 and 1.5% in 2009).</t>
  </si>
  <si>
    <t>Comparison between Exploitation Rates from MSM/OPITT database and Table 34 of Joint Staff Report are as follows:</t>
  </si>
  <si>
    <t>Cells not highlighted have a difference between MSM/OPITT database and Joint Staff Report (Table 34) have difference of &lt;1%.</t>
  </si>
  <si>
    <t>MSM/OPITT</t>
  </si>
  <si>
    <t>Methodology Comparison: MSM/OPITT vs. Joint Staff ReportJSR/OPI Tables</t>
  </si>
  <si>
    <t>JSR/OPI Tables</t>
  </si>
  <si>
    <t>Difference</t>
  </si>
  <si>
    <t>Ocean Abundance - Hatchery</t>
  </si>
  <si>
    <t>Ocean Exploitation Rate - Hatchery</t>
  </si>
  <si>
    <t>Ocean Exploitation Rate - Wild</t>
  </si>
  <si>
    <t>Ocean Abundance - Wild</t>
  </si>
  <si>
    <t>Ocean Abundance - Total</t>
  </si>
  <si>
    <t>Ocean Exploitation Rate - Total</t>
  </si>
  <si>
    <t># Difference</t>
  </si>
  <si>
    <t>% Difference</t>
  </si>
  <si>
    <t>Summary of harvest and exploitation rates by origin (hatchery vs wild) by fishery</t>
  </si>
  <si>
    <t>2008-2017 average</t>
  </si>
  <si>
    <t>NoF+SoF</t>
  </si>
  <si>
    <t>US Total</t>
  </si>
  <si>
    <t>DO NOT USE "RIVER" FOR HARVEST or HARVEST RATE ESTIMATES FOR COLUMBIA RIVER (BUT IT IS PART of TERMINAL RUN ACCOUNTING)</t>
  </si>
  <si>
    <t>Table 1a</t>
  </si>
  <si>
    <t>MSM-FRAM COHO RECONSTRUCTION (total mortality and escapement)</t>
  </si>
  <si>
    <t>Fishing</t>
  </si>
  <si>
    <t>Col Early Hatchery</t>
  </si>
  <si>
    <t>Total Early Hatchery</t>
  </si>
  <si>
    <t>River</t>
  </si>
  <si>
    <t>Esc</t>
  </si>
  <si>
    <t xml:space="preserve">WA Early Wild </t>
  </si>
  <si>
    <t>WA Late Wild</t>
  </si>
  <si>
    <t>OR Col Wild</t>
  </si>
  <si>
    <t>WA E HR</t>
  </si>
  <si>
    <t>OR E HR</t>
  </si>
  <si>
    <t>Table 1b</t>
  </si>
  <si>
    <t xml:space="preserve">Col Late Hatchery </t>
  </si>
  <si>
    <t>MSM-FRAM Reconstruction Model - Table 1a</t>
  </si>
  <si>
    <t>run reconstruction using discrete, time-step, age-structured, deterministic computer model (FRAM)</t>
  </si>
  <si>
    <t>No link available for data - Joint ODFW/WDFW/PFMC database - Unpublished data</t>
  </si>
  <si>
    <r>
      <t xml:space="preserve">Link to document describing Fishery Regulation Assessment Model (FRAM) is: </t>
    </r>
    <r>
      <rPr>
        <sz val="11"/>
        <color rgb="FF0070C0"/>
        <rFont val="Calibri"/>
        <family val="2"/>
        <scheme val="minor"/>
      </rPr>
      <t>https://www.pcouncil.org/salmon/background/document-library/fishery-regulation-assessment-model-fram-documentation/</t>
    </r>
  </si>
  <si>
    <t>run reconstruction completed by Oregon Production Index Technical Team (OPITT)</t>
  </si>
  <si>
    <r>
      <t xml:space="preserve">COLUMBIA RIVER </t>
    </r>
    <r>
      <rPr>
        <b/>
        <sz val="10"/>
        <rFont val="Arial"/>
        <family val="2"/>
      </rPr>
      <t>ADULT COHO</t>
    </r>
  </si>
  <si>
    <t>Columbia River coho harvest, escapement and river mouth return estimates.  Data from OPI database use for compiling data necessary for run reconstruction and run size forecasting.  Copied from Tab "T5" of the "Copy of T5 - Harvest and FRAM" file.</t>
  </si>
  <si>
    <t>Calculations used to calculate inriver harvest and harvest rates</t>
  </si>
  <si>
    <t>Used data from Tab T5 for these calculations</t>
  </si>
  <si>
    <t>na</t>
  </si>
  <si>
    <t>na - no estimates for harvest of wild fish provided in tab T%</t>
  </si>
  <si>
    <t>H.R. *</t>
  </si>
  <si>
    <t>* Wild/Natural H.R. from Table 34 of the Joint Staff Report</t>
  </si>
  <si>
    <t>average</t>
  </si>
  <si>
    <t>(08-17)</t>
  </si>
  <si>
    <t>v Col R Run</t>
  </si>
  <si>
    <t>https://wdfw.wa.gov/search.php?q=columbia+river+compact&amp;x=0&amp;y=0</t>
  </si>
  <si>
    <t>Oregon Production Index Database - Table 5</t>
  </si>
  <si>
    <t>Ocean and Freshwater</t>
  </si>
  <si>
    <t>harvest rate</t>
  </si>
  <si>
    <t>risk assessment using stochastic stock-recuritment model in a Population Viability Analysis framework</t>
  </si>
  <si>
    <t>1 - abundance-based harvest management framework</t>
  </si>
  <si>
    <t>2018 Joint ODFW/WDFW Staff Fall Report  - Table 34</t>
  </si>
  <si>
    <t>2018 Joint ODFW/WDFW Staff Fall Report  - Management Guidelines, LCN coho Section</t>
  </si>
  <si>
    <r>
      <t xml:space="preserve">Link to document describing Risk Assessment is: </t>
    </r>
    <r>
      <rPr>
        <sz val="11"/>
        <color rgb="FF0070C0"/>
        <rFont val="Calibri"/>
        <family val="2"/>
        <scheme val="minor"/>
      </rPr>
      <t>https://www.pcouncil.org/wp-content/uploads/F4b_LRCWG_Rpt1_RiskAnalysis_NOV2014BB.pdf</t>
    </r>
  </si>
  <si>
    <t>Harvest rates based on harvest rates typically sustained by healthy stock, depending on life history type.  High-range potential rates calibrated downward slightly for stocks harvested in mixed stock fisheries.</t>
  </si>
  <si>
    <t>professional judgement and knowledge of CBP Project Team in consultation with regional team members</t>
  </si>
  <si>
    <t>catch sampling, creel surveys, catch estimates, CWT analysis</t>
  </si>
  <si>
    <t>2 - harvest rates sustainable by healthy wild/natural stocks</t>
  </si>
  <si>
    <t>Harvest data calculated using data contained in columns EZ through EY of this speadsheet.  Ocean abundance data from columns EZ and FA.</t>
  </si>
  <si>
    <t>Columbia River coho harvest estimates, including release mortalities, and run size estimates.  Data from MSM/OPITT database (Table 1a) used to document estimated harvest estimates and forecast returns for the upcoming year.  Copied from CBP Summary Tab of "Copy of MSMOPITTRunsize1986-2017OPITTFeb_2018 - with PF summary.xls" file.</t>
  </si>
  <si>
    <t>non-retention mortalities include hook and release and drop-ff mortalities</t>
  </si>
  <si>
    <t>includes Youngs Bay selelect area fishery</t>
  </si>
  <si>
    <t>Total Return (wild/natural)</t>
  </si>
  <si>
    <t>Total Return (hatchery)</t>
  </si>
  <si>
    <t>Total Return (% hatchery)</t>
  </si>
  <si>
    <t>Harvest (wild/natural)</t>
  </si>
  <si>
    <t>Harvest (hatchery)</t>
  </si>
  <si>
    <t>Harvest (% hatchery)</t>
  </si>
  <si>
    <t>abundance</t>
  </si>
  <si>
    <t>spawning ground surveys (GRTS methodology)</t>
  </si>
  <si>
    <t>spawning ground surveys (GRTS methodology) and dam counts</t>
  </si>
  <si>
    <t>spawning ground surveys (GRTS methodology) with AUC estimates</t>
  </si>
  <si>
    <t>harvest</t>
  </si>
  <si>
    <t># kept</t>
  </si>
  <si>
    <t># kept and non-retention mortalities</t>
  </si>
  <si>
    <t>commercial catch sampling and fish ticket landings, statistical creel, CWT recovery and anlysis</t>
  </si>
  <si>
    <t>non-retention mortalities include only hook and release moralities</t>
  </si>
  <si>
    <t>Grand</t>
  </si>
  <si>
    <t>Grand Totals</t>
  </si>
  <si>
    <t>Proportion Hatchery</t>
  </si>
  <si>
    <t>Total Spawners</t>
  </si>
  <si>
    <t>Data in table below is from ODFW Recovery Tracker database - Abundance estimates of natural origin fish on spawning grounds</t>
  </si>
  <si>
    <t>Data in table below is from ODFW Recovery Tracker database - Proportion of hatchery fish on spawning grounds</t>
  </si>
  <si>
    <t>Estimates in table below is calculated using data from ODFW Recovery Tracker database - Total abundance (natural and hathery) on spawning grounds</t>
  </si>
  <si>
    <t>Estimates in table below is calculated using data from ODFW Recovery Tracker database - Abundance estimates of hatchery origin fish on spawning grounds</t>
  </si>
  <si>
    <t>Hat. Origin Spawners</t>
  </si>
  <si>
    <t>average (2008-2012)</t>
  </si>
  <si>
    <t>average (2007-2016)</t>
  </si>
  <si>
    <t>average (2008-2017)</t>
  </si>
  <si>
    <t>AVERAGE</t>
  </si>
  <si>
    <t>1/</t>
  </si>
  <si>
    <t>2/</t>
  </si>
  <si>
    <t>3/</t>
  </si>
  <si>
    <t>4/</t>
  </si>
  <si>
    <t>Columbia River Hatchery Return</t>
  </si>
  <si>
    <t>Early Stock</t>
  </si>
  <si>
    <t>Late Stock</t>
  </si>
  <si>
    <t>5/</t>
  </si>
  <si>
    <t>Columbia River Wild Return</t>
  </si>
  <si>
    <t>Early Stock Escapement</t>
  </si>
  <si>
    <t>Late Stock Escapement</t>
  </si>
  <si>
    <t>Math Check</t>
  </si>
  <si>
    <t>All Data in this spreadsheet was copied from the "T5 - Harvest and FRAM.xlsx" file</t>
  </si>
  <si>
    <t>Early Stock Net</t>
  </si>
  <si>
    <t>Late Stock Net</t>
  </si>
  <si>
    <t>Youngs Bay Net Early Stock</t>
  </si>
  <si>
    <t>Mainstem Net Early Stock</t>
  </si>
  <si>
    <t>Mainstem Net Late Stock</t>
  </si>
  <si>
    <t>Total Sport Late Stock</t>
  </si>
  <si>
    <t>Total Sport Early Stock</t>
  </si>
  <si>
    <t>Grand Total Early Stock</t>
  </si>
  <si>
    <t>Grand Total Late Stock</t>
  </si>
  <si>
    <t>True/False Test</t>
  </si>
  <si>
    <t>Sport Harvest</t>
  </si>
  <si>
    <t>Calculations to estimate metrics required to complete"@ Columbia R Mouth" section of the "L Col Stock" Box in Summary Tab</t>
  </si>
  <si>
    <t>Calculations to estimate metrics required to complete"Harvest" section of the "Total Return" Box in Summary Tab</t>
  </si>
  <si>
    <t>Calculations to estimate metrics required to complete"@ Columbia R Mouth" section of the "Total Return" Box in Summary Tab</t>
  </si>
  <si>
    <t>Calculations to estimate metrics required to complete"escapement (to wild)" section of the "L Col Stock" Box in Summary Tab</t>
  </si>
  <si>
    <t>Wild Harvest</t>
  </si>
  <si>
    <t>Above Bonnneville Dam</t>
  </si>
  <si>
    <t>Early Stock Hatchery Escapement</t>
  </si>
  <si>
    <t>Lower Columbia Stock</t>
  </si>
  <si>
    <t>Late Stock Hatchery Escapement</t>
  </si>
  <si>
    <t>Youngs Bay Stock Harvest</t>
  </si>
  <si>
    <t>`</t>
  </si>
  <si>
    <t>6/</t>
  </si>
  <si>
    <t>Calculations to estimate metrics required to complete"Harvest (Lower Col R)" section of the "L Col Stock" Box in Summary Tab</t>
  </si>
  <si>
    <t>sum of hatchery and wild returns to Columbia River mouth</t>
  </si>
  <si>
    <t>Estimated Total Return to Columbia River</t>
  </si>
  <si>
    <t>sum of early and late stock natural production</t>
  </si>
  <si>
    <t>Oregon Production Index Database - Table T5</t>
  </si>
  <si>
    <t>sum of early stock, late stock and Young Bay returns</t>
  </si>
  <si>
    <t>run reconstruction, CWT recovery and analysis, fishery mortalities</t>
  </si>
  <si>
    <t>run reconstruction, fishery mortalities</t>
  </si>
  <si>
    <t>Commercial Hatchery Harvest Below Bonn. Dam</t>
  </si>
  <si>
    <t>Commercial Harvest above Bonn. Dam</t>
  </si>
  <si>
    <t>Wild Returns and Harvest</t>
  </si>
  <si>
    <t>Return to Columbia River Mouth</t>
  </si>
  <si>
    <t>Harvest Rate</t>
  </si>
  <si>
    <t>Harvest (includes rel. mort.)</t>
  </si>
  <si>
    <t>1/ Calculated in table to the left: Equal to Column H</t>
  </si>
  <si>
    <t>2/ From Table 34 of the Joint Staff Fall Report</t>
  </si>
  <si>
    <t>3/ Calculated using data in this table: total wild harvest = total wild return to Columbia River mouth x harvest rate</t>
  </si>
  <si>
    <t>Oregon Production Index Database - Tables 5d and 5e</t>
  </si>
  <si>
    <t>4/ Calculated using data from this table: sum of columns V-AD</t>
  </si>
  <si>
    <t>commercial catch sampling and fish ticket landings, statistical creel, release mortality rates, fishery mortality</t>
  </si>
  <si>
    <t>harvest rate from Joint Staff Report applied to total return to estimate harvest</t>
  </si>
  <si>
    <t>fishery sampling, harvest rates, fishery mortalities, CWT recovery and analysis</t>
  </si>
  <si>
    <t>fishery sampling, harvest rates, fishery mortalities</t>
  </si>
  <si>
    <t>sum of harvest of early, late and Youngs Bay stocks in fisheries above and below Bonneville Dam</t>
  </si>
  <si>
    <t>sum of hatchery harvest and wild fishery mortalities in fisheries above and below Bonneville Dam</t>
  </si>
  <si>
    <t>Return (L Col Stock)</t>
  </si>
  <si>
    <t>Columbia R Mouth</t>
  </si>
  <si>
    <t>Total Harvest including Above and Below Bonn. Dam</t>
  </si>
  <si>
    <t>Columbia River</t>
  </si>
  <si>
    <t>hatchery returns</t>
  </si>
  <si>
    <t>spawning ground surveys, dam counts</t>
  </si>
  <si>
    <t>spawning ground surveys, dam counts, hatchery returns</t>
  </si>
  <si>
    <t>Escapement (total)</t>
  </si>
  <si>
    <t>Escapement (wild/natural)</t>
  </si>
  <si>
    <t>Escapement (hatchery)</t>
  </si>
  <si>
    <t>Escapement (% hatchery)</t>
  </si>
  <si>
    <t>Harvest (total)</t>
  </si>
  <si>
    <t>sum of hatchery harvest and wild fishery mortalities in fisheries below Bonneville Dam</t>
  </si>
  <si>
    <t>sum of harvest of early, late and Youngs Bay stocks in fisheries below Bonneville Dam</t>
  </si>
  <si>
    <t>2/ Calculated in table at far left of this tab: Equal to Column M</t>
  </si>
  <si>
    <t>Wild Returns to Columbia River Mouth</t>
  </si>
  <si>
    <t>Hatchery Returns to Columbia River Mouth</t>
  </si>
  <si>
    <t>Passage over Bonneville Dam</t>
  </si>
  <si>
    <t>Upriver stock harvest below Bonn. Dam</t>
  </si>
  <si>
    <t>1/ Calculated in table at far left of this tab: Equal to Column H</t>
  </si>
  <si>
    <t>Early Stock Harvest Below Bonn. Dam</t>
  </si>
  <si>
    <t>Late Stock Harvest Below Bonn. Dam</t>
  </si>
  <si>
    <t>Upriver Stock</t>
  </si>
  <si>
    <t>True/False</t>
  </si>
  <si>
    <t>Harvest Below Bonneville Dam</t>
  </si>
  <si>
    <t>Lower Columbia Stock Hatchery Returns to Columbia River Mouth</t>
  </si>
  <si>
    <t>Hatchery Escapement Below Bonneville Dam</t>
  </si>
  <si>
    <t>1/ Calculated using data in this table: Sum of Columns F&amp;G</t>
  </si>
  <si>
    <t>2/ Calculated using data in this table: Sum of Columns J-L</t>
  </si>
  <si>
    <t>3/ Calculated using data from table to the right: Equal to Column BV</t>
  </si>
  <si>
    <t>4/ Calculated using data from this table: Lower Columbia Stock returns = total returns - passage over Bonneville Dam and harvest of upriver stocks below Bonneville Dam</t>
  </si>
  <si>
    <t>1/ Calculated using data in this table: Sum of Columns AV-AX</t>
  </si>
  <si>
    <t>2/ Calculated using data in this table: Sum of Columns BG&amp;BH</t>
  </si>
  <si>
    <t>1/ Calculated using data in this table: Sum of Columns BB&amp;BC</t>
  </si>
  <si>
    <t>3/ Calculated using data in  this table: Lower Columbia Early Stock harvest = Total Early Stock Harvest * (Lower Columbia Early Stock escapement below Bonneville Dam / total Early Stock escapement</t>
  </si>
  <si>
    <t>4/ Calculated using data in  this table: Upriver Early Stock harvest = Total Early Stock Harvest * (Upriver Early Stock escapement below Bonneville Dam / total Early Stock escapement)</t>
  </si>
  <si>
    <t>5/ Calculated using data in  this table: Lower Columbia Late Stock harvest = Total Late Stock Harvest * (Lower Columbia Late Stock escapement below Bonneville Dam / total Late Stock escapement</t>
  </si>
  <si>
    <t>6/ Calculated using data in  this table: Upriver Late Stock harvest = Total Late Stock Harvest * (Upriver Late Stock escapement below Bonneville Dam / total Late Stock escapement)</t>
  </si>
  <si>
    <t>7/ Calculated using data in this table: Sum of Lower Columbia Early and Late Stock harvest below Bonneville Dam plus Youngs Bay Stock harvest</t>
  </si>
  <si>
    <t>7/</t>
  </si>
  <si>
    <t>8/</t>
  </si>
  <si>
    <t>9/</t>
  </si>
  <si>
    <t>8/ Calculated using data in this table: Sum of Upriver Early and Late Stock harvest below Bonneville Dam</t>
  </si>
  <si>
    <t>9/ Calculated using table to the left: Equal to column T</t>
  </si>
  <si>
    <t>includes natural production from both early and late returning stocks</t>
  </si>
  <si>
    <t>Oregon Production Index Database - Tables T5 and 5a</t>
  </si>
  <si>
    <t>apportioned lower river abundance and catch between Lower Columbia and Upriver stocks based on escapement past Bonneville Dam and to hatcheries below Bonneville Dam</t>
  </si>
  <si>
    <t>sum of hatchery and wild/natural fish destined for tributaries and hatcheries below Bonneville Dam, includes both early and late stocks</t>
  </si>
  <si>
    <t>Includes Cowlitz River.  Census count of fish captured at the Cowlitz Barrier Dam and trucked upstream for release into the Upper Cowlitz and Cispus basins.</t>
  </si>
  <si>
    <t>Includes South Fork Toutle.  Historic estimates of abundance combined North and South Fork basins into a single basin and produced an estimate for the entire Toutle Basin, which is presented here</t>
  </si>
  <si>
    <t>Includes North Fork Toutle.  Historic estimates of abundance combined North and South Fork basins into a single basin and produced an estimate for the entire Toutle Basin, which is presented here</t>
  </si>
  <si>
    <t>Oregon STEP (Presmolts)</t>
  </si>
  <si>
    <t>2007-2016 (OR) and NA (WA)</t>
  </si>
  <si>
    <t>2010 Washington Recovery Plan - Chapter 6 - Table 6-9</t>
  </si>
  <si>
    <t>CBP Recommendations Report</t>
  </si>
  <si>
    <t>geomean</t>
  </si>
  <si>
    <t>natural origin spawners adults</t>
  </si>
  <si>
    <t>professional judgement and knowledge of Recovery Plan Project Team in consultation with LCFRB</t>
  </si>
  <si>
    <t>OR</t>
  </si>
  <si>
    <t>WA</t>
  </si>
  <si>
    <t>Upper Gorge/hood</t>
  </si>
  <si>
    <t>hatchery releases</t>
  </si>
  <si>
    <t>hatchery releases - program goal</t>
  </si>
  <si>
    <t>range</t>
  </si>
  <si>
    <t>natural origin adults</t>
  </si>
  <si>
    <t>adults</t>
  </si>
  <si>
    <t>hatchery adults</t>
  </si>
  <si>
    <t>spawners adults</t>
  </si>
  <si>
    <t>references differ between states, ODFW Recovery Tracker Database for Oregon and LCFRB database Washington</t>
  </si>
  <si>
    <r>
      <t>Link to document describing Fishery Regulation Assessment Model (FRAM) is:</t>
    </r>
    <r>
      <rPr>
        <sz val="11"/>
        <color rgb="FF0070C0"/>
        <rFont val="Calibri"/>
        <family val="2"/>
        <scheme val="minor"/>
      </rPr>
      <t xml:space="preserve"> https://www.pcouncil.org/salmon/background/document-library/fishery-regulation-assessment-model-fram-documentation/</t>
    </r>
  </si>
  <si>
    <r>
      <t xml:space="preserve">links for each states references are: </t>
    </r>
    <r>
      <rPr>
        <sz val="11"/>
        <color rgb="FF0070C0"/>
        <rFont val="Calibri"/>
        <family val="2"/>
        <scheme val="minor"/>
      </rPr>
      <t>http://www.odfwrecoverytracker.org</t>
    </r>
    <r>
      <rPr>
        <sz val="11"/>
        <color theme="1"/>
        <rFont val="Calibri"/>
        <family val="2"/>
        <scheme val="minor"/>
      </rPr>
      <t xml:space="preserve"> for Oregon and LCFRB/WDFW Conservation and Sustainable Fishery Plan Annual Report (draft in progress) for Washington</t>
    </r>
  </si>
  <si>
    <t>each state maintains individual databases with tributary abundance estimates</t>
  </si>
  <si>
    <t>data obtained from several sources as follows: Oregon Production Index Database - Tables T5 and 5a, ODFW Recovery Tracker and LCFRB database</t>
  </si>
  <si>
    <t>Links to data sources are as follows, respectively: No link available - Joint ODFW/WDFW database - Unpublished data, http://www.odfwrecoverytracker.org and LCFRB/WDFW Conservation and Sustainble Fishery Plan Annual Report (draft in progress)</t>
  </si>
  <si>
    <t>calculation of this variable requires use of data from several different data sources</t>
  </si>
  <si>
    <t>*</t>
  </si>
  <si>
    <t>Not listed - colonizing population - no action required to modify (increase or reduce) current abundance</t>
  </si>
  <si>
    <t>midpoint between low and high goals</t>
  </si>
  <si>
    <t>Prior to 2010 surveys for natural origin coho were inconsistent at best and for some streams nonexistent.  Since 2010 WDFW has implemented a comprehensive monitoring program of lower Columbia Coho.  Includes coho passed upstream of Sediment Retention Structure.</t>
  </si>
  <si>
    <t>set goal equal to recent abundance estimate</t>
  </si>
  <si>
    <t>Stabilizing population - recovery scenario requires population maintain current status - goal set to maintain recent abundance - no abundance estimate available at time of completion of Recovery Plan - number of natural origin fish transported to Tilton provide estimate of recent abundance that are more accurate than baseline estimate in Recovery Plan  - used recent abundance estimate as low goal.</t>
  </si>
  <si>
    <t>Stabilizing population - recovery scenario requires population maintain current status - goal set to maintain recent abundance - no abundance estimate available at time of completion of Recovery Plan - spawning ground surveys initiated in 2010 to provide estimate of recent abundance that are more accurate than baseline estimate in Recovery Plan  - used recent abundance estimates as low goal.</t>
  </si>
  <si>
    <t>2004 Washington Recovery Plan - Volume II - Chapter 14 - Table 14-1</t>
  </si>
  <si>
    <t>2004 Washington Recovery Plan - Volume II - Chapter 4 - Table 4-1</t>
  </si>
  <si>
    <t>2004 Washington Recovery Plan - Volume II - Chapter 5 - Tables 5-1 &amp; 5-2</t>
  </si>
  <si>
    <t>2004 Washington Recovery Plan - Volume II - Chapter 8 - Table 8-1</t>
  </si>
  <si>
    <t>2004 Washington Recovery Plan - Volume II - Chapter 6 - Table 6.1</t>
  </si>
  <si>
    <t>2004 Washington Recovery Plan - Volume II - Chapter 7 - Table 7-1</t>
  </si>
  <si>
    <t>2004 Washinton Recovery Plan - Volume II - Chapter 7 - Table 7-1</t>
  </si>
  <si>
    <t>2004 Washington Recovery Plan - Volume II - Chapter 9 - Table 9-1</t>
  </si>
  <si>
    <t>2004 Washington Recovery Plan - Volume II - Chpater 9 - Table 9-2</t>
  </si>
  <si>
    <t>2004 Washington Recovery Plan - Volume II - Chapter - Table 9-3</t>
  </si>
  <si>
    <t>2004 Washington Recovery Plan - Volume II - Chapter 10 - Table 10-1</t>
  </si>
  <si>
    <t>2004 Washington Recovery Plan -  Volume II - Chapters 11 - Table 11-1 and Chapter 12 - Table 12-1</t>
  </si>
  <si>
    <t>2004 Washington Recovery Plan - Volume II - Chapter 13 - Table 13-1</t>
  </si>
  <si>
    <t>2004 Washington Recovery Plan - Volume II - Chapter 15 - Table 15-1</t>
  </si>
  <si>
    <t>2010 Washington Recovery Plan - Volume 1 - Chapter 6 - Table 6-9</t>
  </si>
  <si>
    <t>2004 Washington Recovery Plan - Volume II - Chapter 5 - Tables 5-3, 5-4 &amp; 5-5</t>
  </si>
  <si>
    <t>Oregon Recovery Plan - Chapter 6 - Table 6-3</t>
  </si>
  <si>
    <t>Oregon Recovery Plan - Chapter 6 - Table 6-36</t>
  </si>
  <si>
    <t>Oregon Recovery Plan - Chapter 10  - Table 10.1</t>
  </si>
  <si>
    <t>4 - default value, 3 times low-range value</t>
  </si>
  <si>
    <t>1 - broad sense goal identified in existing plan (OR) and 4 - default value, 3 times low-range value (WA)</t>
  </si>
  <si>
    <t xml:space="preserve"> 4 - default value, 3 times low-range value</t>
  </si>
  <si>
    <t xml:space="preserve"> 4 - default value, 3 times low-range value (WAS)</t>
  </si>
  <si>
    <t>WA estimate for Upper Gorge based on Wind River Template abundance estimate from Table 16- above</t>
  </si>
  <si>
    <t>2004 Washington Recovery Plan - Volume II - Chapter 16 - Table 16-1</t>
  </si>
  <si>
    <t>Elochoman/Skamokawa</t>
  </si>
  <si>
    <t>Mill/Abernathy/Germany</t>
  </si>
  <si>
    <t>South Fork Toutle</t>
  </si>
  <si>
    <t>Upper Cowlitz</t>
  </si>
  <si>
    <t>North Fork Lewis</t>
  </si>
  <si>
    <t>East Fork Lewis</t>
  </si>
  <si>
    <t>Lower Gorge (OR)</t>
  </si>
  <si>
    <t>Lower Gorge (WA)</t>
  </si>
  <si>
    <t>Upper Gorge/Hood River</t>
  </si>
  <si>
    <t>Upper Gorge (OR)/Hood River</t>
  </si>
  <si>
    <t>Upper Gorge (WA)</t>
  </si>
  <si>
    <t>Willamette</t>
  </si>
  <si>
    <t>Upper Gorge/Hood River (OR)</t>
  </si>
  <si>
    <t>links references provided with entries for Upper Gorge (OR)/Hood River and Upper Gorge (WA)</t>
  </si>
  <si>
    <t>High goal for Oregon portion of Upper Gorge/Hood River stocks.</t>
  </si>
  <si>
    <t>High goal for Washington portion of Lower Gorge stock.</t>
  </si>
  <si>
    <t>High goal for Oregon portion of Lower Gorge stock.</t>
  </si>
  <si>
    <t>links to references provided with entries for Lower Gorge (OR) and Lower Gorge (WA)</t>
  </si>
  <si>
    <t>references differ between Oregon and Washington, see references identified in entries for Lower Gorge (OR) and Lower Gorge (WA)</t>
  </si>
  <si>
    <t>Population includes both Oregon and Washington.  Each state provided estimates for their state and these individual estimates were combined to produce an abundance estimate for the entire population.  Documentation specific for the estimates provided by each state is provided in entries titled Lower Gorge (OR) and Lower Gorge (WA).</t>
  </si>
  <si>
    <t>sum of Lower Gorge (OR) and Lower Gorge (WA), methodology differs between Oregon and Washington, refer to Lower Gorge (OR) and Lower Gorge (WA) for descriptions of methodology</t>
  </si>
  <si>
    <t>Abundance estimate for Oregon portion of Lower Gorge population.</t>
  </si>
  <si>
    <t xml:space="preserve">Abundance estimate for Washington portion of Lower Gorge population.  Lower Gorge is not part of WDFW spawning ground survey program so no recent abundance estimates are available.  </t>
  </si>
  <si>
    <t>references differ between Oregon and Washington, see references identified in entries for Upper Gorge (OR)/Hood River and Upper Gorge (WA)</t>
  </si>
  <si>
    <t>Low goal for Oregon portion of Lower Gorge stock.</t>
  </si>
  <si>
    <t>Low goal for Washington portion of Lower Gorge stock.</t>
  </si>
  <si>
    <t>sum of Upper Gorge (OR)/Hood River and Upper Gorge (WA), methodology differs between Oregon and Washington, refer to Upper Gorge (OR)/Hood River and Upper Gorge  (WA) for descripitons of methodology</t>
  </si>
  <si>
    <t>Low goal for Oregon portion of Upper Gorge/Hood River stocks.</t>
  </si>
  <si>
    <t>Low goal for Washington portion of Upper Gorge stock.</t>
  </si>
  <si>
    <t>sum of Upper Gorge (OR)/Hood River and Upper Gorge (WA), methodology differs between Oregon and Washington, refer to Upper Gorge (OR)/Hood River and Upper Gorge (WA) for descripitons of methodology</t>
  </si>
  <si>
    <t>Abundance estimate fore Washington portion of Upper Gorge.  Used Template Estimates for Wind River because no estimates available for the entire Lower Gorge in Washington.</t>
  </si>
  <si>
    <t>Abundance estimate for Washington portion of Lower Gorge population.  Lower Gorge is not part of WDFW spawning ground survey program so no recent abundance estimates are available.  Used baseline abundance from Recovery Plan as estimtate of current abundance.</t>
  </si>
  <si>
    <t>Abundance estimate for Washington portion of Upper Gorge population.  Upper Gorge is not part of WDFW spawning ground survey program so no recent abundance estimates are available.  Used baseline abundance from Recovery Plan as estimtate of current abundance.</t>
  </si>
  <si>
    <t>Includes Cispus River.  Census count of fish captured at the Cowlitz Barrier Dam and trucked upstream for release into the Upper Cowlitz and Cispus basins.</t>
  </si>
  <si>
    <t>https://www.lcfrb.gen.wa.us/librarysalmonrecovery</t>
  </si>
  <si>
    <t>Population includes both Oregon and Washington.  Each state provided estimates for their state and these individual estimates were combined to produce an abundance estimate for the entire population.  Documentation specific for the estimates provided by each state is provided in entries titled Upper Gorge (OR)/Hood River and Upper Gorge (WA).</t>
  </si>
  <si>
    <t>Abundance estimate for Oregon portion of Upper Gorge/Hood River population.</t>
  </si>
  <si>
    <t>High goal for Washington portion of Upper Gorge/Hood River stock.</t>
  </si>
  <si>
    <t>2007-2016 (OR) and nont applicable (WA)</t>
  </si>
  <si>
    <t>EDT model provided separate estimates for Elochoman and Skamokawa basins, high goal includes both basins</t>
  </si>
  <si>
    <t>EDT model provided separate estimates for Mill, Abernathy and Germany creek basins, high goal includes all three basins</t>
  </si>
  <si>
    <t>EDT model provided separate estimates for above and below Merwin Dam, high goal is for entire North Fork and includes estimates for above and below Merwin Dam</t>
  </si>
  <si>
    <t>OPI Tables: Tab T5 Column Q</t>
  </si>
  <si>
    <t>OPI Tables: Tab T5 Column E</t>
  </si>
  <si>
    <t>OPI Tables: Tab T5 Column F</t>
  </si>
  <si>
    <t>OPI Tables: Tab T5 Colum L</t>
  </si>
  <si>
    <t>OPI Tables: Tab T5 Column M</t>
  </si>
  <si>
    <t>OPI Tables: Tab T5 Colunm N</t>
  </si>
  <si>
    <t>OPI Tables: Tab 5d Column P</t>
  </si>
  <si>
    <t>OPI Tables: Tab 5e Column I</t>
  </si>
  <si>
    <t>OPI Tables: Tab 5d Column D</t>
  </si>
  <si>
    <t>OPI Tables: Tab 5d Column G</t>
  </si>
  <si>
    <t>OPI Tables: Tab 5e Column D</t>
  </si>
  <si>
    <t>OPI Tables: Tab 5d Column S</t>
  </si>
  <si>
    <t>OPI Tables: Column L</t>
  </si>
  <si>
    <t>OPI Tables: Tab 5d Column T</t>
  </si>
  <si>
    <t>OPI Tables: Tab 5e Column M</t>
  </si>
  <si>
    <t>OPI Tables: Tab 5a Column L</t>
  </si>
  <si>
    <t>OPI Tables: Tab 5a Column M</t>
  </si>
  <si>
    <t>OPI Tables: Tab 5a Column B</t>
  </si>
  <si>
    <t>OPI Tables: Tab T5 Column C</t>
  </si>
  <si>
    <t>OPI Tables: Tab 5a Column K</t>
  </si>
  <si>
    <t>OPI Tables: Tab T5 Column G</t>
  </si>
  <si>
    <t>OPI Tables: Tab T5 Column I</t>
  </si>
  <si>
    <t>OPI Tables: Tab T5 Column H</t>
  </si>
  <si>
    <t>Harvest (Total)</t>
  </si>
  <si>
    <t>Harvest (L Col basin)</t>
  </si>
  <si>
    <t>blue shaded cells are user inputs (should link to values identified elsewhere in workbook)</t>
  </si>
  <si>
    <t>No. of spawners</t>
  </si>
  <si>
    <t>Natl loss rate convertion to escape</t>
  </si>
  <si>
    <t>Freshwater fishery harvest</t>
  </si>
  <si>
    <t>Freshwater fishery impact rate (v Col R)</t>
  </si>
  <si>
    <t>Columia River run</t>
  </si>
  <si>
    <t>Ocean fishery impact rate (v ocn)</t>
  </si>
  <si>
    <t>Ocean harvest</t>
  </si>
  <si>
    <t>Ocean abundance</t>
  </si>
  <si>
    <t>Total harvest</t>
  </si>
  <si>
    <t>Total explitation rate (v ocn)</t>
  </si>
  <si>
    <t>target exploitation rate (v ocn)</t>
  </si>
  <si>
    <t>target freshwater exploitation rate (v col R)</t>
  </si>
  <si>
    <t>Current (inputs)</t>
  </si>
  <si>
    <t>Current (derived)</t>
  </si>
  <si>
    <t>Medium goal</t>
  </si>
  <si>
    <t>Hatchery releases</t>
  </si>
  <si>
    <t>SAR (to Col R)</t>
  </si>
  <si>
    <t>No. escaping</t>
  </si>
  <si>
    <t>Columbia Basin</t>
  </si>
  <si>
    <t>Spawning</t>
  </si>
  <si>
    <t>Columbia</t>
  </si>
  <si>
    <t>Run Size</t>
  </si>
  <si>
    <t>avg.</t>
  </si>
  <si>
    <t>Tab 5 from OPI Coho database spreadsheet</t>
  </si>
  <si>
    <t>Total Hatchery Escapement</t>
  </si>
  <si>
    <t>Total Wild Run Size</t>
  </si>
  <si>
    <t>Total Hatchery Run Size</t>
  </si>
  <si>
    <t>Run Reconstruction - Lower River Natural</t>
  </si>
  <si>
    <t>Run Reconstruction for Lower River Hatchery, Upriver Hatchery, Total Hatchery and Lower River Wild</t>
  </si>
  <si>
    <t>COLUMBIA RIVER ESCAPEMENT - Adult Coho</t>
  </si>
  <si>
    <t>LCR Early Hatchery</t>
  </si>
  <si>
    <t xml:space="preserve"> Youngs Bay Early Hatchery </t>
  </si>
  <si>
    <t xml:space="preserve">Willamette Falls Early </t>
  </si>
  <si>
    <t>Sandy R. Early Natural</t>
  </si>
  <si>
    <t>Clackmas R. Early Natural</t>
  </si>
  <si>
    <t>Clackamas R. Late Natural</t>
  </si>
  <si>
    <t>Oregon Other Trib Wild</t>
  </si>
  <si>
    <t>WA Wild Early</t>
  </si>
  <si>
    <t>WA Wild Late</t>
  </si>
  <si>
    <t>LCR Late Hatchery</t>
  </si>
  <si>
    <t>BONN Dam Counts Early Hatchery</t>
  </si>
  <si>
    <t>BONN Dam Counts Late Hatchery</t>
  </si>
  <si>
    <t>Hatchery total</t>
  </si>
  <si>
    <t>Wild Total</t>
  </si>
  <si>
    <t>Col R Total</t>
  </si>
  <si>
    <t>Tab 5a from OPI Coho database spreadsheet</t>
  </si>
  <si>
    <t>Total Bonn Dam Counts</t>
  </si>
  <si>
    <t>LCR Hatchery Escape.</t>
  </si>
  <si>
    <r>
      <rPr>
        <b/>
        <sz val="11"/>
        <color theme="1"/>
        <rFont val="Calibri"/>
        <family val="2"/>
        <scheme val="minor"/>
      </rPr>
      <t>Hatchery Escapement</t>
    </r>
    <r>
      <rPr>
        <sz val="11"/>
        <color theme="1"/>
        <rFont val="Calibri"/>
        <family val="2"/>
        <scheme val="minor"/>
      </rPr>
      <t xml:space="preserve"> equals Bonneville Dam Count</t>
    </r>
  </si>
  <si>
    <t>Estuary Buoy 10 Sport Youngs Bay</t>
  </si>
  <si>
    <t>LCR Mainstem Net-Youngs Bay</t>
  </si>
  <si>
    <t>Youngs Bay Net-Youngs Bay</t>
  </si>
  <si>
    <t>Estuary Buoy 10 Sport Early</t>
  </si>
  <si>
    <t>LCR Mainstem Sport Early</t>
  </si>
  <si>
    <t>LCR Mainstem Net Early</t>
  </si>
  <si>
    <t>SAFE- Non-Youngs Bay Net-Early Hatchery</t>
  </si>
  <si>
    <t>Below Bonnvlle Wa Trib Spt Early</t>
  </si>
  <si>
    <t xml:space="preserve">Below Bonn Ore Trib Spt Early </t>
  </si>
  <si>
    <t>Clackamas R Sport Early Hatchery</t>
  </si>
  <si>
    <t>Clackamas R Sport Early Wild</t>
  </si>
  <si>
    <t>Sandy R Sport Early Hatchery</t>
  </si>
  <si>
    <t>Sandy R Sport Wild</t>
  </si>
  <si>
    <t>Above Bonneville Sport Early</t>
  </si>
  <si>
    <t>Above Bonneville Net Early</t>
  </si>
  <si>
    <t xml:space="preserve">Non-Indian Commercial/Treaty C&amp;S Total Early </t>
  </si>
  <si>
    <t>Sport Total Early</t>
  </si>
  <si>
    <t>Grand Total</t>
  </si>
  <si>
    <t>Columbia River EARLY STOCK Harvest - Adult coho ABOVE &amp; BELOW Bonneville Dam</t>
  </si>
  <si>
    <t>Tab 5d from OPI Coho database spreadsheet</t>
  </si>
  <si>
    <t>Columbia River LATE STOCK Harvest - Adult coho ABOVE &amp; BELOW Bonneville Dam</t>
  </si>
  <si>
    <t>Estuary Buoy 10 Sport Late Hatchery</t>
  </si>
  <si>
    <t>LCR Mainstem Sport late Hatchery</t>
  </si>
  <si>
    <t xml:space="preserve">LCR Mainstem Net Late </t>
  </si>
  <si>
    <t>Youngs Bay Net Late</t>
  </si>
  <si>
    <t>Below Bonnvlle Trib Spt Late</t>
  </si>
  <si>
    <t>Clackamas R Sport Late Wild</t>
  </si>
  <si>
    <t>Above Bonneville Sport Late</t>
  </si>
  <si>
    <t>Above Bonneville Net Late</t>
  </si>
  <si>
    <t>Non-Indian Commercial/Treaty C&amp;S Late Total</t>
  </si>
  <si>
    <t>Sport Late Total</t>
  </si>
  <si>
    <t>Prop Early at BONN</t>
  </si>
  <si>
    <t>Total treaty catch</t>
  </si>
  <si>
    <t>Tab 5e from OPI Coho database spreadsheet</t>
  </si>
  <si>
    <t>LCR Comm</t>
  </si>
  <si>
    <r>
      <rPr>
        <b/>
        <sz val="11"/>
        <color theme="1"/>
        <rFont val="Calibri"/>
        <family val="2"/>
        <scheme val="minor"/>
      </rPr>
      <t>Comm Harvest</t>
    </r>
    <r>
      <rPr>
        <sz val="11"/>
        <color theme="1"/>
        <rFont val="Calibri"/>
        <family val="2"/>
        <scheme val="minor"/>
      </rPr>
      <t xml:space="preserve"> equals Total Treaty Catch which exceeds sum of Above Bonneville Net Early and Above Bonneville Net Late </t>
    </r>
  </si>
  <si>
    <t>Treaty</t>
  </si>
  <si>
    <t>Z6 Sport</t>
  </si>
  <si>
    <t>Hatchery Harvest below Bonn</t>
  </si>
  <si>
    <t>LCR Sport</t>
  </si>
  <si>
    <t>Treaty  Harvest</t>
  </si>
  <si>
    <t>Apportion Mainstem Harvest below Bonneville Dam between Lower Columbia River and Upriver stocks</t>
  </si>
  <si>
    <t>Tributary</t>
  </si>
  <si>
    <t>LCR stock</t>
  </si>
  <si>
    <t>Dam Count</t>
  </si>
  <si>
    <t>Lower Columbia River Stock</t>
  </si>
  <si>
    <t>Stock Proportions</t>
  </si>
  <si>
    <t>Mainstem Harvest</t>
  </si>
  <si>
    <t>Mainstem</t>
  </si>
  <si>
    <t>Lower</t>
  </si>
  <si>
    <t>Run Reconstruction - Hatchery - Lower Columbia Stock</t>
  </si>
  <si>
    <t>Run Reconstruction - Hatchery - Upriver Stock</t>
  </si>
  <si>
    <t>Run Reconstruction - Hatchery - Lower Columbia and Upriver stocks combined</t>
  </si>
  <si>
    <t>Basin Harvest</t>
  </si>
  <si>
    <t>(Inclubes Bonn. Dam Counts)</t>
  </si>
  <si>
    <t>Bonn. Dam</t>
  </si>
  <si>
    <t>Zone 6</t>
  </si>
  <si>
    <t>Lower Col.</t>
  </si>
  <si>
    <t>Zone 6 Harvest</t>
  </si>
  <si>
    <t>(Zone 6)</t>
  </si>
  <si>
    <t>Willamette natural origin included in harvest but not in escapement or run size calculations</t>
  </si>
  <si>
    <t>Table 34 from 2018 Joint Staff Report</t>
  </si>
  <si>
    <t>Col Basin</t>
  </si>
  <si>
    <t>Col River</t>
  </si>
  <si>
    <t>Abund.</t>
  </si>
  <si>
    <t>In-River Harvest</t>
  </si>
  <si>
    <t>Total H.R.</t>
  </si>
  <si>
    <t>(In-River+Ocean)</t>
  </si>
  <si>
    <t>H.R. v ocn</t>
  </si>
  <si>
    <t>H.R. v CR</t>
  </si>
  <si>
    <t>Col. R.</t>
  </si>
  <si>
    <t>Rate v. ocn</t>
  </si>
  <si>
    <t>Avg (v ocn)</t>
  </si>
  <si>
    <t>Ave (v CR)</t>
  </si>
  <si>
    <t>Ocean Harvest Rate</t>
  </si>
  <si>
    <t>Ak/Can Harvest</t>
  </si>
  <si>
    <t>Ocean Total</t>
  </si>
  <si>
    <t>Ak/Can Subtotal</t>
  </si>
  <si>
    <t>Ak/ Can Subtotal</t>
  </si>
  <si>
    <t>U.S. Subtotal</t>
  </si>
  <si>
    <t>U.S. Harvest</t>
  </si>
  <si>
    <t>Col. Basin</t>
  </si>
  <si>
    <t>H.R. (v ocn)</t>
  </si>
  <si>
    <t>changed to match goal summary table</t>
  </si>
  <si>
    <t>million</t>
  </si>
  <si>
    <t>≤70%</t>
  </si>
  <si>
    <t>1. Natural-Origin Spawners</t>
  </si>
  <si>
    <t>2. Hatchery-Origin Spawners</t>
  </si>
  <si>
    <t>3. SOS 2020 Abundance Analysis</t>
  </si>
  <si>
    <t>ear</t>
  </si>
  <si>
    <t>1. SOS 2020 Abundance Analysis</t>
  </si>
  <si>
    <t>2. Abernathy Creek Coho: Natural-Origin Spawners</t>
  </si>
  <si>
    <t>3. Abernathy Creek Coho: Hatchery-Origin Spawners</t>
  </si>
  <si>
    <t>4. Germany Creek Coho: Natural-Origin Spawners</t>
  </si>
  <si>
    <t>5. Germany Creek Coho: Hatchery-Origin Spawners</t>
  </si>
  <si>
    <t>6. Mill Creek Coho: Natural-Origin Spawners</t>
  </si>
  <si>
    <t>7. Mill Creek Coho: Hatchery-Origin Spawners</t>
  </si>
  <si>
    <t>NOR</t>
  </si>
  <si>
    <t>HOR</t>
  </si>
  <si>
    <t>E-S</t>
  </si>
  <si>
    <t>2. Lower Cowlitz River Tributaries Coho: Natural-Origin Spawners</t>
  </si>
  <si>
    <t>3. Lower Cowlitz River Tributaries Coho: Hatchery-Origin Spawners</t>
  </si>
  <si>
    <t>1. Trap Count (Hatchery-Origin)</t>
  </si>
  <si>
    <t>2. Trap Count (Natural-Origin)</t>
  </si>
  <si>
    <t>3. Hatchery-Origin Escapement</t>
  </si>
  <si>
    <t>4. Natural-Origin Escapement</t>
  </si>
  <si>
    <t>5. SOS 2020 Abundance Analysis</t>
  </si>
  <si>
    <t>U Cowlitz &amp; Cispus</t>
  </si>
  <si>
    <t>1. Trap Count (Natural-Origin)</t>
  </si>
  <si>
    <t>2. Trap Count (Hatchery-Origin)</t>
  </si>
  <si>
    <t>3. Natural-Origin Escapement</t>
  </si>
  <si>
    <t>4. Hatchery-Origin Escapement</t>
  </si>
  <si>
    <t>2. Green River (NF Toutle) Coho: Natural-Origin Spawners</t>
  </si>
  <si>
    <t>3. Green River (NF Toutle) Coho: Hatchery-Origin Spawners</t>
  </si>
  <si>
    <t>4. North Fork Toutle River Coho: Hatchery-Origin Spawners</t>
  </si>
  <si>
    <t>5. North Fork Toutle River Coho: Natural-Origin Spawners</t>
  </si>
  <si>
    <t>6. North Fork Toutle River Coho: Trap Count</t>
  </si>
  <si>
    <t>2. Cedar Creek (NF Lewis) Coho: Natural-Origin Spawners</t>
  </si>
  <si>
    <t>3. Cedar Creek (NF Lewis) Coho: Hatchery-Origin Spawners</t>
  </si>
  <si>
    <t>4. North Fork Lewis River Mainstem Coho: Natural-Origin Spawners</t>
  </si>
  <si>
    <t>5. North Fork Lewis River Mainstem Coho: Hatchery-Origin Spawners</t>
  </si>
  <si>
    <t>6. North Fork Lewis River Other Tributaries Coho: Natural-Origin Spawners</t>
  </si>
  <si>
    <t>7. North Fork Lewis River Other Tributaries Coho: Hatchery-Origin Spawners</t>
  </si>
  <si>
    <t>8. Upper North Fork Lewis Mainstem and Tributaries Coho: Trap Count (Natural-Origin)</t>
  </si>
  <si>
    <t>9. Upper North Fork Lewis Mainstem and Tributaries Coho: Trap Count (Hatchery-Origin)</t>
  </si>
  <si>
    <t>1. Trap Count</t>
  </si>
  <si>
    <t>2. Natural-Origin Spawners</t>
  </si>
  <si>
    <t>3. Hatchery-Origin Spawners</t>
  </si>
  <si>
    <t>4. SOS 2020 Abundance Analysis</t>
  </si>
  <si>
    <t>L Gorge WA</t>
  </si>
  <si>
    <t>v CR mouth</t>
  </si>
  <si>
    <t>v CR return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</si>
</sst>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0.000"/>
    <numFmt numFmtId="167" formatCode="#,##0.0"/>
    <numFmt numFmtId="168" formatCode="#,##0.000"/>
  </numFmts>
  <fonts count="71" x14ac:knownFonts="1">
    <font>
      <sz val="11"/>
      <color theme="1"/>
      <name val="Calibri"/>
      <family val="2"/>
      <scheme val="minor"/>
    </font>
    <font>
      <sz val="11"/>
      <color theme="1"/>
      <name val="Calibri"/>
      <family val="2"/>
      <scheme val="minor"/>
    </font>
    <font>
      <b/>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sz val="10"/>
      <color theme="1"/>
      <name val="Calibri"/>
      <family val="2"/>
      <scheme val="minor"/>
    </font>
    <font>
      <sz val="10"/>
      <color theme="1"/>
      <name val="Times New Roman"/>
      <family val="1"/>
    </font>
    <font>
      <i/>
      <vertAlign val="superscript"/>
      <sz val="11"/>
      <color rgb="FFFF0000"/>
      <name val="Calibri"/>
      <family val="2"/>
      <scheme val="minor"/>
    </font>
    <font>
      <i/>
      <sz val="11"/>
      <color rgb="FFFF0000"/>
      <name val="Calibri"/>
      <family val="2"/>
      <scheme val="minor"/>
    </font>
    <font>
      <vertAlign val="superscript"/>
      <sz val="11"/>
      <name val="Calibri"/>
      <family val="2"/>
      <scheme val="minor"/>
    </font>
    <font>
      <sz val="11"/>
      <name val="Calibri"/>
      <family val="2"/>
      <scheme val="minor"/>
    </font>
    <font>
      <sz val="8"/>
      <color rgb="FFFF0000"/>
      <name val="Calibri"/>
      <family val="2"/>
      <scheme val="minor"/>
    </font>
    <font>
      <sz val="9"/>
      <color indexed="81"/>
      <name val="Tahoma"/>
      <family val="2"/>
    </font>
    <font>
      <b/>
      <sz val="9"/>
      <color indexed="81"/>
      <name val="Tahoma"/>
      <family val="2"/>
    </font>
    <font>
      <b/>
      <sz val="11"/>
      <color theme="0"/>
      <name val="Calibri"/>
      <family val="2"/>
      <scheme val="minor"/>
    </font>
    <font>
      <sz val="11"/>
      <color rgb="FFFF0000"/>
      <name val="Calibri"/>
      <family val="2"/>
      <scheme val="minor"/>
    </font>
    <font>
      <sz val="8"/>
      <color theme="1"/>
      <name val="Calibri"/>
      <family val="2"/>
      <scheme val="minor"/>
    </font>
    <font>
      <b/>
      <sz val="14"/>
      <color theme="0"/>
      <name val="Calibri"/>
      <family val="2"/>
      <scheme val="minor"/>
    </font>
    <font>
      <b/>
      <u/>
      <sz val="11"/>
      <color theme="1"/>
      <name val="Calibri"/>
      <family val="2"/>
      <scheme val="minor"/>
    </font>
    <font>
      <b/>
      <sz val="10"/>
      <color theme="1"/>
      <name val="Calibri"/>
      <family val="2"/>
      <scheme val="minor"/>
    </font>
    <font>
      <b/>
      <sz val="14"/>
      <color rgb="FFFF0000"/>
      <name val="Calibri"/>
      <family val="2"/>
      <scheme val="minor"/>
    </font>
    <font>
      <b/>
      <sz val="11"/>
      <color rgb="FFFF0000"/>
      <name val="Calibri"/>
      <family val="2"/>
      <scheme val="minor"/>
    </font>
    <font>
      <b/>
      <sz val="10"/>
      <color rgb="FFFF0000"/>
      <name val="Calibri"/>
      <family val="2"/>
      <scheme val="minor"/>
    </font>
    <font>
      <sz val="11"/>
      <color theme="1"/>
      <name val="Times New Roman"/>
      <family val="1"/>
    </font>
    <font>
      <sz val="12"/>
      <color theme="1"/>
      <name val="Times New Roman"/>
      <family val="1"/>
    </font>
    <font>
      <vertAlign val="superscript"/>
      <sz val="12"/>
      <color theme="1"/>
      <name val="Times New Roman"/>
      <family val="1"/>
    </font>
    <font>
      <vertAlign val="superscript"/>
      <sz val="8"/>
      <color theme="1"/>
      <name val="Calibri"/>
      <family val="2"/>
      <scheme val="minor"/>
    </font>
    <font>
      <sz val="10"/>
      <color theme="1"/>
      <name val="Arial"/>
      <family val="2"/>
    </font>
    <font>
      <b/>
      <sz val="11"/>
      <name val="Calibri"/>
      <family val="2"/>
      <scheme val="minor"/>
    </font>
    <font>
      <b/>
      <sz val="10"/>
      <name val="Calibri"/>
      <family val="2"/>
      <scheme val="minor"/>
    </font>
    <font>
      <sz val="10"/>
      <name val="Times New Roman"/>
      <family val="1"/>
    </font>
    <font>
      <sz val="10"/>
      <color rgb="FFFF0000"/>
      <name val="Times New Roman"/>
      <family val="1"/>
    </font>
    <font>
      <b/>
      <sz val="8"/>
      <color indexed="81"/>
      <name val="Tahoma"/>
      <family val="2"/>
    </font>
    <font>
      <b/>
      <u/>
      <sz val="11"/>
      <name val="Calibri"/>
      <family val="2"/>
      <scheme val="minor"/>
    </font>
    <font>
      <sz val="11"/>
      <color theme="0" tint="-4.9989318521683403E-2"/>
      <name val="Calibri"/>
      <family val="2"/>
      <scheme val="minor"/>
    </font>
    <font>
      <sz val="11"/>
      <color rgb="FF000000"/>
      <name val="Calibri"/>
      <family val="2"/>
      <scheme val="minor"/>
    </font>
    <font>
      <b/>
      <sz val="14"/>
      <color theme="0" tint="-4.9989318521683403E-2"/>
      <name val="Calibri"/>
      <family val="2"/>
      <scheme val="minor"/>
    </font>
    <font>
      <b/>
      <i/>
      <sz val="11"/>
      <name val="Calibri"/>
      <family val="2"/>
      <scheme val="minor"/>
    </font>
    <font>
      <sz val="10"/>
      <name val="Times New Roman"/>
      <family val="1"/>
      <charset val="204"/>
    </font>
    <font>
      <sz val="11"/>
      <color indexed="8"/>
      <name val="Calibri"/>
      <family val="2"/>
      <scheme val="minor"/>
    </font>
    <font>
      <b/>
      <i/>
      <sz val="11"/>
      <color theme="1"/>
      <name val="Calibri"/>
      <family val="2"/>
      <scheme val="minor"/>
    </font>
    <font>
      <i/>
      <sz val="11"/>
      <color theme="1"/>
      <name val="Calibri"/>
      <family val="2"/>
      <scheme val="minor"/>
    </font>
    <font>
      <b/>
      <sz val="10"/>
      <color indexed="8"/>
      <name val="Arial"/>
      <family val="2"/>
    </font>
    <font>
      <sz val="10"/>
      <color indexed="8"/>
      <name val="Arial"/>
      <family val="2"/>
    </font>
    <font>
      <sz val="10"/>
      <color indexed="8"/>
      <name val="Arial"/>
      <family val="1"/>
      <charset val="204"/>
    </font>
    <font>
      <b/>
      <i/>
      <sz val="10"/>
      <color indexed="8"/>
      <name val="Arial"/>
      <family val="1"/>
      <charset val="204"/>
    </font>
    <font>
      <b/>
      <sz val="12"/>
      <color theme="1"/>
      <name val="Calibri"/>
      <family val="2"/>
      <scheme val="minor"/>
    </font>
    <font>
      <u/>
      <sz val="11"/>
      <color theme="1"/>
      <name val="Calibri"/>
      <family val="2"/>
      <scheme val="minor"/>
    </font>
    <font>
      <sz val="10"/>
      <name val="Arial"/>
      <family val="2"/>
    </font>
    <font>
      <sz val="12"/>
      <name val="Arial"/>
      <family val="2"/>
    </font>
    <font>
      <b/>
      <sz val="10"/>
      <name val="Arial"/>
      <family val="2"/>
    </font>
    <font>
      <sz val="8"/>
      <color indexed="81"/>
      <name val="Tahoma"/>
      <family val="2"/>
    </font>
    <font>
      <sz val="10"/>
      <color theme="1"/>
      <name val="Times New Roman"/>
      <family val="2"/>
    </font>
    <font>
      <sz val="11"/>
      <color rgb="FF000000"/>
      <name val="Calibri"/>
      <family val="2"/>
    </font>
    <font>
      <b/>
      <u/>
      <sz val="9"/>
      <color indexed="81"/>
      <name val="Tahoma"/>
      <family val="2"/>
    </font>
    <font>
      <sz val="12"/>
      <color theme="1"/>
      <name val="Calibri"/>
      <family val="2"/>
      <scheme val="minor"/>
    </font>
    <font>
      <u/>
      <sz val="11"/>
      <color theme="10"/>
      <name val="Calibri"/>
      <family val="2"/>
      <scheme val="minor"/>
    </font>
    <font>
      <sz val="9"/>
      <color rgb="FF000000"/>
      <name val="Verdana"/>
      <family val="2"/>
    </font>
    <font>
      <b/>
      <sz val="10"/>
      <color rgb="FF333333"/>
      <name val="Arial"/>
      <family val="2"/>
    </font>
    <font>
      <b/>
      <sz val="10"/>
      <color rgb="FF104E8B"/>
      <name val="Arial"/>
      <family val="2"/>
    </font>
    <font>
      <b/>
      <sz val="16"/>
      <name val="Arial"/>
      <family val="2"/>
    </font>
    <font>
      <b/>
      <sz val="12"/>
      <name val="Arial"/>
      <family val="2"/>
    </font>
    <font>
      <b/>
      <sz val="14"/>
      <name val="Arial"/>
      <family val="2"/>
    </font>
    <font>
      <b/>
      <sz val="8"/>
      <name val="Arial"/>
      <family val="2"/>
    </font>
    <font>
      <sz val="11"/>
      <color rgb="FF0070C0"/>
      <name val="Calibri"/>
      <family val="2"/>
      <scheme val="minor"/>
    </font>
    <font>
      <b/>
      <sz val="14"/>
      <color theme="1"/>
      <name val="Calibri"/>
      <family val="2"/>
      <scheme val="minor"/>
    </font>
    <font>
      <sz val="14"/>
      <color rgb="FFFF0000"/>
      <name val="Calibri"/>
      <family val="2"/>
      <scheme val="minor"/>
    </font>
    <font>
      <sz val="14"/>
      <color theme="1"/>
      <name val="Calibri"/>
      <family val="2"/>
      <scheme val="minor"/>
    </font>
    <font>
      <sz val="11"/>
      <color theme="1"/>
      <name val="Calibri"/>
      <family val="2"/>
    </font>
    <font>
      <b/>
      <sz val="8.25"/>
      <color rgb="FF000000"/>
      <name val="Verdana"/>
      <family val="2"/>
    </font>
    <font>
      <sz val="8.25"/>
      <color rgb="FF000000"/>
      <name val="Verdana"/>
      <family val="2"/>
    </font>
  </fonts>
  <fills count="38">
    <fill>
      <patternFill patternType="none"/>
    </fill>
    <fill>
      <patternFill patternType="gray125"/>
    </fill>
    <fill>
      <patternFill patternType="solid">
        <fgColor rgb="FFD9E2F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rgb="FFFFFF00"/>
        <bgColor indexed="64"/>
      </patternFill>
    </fill>
    <fill>
      <patternFill patternType="solid">
        <fgColor theme="5" tint="0.59999389629810485"/>
        <bgColor indexed="64"/>
      </patternFill>
    </fill>
    <fill>
      <patternFill patternType="solid">
        <fgColor rgb="FFBFEFFF"/>
        <bgColor indexed="64"/>
      </patternFill>
    </fill>
    <fill>
      <patternFill patternType="solid">
        <fgColor rgb="FFFCFCFC"/>
        <bgColor indexed="64"/>
      </patternFill>
    </fill>
    <fill>
      <patternFill patternType="solid">
        <fgColor rgb="FFEBEBEB"/>
        <bgColor indexed="64"/>
      </patternFill>
    </fill>
    <fill>
      <patternFill patternType="solid">
        <fgColor rgb="FFFFC000"/>
        <bgColor indexed="64"/>
      </patternFill>
    </fill>
    <fill>
      <patternFill patternType="solid">
        <fgColor indexed="13"/>
        <bgColor indexed="64"/>
      </patternFill>
    </fill>
    <fill>
      <patternFill patternType="solid">
        <fgColor rgb="FF92D050"/>
        <bgColor indexed="64"/>
      </patternFill>
    </fill>
    <fill>
      <patternFill patternType="solid">
        <fgColor rgb="FF00B0F0"/>
        <bgColor indexed="64"/>
      </patternFill>
    </fill>
    <fill>
      <patternFill patternType="solid">
        <fgColor indexed="22"/>
        <bgColor indexed="64"/>
      </patternFill>
    </fill>
    <fill>
      <patternFill patternType="solid">
        <fgColor theme="4" tint="0.79998168889431442"/>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
      <patternFill patternType="solid">
        <fgColor theme="9" tint="0.59999389629810485"/>
        <bgColor indexed="64"/>
      </patternFill>
    </fill>
    <fill>
      <patternFill patternType="solid">
        <fgColor rgb="FF8D9D38"/>
        <bgColor indexed="64"/>
      </patternFill>
    </fill>
    <fill>
      <patternFill patternType="solid">
        <fgColor rgb="FFD0DB99"/>
        <bgColor indexed="64"/>
      </patternFill>
    </fill>
    <fill>
      <patternFill patternType="solid">
        <fgColor rgb="FFE4EAC4"/>
        <bgColor indexed="64"/>
      </patternFill>
    </fill>
    <fill>
      <patternFill patternType="solid">
        <fgColor rgb="FFFFFFFF"/>
        <bgColor indexed="64"/>
      </patternFill>
    </fill>
    <fill>
      <patternFill patternType="solid">
        <fgColor rgb="FFBEC195"/>
        <bgColor indexed="64"/>
      </patternFill>
    </fill>
    <fill>
      <patternFill patternType="solid">
        <fgColor rgb="FFE2E4FF"/>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top/>
      <bottom/>
      <diagonal/>
    </border>
    <border>
      <left style="thin">
        <color rgb="FF000000"/>
      </left>
      <right/>
      <top/>
      <bottom style="thin">
        <color indexed="64"/>
      </bottom>
      <diagonal/>
    </border>
    <border>
      <left/>
      <right/>
      <top style="thin">
        <color rgb="FFBD9F1B"/>
      </top>
      <bottom/>
      <diagonal/>
    </border>
    <border>
      <left/>
      <right style="thin">
        <color rgb="FFD5D5D5"/>
      </right>
      <top style="thin">
        <color rgb="FFD5D5D5"/>
      </top>
      <bottom style="thin">
        <color rgb="FFD5D5D5"/>
      </bottom>
      <diagonal/>
    </border>
    <border>
      <left style="thin">
        <color rgb="FFD5D5D5"/>
      </left>
      <right style="thin">
        <color rgb="FFD5D5D5"/>
      </right>
      <top style="thin">
        <color rgb="FFD5D5D5"/>
      </top>
      <bottom style="thin">
        <color rgb="FFD5D5D5"/>
      </bottom>
      <diagonal/>
    </border>
    <border>
      <left style="thin">
        <color rgb="FFD5D5D5"/>
      </left>
      <right/>
      <top style="thin">
        <color rgb="FFD5D5D5"/>
      </top>
      <bottom style="thin">
        <color rgb="FFD5D5D5"/>
      </bottom>
      <diagonal/>
    </border>
    <border>
      <left/>
      <right style="thin">
        <color rgb="FFD5D5D5"/>
      </right>
      <top style="thin">
        <color rgb="FFD5D5D5"/>
      </top>
      <bottom style="thin">
        <color rgb="FF000000"/>
      </bottom>
      <diagonal/>
    </border>
    <border>
      <left style="thin">
        <color rgb="FFD5D5D5"/>
      </left>
      <right style="thin">
        <color rgb="FFD5D5D5"/>
      </right>
      <top style="thin">
        <color rgb="FFD5D5D5"/>
      </top>
      <bottom style="thin">
        <color rgb="FF000000"/>
      </bottom>
      <diagonal/>
    </border>
    <border>
      <left style="thin">
        <color rgb="FFD5D5D5"/>
      </left>
      <right/>
      <top style="thin">
        <color rgb="FFD5D5D5"/>
      </top>
      <bottom style="thin">
        <color rgb="FF000000"/>
      </bottom>
      <diagonal/>
    </border>
    <border>
      <left style="thin">
        <color rgb="FFD5D5D5"/>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style="medium">
        <color indexed="64"/>
      </left>
      <right/>
      <top/>
      <bottom/>
      <diagonal/>
    </border>
    <border>
      <left/>
      <right style="thick">
        <color indexed="64"/>
      </right>
      <top/>
      <bottom/>
      <diagonal/>
    </border>
    <border>
      <left/>
      <right style="thick">
        <color indexed="64"/>
      </right>
      <top/>
      <bottom style="medium">
        <color indexed="64"/>
      </bottom>
      <diagonal/>
    </border>
    <border>
      <left style="medium">
        <color rgb="FFBDBDBD"/>
      </left>
      <right style="medium">
        <color rgb="FFBDBDBD"/>
      </right>
      <top style="medium">
        <color rgb="FFBDBDBD"/>
      </top>
      <bottom style="medium">
        <color rgb="FFBDBDBD"/>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right/>
      <top/>
      <bottom style="medium">
        <color rgb="FF000000"/>
      </bottom>
      <diagonal/>
    </border>
  </borders>
  <cellStyleXfs count="9">
    <xf numFmtId="0" fontId="0" fillId="0" borderId="0"/>
    <xf numFmtId="9" fontId="1" fillId="0" borderId="0" applyFont="0" applyFill="0" applyBorder="0" applyAlignment="0" applyProtection="0"/>
    <xf numFmtId="0" fontId="49" fillId="0" borderId="0"/>
    <xf numFmtId="0" fontId="49" fillId="0" borderId="0"/>
    <xf numFmtId="9" fontId="48" fillId="0" borderId="0" applyFont="0" applyFill="0" applyBorder="0" applyAlignment="0" applyProtection="0"/>
    <xf numFmtId="0" fontId="48" fillId="0" borderId="0"/>
    <xf numFmtId="0" fontId="52" fillId="0" borderId="0"/>
    <xf numFmtId="43" fontId="1" fillId="0" borderId="0" applyFont="0" applyFill="0" applyBorder="0" applyAlignment="0" applyProtection="0"/>
    <xf numFmtId="0" fontId="56" fillId="0" borderId="0" applyNumberFormat="0" applyFill="0" applyBorder="0" applyAlignment="0" applyProtection="0"/>
  </cellStyleXfs>
  <cellXfs count="785">
    <xf numFmtId="0" fontId="0" fillId="0" borderId="0" xfId="0"/>
    <xf numFmtId="0" fontId="0" fillId="0" borderId="0" xfId="0"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 fillId="0" borderId="6" xfId="0" applyFont="1" applyBorder="1" applyAlignment="1">
      <alignment horizontal="center" vertical="center" wrapText="1"/>
    </xf>
    <xf numFmtId="9" fontId="1" fillId="0" borderId="6" xfId="0" applyNumberFormat="1" applyFont="1" applyBorder="1" applyAlignment="1">
      <alignment horizontal="center" vertical="center" wrapText="1"/>
    </xf>
    <xf numFmtId="0" fontId="0" fillId="0" borderId="6" xfId="0" quotePrefix="1" applyBorder="1" applyAlignment="1">
      <alignment horizontal="center" vertical="center" wrapText="1"/>
    </xf>
    <xf numFmtId="0" fontId="1" fillId="0" borderId="5" xfId="0" applyFont="1" applyBorder="1" applyAlignment="1">
      <alignment horizontal="center" vertical="center" wrapText="1"/>
    </xf>
    <xf numFmtId="0" fontId="1" fillId="0" borderId="14" xfId="0" applyFont="1" applyBorder="1" applyAlignment="1">
      <alignment horizontal="center" vertical="center" wrapText="1"/>
    </xf>
    <xf numFmtId="0" fontId="0" fillId="0" borderId="14" xfId="0" applyBorder="1" applyAlignment="1">
      <alignment horizontal="center" vertical="center" wrapText="1"/>
    </xf>
    <xf numFmtId="3" fontId="5" fillId="0" borderId="0" xfId="0" applyNumberFormat="1" applyFont="1" applyAlignment="1">
      <alignment wrapText="1"/>
    </xf>
    <xf numFmtId="0" fontId="5" fillId="0" borderId="0" xfId="0" applyFont="1" applyAlignment="1">
      <alignment wrapText="1"/>
    </xf>
    <xf numFmtId="3" fontId="6" fillId="0" borderId="0" xfId="0" applyNumberFormat="1" applyFont="1" applyAlignment="1">
      <alignment wrapText="1"/>
    </xf>
    <xf numFmtId="0" fontId="6" fillId="0" borderId="0" xfId="0" applyFont="1" applyAlignment="1">
      <alignment wrapText="1"/>
    </xf>
    <xf numFmtId="0" fontId="0" fillId="0" borderId="6" xfId="0" applyBorder="1" applyAlignment="1">
      <alignment horizontal="center" vertical="center" wrapText="1"/>
    </xf>
    <xf numFmtId="10" fontId="1" fillId="0" borderId="6" xfId="0" applyNumberFormat="1" applyFont="1" applyBorder="1" applyAlignment="1">
      <alignment horizontal="center" vertical="center" wrapText="1"/>
    </xf>
    <xf numFmtId="0" fontId="0" fillId="0" borderId="0" xfId="0" quotePrefix="1"/>
    <xf numFmtId="0" fontId="2" fillId="0" borderId="0" xfId="0" applyFont="1"/>
    <xf numFmtId="0" fontId="2" fillId="4" borderId="0" xfId="0" applyFont="1" applyFill="1"/>
    <xf numFmtId="0" fontId="0" fillId="4" borderId="0" xfId="0" applyFill="1"/>
    <xf numFmtId="0" fontId="7" fillId="4" borderId="0" xfId="0" applyFont="1" applyFill="1" applyAlignment="1">
      <alignment vertical="center"/>
    </xf>
    <xf numFmtId="0" fontId="9" fillId="4" borderId="0" xfId="0" applyFont="1" applyFill="1" applyAlignment="1">
      <alignment vertical="center"/>
    </xf>
    <xf numFmtId="0" fontId="5" fillId="0" borderId="0" xfId="0" applyFont="1"/>
    <xf numFmtId="0" fontId="0" fillId="5" borderId="0" xfId="0" applyFill="1"/>
    <xf numFmtId="0" fontId="2" fillId="6" borderId="0" xfId="0" applyFont="1" applyFill="1" applyAlignment="1">
      <alignment horizontal="center" vertical="center" wrapText="1"/>
    </xf>
    <xf numFmtId="0" fontId="0" fillId="0" borderId="15" xfId="0" applyBorder="1"/>
    <xf numFmtId="0" fontId="0" fillId="5" borderId="16" xfId="0" applyFill="1" applyBorder="1"/>
    <xf numFmtId="0" fontId="0" fillId="0" borderId="16" xfId="0" applyBorder="1"/>
    <xf numFmtId="0" fontId="17" fillId="5" borderId="0" xfId="0" applyFont="1" applyFill="1"/>
    <xf numFmtId="0" fontId="0" fillId="7" borderId="0" xfId="0" applyFill="1"/>
    <xf numFmtId="0" fontId="2" fillId="8" borderId="17" xfId="0" applyFont="1" applyFill="1" applyBorder="1" applyAlignment="1">
      <alignment horizontal="center" vertical="center"/>
    </xf>
    <xf numFmtId="0" fontId="2" fillId="8" borderId="15" xfId="0" applyFont="1" applyFill="1" applyBorder="1" applyAlignment="1">
      <alignment horizontal="center" vertical="center"/>
    </xf>
    <xf numFmtId="3" fontId="10" fillId="0" borderId="0" xfId="0" applyNumberFormat="1" applyFont="1"/>
    <xf numFmtId="3" fontId="15" fillId="0" borderId="0" xfId="0" applyNumberFormat="1" applyFont="1"/>
    <xf numFmtId="0" fontId="20" fillId="7" borderId="0" xfId="0" applyFont="1" applyFill="1" applyAlignment="1">
      <alignment vertical="center"/>
    </xf>
    <xf numFmtId="0" fontId="15" fillId="7" borderId="0" xfId="0" applyFont="1" applyFill="1" applyAlignment="1">
      <alignment vertical="center"/>
    </xf>
    <xf numFmtId="0" fontId="21" fillId="7" borderId="0" xfId="0" applyFont="1" applyFill="1" applyAlignment="1">
      <alignment vertical="center"/>
    </xf>
    <xf numFmtId="0" fontId="15" fillId="7" borderId="0" xfId="0" applyFont="1" applyFill="1"/>
    <xf numFmtId="0" fontId="15" fillId="0" borderId="0" xfId="0" applyFont="1"/>
    <xf numFmtId="0" fontId="15" fillId="0" borderId="16" xfId="0" applyFont="1" applyBorder="1"/>
    <xf numFmtId="0" fontId="5" fillId="0" borderId="15" xfId="0" applyFont="1" applyBorder="1"/>
    <xf numFmtId="0" fontId="0" fillId="6" borderId="0" xfId="0" applyFill="1"/>
    <xf numFmtId="0" fontId="2" fillId="6" borderId="16" xfId="0" applyFont="1" applyFill="1" applyBorder="1" applyAlignment="1">
      <alignment horizontal="center" vertical="center" wrapText="1"/>
    </xf>
    <xf numFmtId="3" fontId="0" fillId="0" borderId="0" xfId="0" applyNumberFormat="1" applyAlignment="1">
      <alignment horizontal="center" vertical="center" wrapText="1"/>
    </xf>
    <xf numFmtId="3" fontId="0" fillId="4" borderId="16" xfId="0" applyNumberFormat="1" applyFill="1" applyBorder="1" applyAlignment="1">
      <alignment horizontal="center" vertical="center" wrapText="1"/>
    </xf>
    <xf numFmtId="3" fontId="0" fillId="0" borderId="16" xfId="0" applyNumberFormat="1" applyBorder="1" applyAlignment="1">
      <alignment horizontal="center" vertical="center" wrapText="1"/>
    </xf>
    <xf numFmtId="0" fontId="0" fillId="0" borderId="0" xfId="0" quotePrefix="1" applyAlignment="1">
      <alignment horizontal="center" vertical="center" wrapText="1"/>
    </xf>
    <xf numFmtId="3" fontId="0" fillId="0" borderId="0" xfId="0" applyNumberFormat="1"/>
    <xf numFmtId="0" fontId="0" fillId="0" borderId="15" xfId="0" applyBorder="1" applyAlignment="1">
      <alignment horizontal="center" vertical="center" wrapText="1"/>
    </xf>
    <xf numFmtId="3" fontId="0" fillId="0" borderId="15" xfId="0" applyNumberFormat="1" applyBorder="1" applyAlignment="1">
      <alignment horizontal="center" vertical="center" wrapText="1"/>
    </xf>
    <xf numFmtId="3" fontId="0" fillId="4" borderId="17" xfId="0" applyNumberFormat="1" applyFill="1" applyBorder="1" applyAlignment="1">
      <alignment horizontal="center" vertical="center" wrapText="1"/>
    </xf>
    <xf numFmtId="3" fontId="0" fillId="0" borderId="17" xfId="0" applyNumberFormat="1" applyBorder="1" applyAlignment="1">
      <alignment horizontal="center" vertical="center" wrapText="1"/>
    </xf>
    <xf numFmtId="0" fontId="0" fillId="0" borderId="0" xfId="0" quotePrefix="1" applyAlignment="1">
      <alignment horizontal="center"/>
    </xf>
    <xf numFmtId="3" fontId="0" fillId="3" borderId="0" xfId="0" applyNumberFormat="1" applyFill="1" applyAlignment="1">
      <alignment horizontal="center" vertical="center" wrapText="1"/>
    </xf>
    <xf numFmtId="0" fontId="0" fillId="3" borderId="0" xfId="0" quotePrefix="1" applyFill="1" applyAlignment="1">
      <alignment horizontal="center" vertical="center" wrapText="1"/>
    </xf>
    <xf numFmtId="3" fontId="0" fillId="3" borderId="15" xfId="0" applyNumberFormat="1" applyFill="1" applyBorder="1" applyAlignment="1">
      <alignment horizontal="center" vertical="center" wrapText="1"/>
    </xf>
    <xf numFmtId="3" fontId="23" fillId="0" borderId="0" xfId="0" applyNumberFormat="1" applyFont="1" applyAlignment="1">
      <alignment wrapText="1"/>
    </xf>
    <xf numFmtId="3" fontId="0" fillId="0" borderId="0" xfId="0" applyNumberFormat="1" applyAlignment="1">
      <alignment wrapText="1"/>
    </xf>
    <xf numFmtId="0" fontId="0" fillId="0" borderId="0" xfId="0" applyAlignment="1">
      <alignment wrapText="1"/>
    </xf>
    <xf numFmtId="0" fontId="23" fillId="0" borderId="0" xfId="0" applyFont="1" applyAlignment="1">
      <alignment wrapText="1"/>
    </xf>
    <xf numFmtId="0" fontId="0" fillId="6" borderId="0" xfId="0" applyFill="1" applyAlignment="1">
      <alignment horizontal="center" vertical="center"/>
    </xf>
    <xf numFmtId="0" fontId="15" fillId="5" borderId="0" xfId="0" applyFont="1" applyFill="1"/>
    <xf numFmtId="0" fontId="21" fillId="6" borderId="0" xfId="0" applyFont="1" applyFill="1" applyAlignment="1">
      <alignment horizontal="center" vertical="center" wrapText="1"/>
    </xf>
    <xf numFmtId="3" fontId="15" fillId="0" borderId="0" xfId="0" applyNumberFormat="1" applyFont="1" applyAlignment="1">
      <alignment horizontal="center" vertical="center" wrapText="1"/>
    </xf>
    <xf numFmtId="3" fontId="15" fillId="0" borderId="15" xfId="0" applyNumberFormat="1" applyFont="1" applyBorder="1" applyAlignment="1">
      <alignment horizontal="center" vertical="center" wrapText="1"/>
    </xf>
    <xf numFmtId="3" fontId="15" fillId="3" borderId="0" xfId="0" applyNumberFormat="1" applyFont="1" applyFill="1" applyAlignment="1">
      <alignment horizontal="center" vertical="center" wrapText="1"/>
    </xf>
    <xf numFmtId="3" fontId="15" fillId="3" borderId="15" xfId="0" applyNumberFormat="1" applyFont="1" applyFill="1" applyBorder="1" applyAlignment="1">
      <alignment horizontal="center" vertical="center" wrapText="1"/>
    </xf>
    <xf numFmtId="0" fontId="15" fillId="5" borderId="0" xfId="0" applyFont="1" applyFill="1" applyAlignment="1">
      <alignment horizontal="center"/>
    </xf>
    <xf numFmtId="0" fontId="15" fillId="5" borderId="16" xfId="0" applyFont="1" applyFill="1" applyBorder="1"/>
    <xf numFmtId="3" fontId="15" fillId="0" borderId="16" xfId="0" applyNumberFormat="1" applyFont="1" applyBorder="1" applyAlignment="1">
      <alignment horizontal="center" vertical="center" wrapText="1"/>
    </xf>
    <xf numFmtId="3" fontId="15" fillId="0" borderId="17" xfId="0" applyNumberFormat="1" applyFont="1" applyBorder="1" applyAlignment="1">
      <alignment horizontal="center" vertical="center" wrapText="1"/>
    </xf>
    <xf numFmtId="3" fontId="15" fillId="3" borderId="16" xfId="0" applyNumberFormat="1" applyFont="1" applyFill="1" applyBorder="1" applyAlignment="1">
      <alignment horizontal="center" vertical="center" wrapText="1"/>
    </xf>
    <xf numFmtId="3" fontId="15" fillId="3" borderId="17" xfId="0" applyNumberFormat="1" applyFont="1" applyFill="1" applyBorder="1" applyAlignment="1">
      <alignment horizontal="center" vertical="center" wrapText="1"/>
    </xf>
    <xf numFmtId="0" fontId="15" fillId="0" borderId="0" xfId="0" applyFont="1" applyAlignment="1">
      <alignment horizontal="center"/>
    </xf>
    <xf numFmtId="0" fontId="15" fillId="6" borderId="0" xfId="0" applyFont="1" applyFill="1"/>
    <xf numFmtId="0" fontId="24" fillId="0" borderId="0" xfId="0" applyFont="1"/>
    <xf numFmtId="0" fontId="19" fillId="0" borderId="0" xfId="0" applyFont="1"/>
    <xf numFmtId="0" fontId="19" fillId="0" borderId="0" xfId="0" applyFont="1" applyAlignment="1">
      <alignment wrapText="1"/>
    </xf>
    <xf numFmtId="0" fontId="19" fillId="0" borderId="0" xfId="0" applyFont="1" applyAlignment="1">
      <alignment horizontal="center" wrapText="1"/>
    </xf>
    <xf numFmtId="0" fontId="5" fillId="0" borderId="30" xfId="0" applyFont="1" applyBorder="1"/>
    <xf numFmtId="0" fontId="6" fillId="0" borderId="22" xfId="0" applyFont="1" applyBorder="1" applyAlignment="1">
      <alignment wrapText="1"/>
    </xf>
    <xf numFmtId="3" fontId="6" fillId="0" borderId="22" xfId="0" applyNumberFormat="1" applyFont="1" applyBorder="1" applyAlignment="1">
      <alignment wrapText="1"/>
    </xf>
    <xf numFmtId="0" fontId="5" fillId="0" borderId="31" xfId="0" applyFont="1" applyBorder="1"/>
    <xf numFmtId="0" fontId="5" fillId="0" borderId="15" xfId="0" applyFont="1" applyBorder="1" applyAlignment="1">
      <alignment wrapText="1"/>
    </xf>
    <xf numFmtId="3" fontId="5" fillId="0" borderId="15" xfId="0" applyNumberFormat="1" applyFont="1" applyBorder="1" applyAlignment="1">
      <alignment wrapText="1"/>
    </xf>
    <xf numFmtId="3" fontId="6" fillId="0" borderId="15" xfId="0" applyNumberFormat="1" applyFont="1" applyBorder="1" applyAlignment="1">
      <alignment wrapText="1"/>
    </xf>
    <xf numFmtId="0" fontId="6" fillId="0" borderId="15" xfId="0" applyFont="1" applyBorder="1" applyAlignment="1">
      <alignment wrapText="1"/>
    </xf>
    <xf numFmtId="0" fontId="5" fillId="0" borderId="30" xfId="0" applyFont="1" applyBorder="1" applyAlignment="1">
      <alignment wrapText="1"/>
    </xf>
    <xf numFmtId="0" fontId="5" fillId="0" borderId="31" xfId="0" applyFont="1" applyBorder="1" applyAlignment="1">
      <alignment wrapText="1"/>
    </xf>
    <xf numFmtId="0" fontId="5" fillId="0" borderId="0" xfId="0" quotePrefix="1" applyFont="1" applyAlignment="1">
      <alignment wrapText="1"/>
    </xf>
    <xf numFmtId="3" fontId="5" fillId="0" borderId="32" xfId="0" applyNumberFormat="1" applyFont="1" applyBorder="1" applyAlignment="1">
      <alignment wrapText="1"/>
    </xf>
    <xf numFmtId="0" fontId="5" fillId="0" borderId="32" xfId="0" applyFont="1" applyBorder="1" applyAlignment="1">
      <alignment wrapText="1"/>
    </xf>
    <xf numFmtId="0" fontId="27" fillId="0" borderId="0" xfId="0" applyFont="1" applyAlignment="1">
      <alignment wrapText="1"/>
    </xf>
    <xf numFmtId="3" fontId="27" fillId="0" borderId="0" xfId="0" applyNumberFormat="1" applyFont="1" applyAlignment="1">
      <alignment wrapText="1"/>
    </xf>
    <xf numFmtId="0" fontId="27" fillId="0" borderId="15" xfId="0" applyFont="1" applyBorder="1" applyAlignment="1">
      <alignment wrapText="1"/>
    </xf>
    <xf numFmtId="0" fontId="15" fillId="6" borderId="16" xfId="0" applyFont="1" applyFill="1" applyBorder="1"/>
    <xf numFmtId="0" fontId="18" fillId="6" borderId="0" xfId="0" applyFont="1" applyFill="1"/>
    <xf numFmtId="0" fontId="18" fillId="6" borderId="0" xfId="0" applyFont="1" applyFill="1" applyAlignment="1">
      <alignment horizontal="center"/>
    </xf>
    <xf numFmtId="3" fontId="0" fillId="0" borderId="0" xfId="0" applyNumberFormat="1" applyAlignment="1">
      <alignment horizontal="center"/>
    </xf>
    <xf numFmtId="0" fontId="21" fillId="6" borderId="0" xfId="0" applyFont="1" applyFill="1"/>
    <xf numFmtId="3" fontId="10" fillId="0" borderId="16" xfId="0" applyNumberFormat="1" applyFont="1" applyBorder="1" applyAlignment="1">
      <alignment horizontal="center" vertical="center" wrapText="1"/>
    </xf>
    <xf numFmtId="3" fontId="10" fillId="0" borderId="17" xfId="0" applyNumberFormat="1" applyFont="1" applyBorder="1" applyAlignment="1">
      <alignment horizontal="center" vertical="center" wrapText="1"/>
    </xf>
    <xf numFmtId="0" fontId="28" fillId="6" borderId="16" xfId="0" applyFont="1" applyFill="1" applyBorder="1" applyAlignment="1">
      <alignment horizontal="center" vertical="center" wrapText="1"/>
    </xf>
    <xf numFmtId="3" fontId="10" fillId="0" borderId="0" xfId="0" applyNumberFormat="1" applyFont="1" applyAlignment="1">
      <alignment horizontal="center" vertical="center" wrapText="1"/>
    </xf>
    <xf numFmtId="0" fontId="21" fillId="0" borderId="0" xfId="0" applyFont="1"/>
    <xf numFmtId="0" fontId="29" fillId="0" borderId="0" xfId="0" applyFont="1" applyAlignment="1">
      <alignment horizontal="center" wrapText="1"/>
    </xf>
    <xf numFmtId="3" fontId="30" fillId="0" borderId="0" xfId="0" applyNumberFormat="1" applyFont="1" applyAlignment="1">
      <alignment wrapText="1"/>
    </xf>
    <xf numFmtId="0" fontId="30" fillId="0" borderId="0" xfId="0" applyFont="1" applyAlignment="1">
      <alignment wrapText="1"/>
    </xf>
    <xf numFmtId="0" fontId="31" fillId="0" borderId="0" xfId="0" applyFont="1" applyAlignment="1">
      <alignment wrapText="1"/>
    </xf>
    <xf numFmtId="3" fontId="0" fillId="0" borderId="21" xfId="0" applyNumberFormat="1" applyBorder="1"/>
    <xf numFmtId="0" fontId="0" fillId="0" borderId="20" xfId="0" applyBorder="1"/>
    <xf numFmtId="3" fontId="0" fillId="0" borderId="16" xfId="0" applyNumberFormat="1" applyBorder="1"/>
    <xf numFmtId="3" fontId="0" fillId="0" borderId="17" xfId="0" applyNumberFormat="1" applyBorder="1"/>
    <xf numFmtId="0" fontId="0" fillId="0" borderId="23" xfId="0" applyBorder="1"/>
    <xf numFmtId="0" fontId="0" fillId="0" borderId="27" xfId="0" applyBorder="1"/>
    <xf numFmtId="0" fontId="0" fillId="5" borderId="0" xfId="0" applyFill="1" applyAlignment="1">
      <alignment horizontal="center"/>
    </xf>
    <xf numFmtId="3" fontId="30" fillId="0" borderId="15" xfId="0" applyNumberFormat="1" applyFont="1" applyBorder="1" applyAlignment="1">
      <alignment wrapText="1"/>
    </xf>
    <xf numFmtId="0" fontId="0" fillId="6" borderId="0" xfId="0" applyFill="1" applyAlignment="1">
      <alignment horizontal="center" vertical="center" wrapText="1"/>
    </xf>
    <xf numFmtId="0" fontId="2" fillId="6" borderId="0" xfId="0" applyFont="1" applyFill="1" applyAlignment="1">
      <alignment horizontal="center" vertical="center"/>
    </xf>
    <xf numFmtId="0" fontId="2" fillId="8" borderId="27" xfId="0" applyFont="1" applyFill="1" applyBorder="1" applyAlignment="1">
      <alignment horizontal="center" vertical="center"/>
    </xf>
    <xf numFmtId="0" fontId="2" fillId="8" borderId="16" xfId="0" applyFont="1" applyFill="1" applyBorder="1" applyAlignment="1">
      <alignment horizontal="center" vertical="center"/>
    </xf>
    <xf numFmtId="3" fontId="0" fillId="0" borderId="16" xfId="0" applyNumberFormat="1" applyBorder="1" applyAlignment="1">
      <alignment horizontal="right"/>
    </xf>
    <xf numFmtId="0" fontId="0" fillId="3" borderId="0" xfId="0" applyFill="1" applyAlignment="1">
      <alignment horizontal="center" vertical="center" wrapText="1"/>
    </xf>
    <xf numFmtId="0" fontId="0" fillId="3" borderId="15" xfId="0" applyFill="1" applyBorder="1" applyAlignment="1">
      <alignment horizontal="center" vertical="center" wrapText="1"/>
    </xf>
    <xf numFmtId="165" fontId="0" fillId="0" borderId="0" xfId="0" applyNumberFormat="1"/>
    <xf numFmtId="0" fontId="10" fillId="0" borderId="0" xfId="0" applyFont="1" applyAlignment="1">
      <alignment horizontal="center"/>
    </xf>
    <xf numFmtId="0" fontId="0" fillId="6" borderId="27" xfId="0" applyFill="1" applyBorder="1"/>
    <xf numFmtId="0" fontId="28" fillId="6" borderId="0" xfId="0" applyFont="1" applyFill="1" applyAlignment="1">
      <alignment horizontal="center" vertical="center" wrapText="1"/>
    </xf>
    <xf numFmtId="3" fontId="10" fillId="0" borderId="15" xfId="0" applyNumberFormat="1" applyFont="1" applyBorder="1" applyAlignment="1">
      <alignment horizontal="center" vertical="center" wrapText="1"/>
    </xf>
    <xf numFmtId="0" fontId="10" fillId="0" borderId="0" xfId="0" quotePrefix="1" applyFont="1" applyAlignment="1">
      <alignment horizontal="center"/>
    </xf>
    <xf numFmtId="3" fontId="0" fillId="0" borderId="0" xfId="0" applyNumberFormat="1" applyAlignment="1">
      <alignment horizontal="right"/>
    </xf>
    <xf numFmtId="0" fontId="0" fillId="3" borderId="0" xfId="0" applyFill="1"/>
    <xf numFmtId="3" fontId="15" fillId="3" borderId="0" xfId="0" applyNumberFormat="1" applyFont="1" applyFill="1"/>
    <xf numFmtId="3" fontId="0" fillId="3" borderId="17" xfId="0" applyNumberFormat="1" applyFill="1" applyBorder="1" applyAlignment="1">
      <alignment horizontal="center" vertical="center" wrapText="1"/>
    </xf>
    <xf numFmtId="0" fontId="0" fillId="3" borderId="15" xfId="0" applyFill="1" applyBorder="1"/>
    <xf numFmtId="0" fontId="15" fillId="3" borderId="15" xfId="0" applyFont="1" applyFill="1" applyBorder="1"/>
    <xf numFmtId="3" fontId="0" fillId="3" borderId="16" xfId="0" applyNumberFormat="1" applyFill="1" applyBorder="1" applyAlignment="1">
      <alignment horizontal="center" vertical="center" wrapText="1"/>
    </xf>
    <xf numFmtId="0" fontId="15" fillId="3" borderId="0" xfId="0" applyFont="1" applyFill="1"/>
    <xf numFmtId="0" fontId="0" fillId="12" borderId="0" xfId="0" applyFill="1" applyAlignment="1">
      <alignment horizontal="center" vertical="center" wrapText="1"/>
    </xf>
    <xf numFmtId="3" fontId="15" fillId="12" borderId="0" xfId="0" applyNumberFormat="1" applyFont="1" applyFill="1" applyAlignment="1">
      <alignment horizontal="center" vertical="center" wrapText="1"/>
    </xf>
    <xf numFmtId="3" fontId="0" fillId="12" borderId="0" xfId="0" applyNumberFormat="1" applyFill="1" applyAlignment="1">
      <alignment horizontal="center" vertical="center" wrapText="1"/>
    </xf>
    <xf numFmtId="3" fontId="0" fillId="12" borderId="16" xfId="0" applyNumberFormat="1" applyFill="1" applyBorder="1" applyAlignment="1">
      <alignment horizontal="center" vertical="center" wrapText="1"/>
    </xf>
    <xf numFmtId="3" fontId="15" fillId="12" borderId="16" xfId="0" applyNumberFormat="1" applyFont="1" applyFill="1" applyBorder="1" applyAlignment="1">
      <alignment horizontal="center" vertical="center" wrapText="1"/>
    </xf>
    <xf numFmtId="3" fontId="15" fillId="12" borderId="0" xfId="0" quotePrefix="1" applyNumberFormat="1" applyFont="1" applyFill="1" applyAlignment="1">
      <alignment horizontal="center" vertical="center" wrapText="1"/>
    </xf>
    <xf numFmtId="0" fontId="0" fillId="12" borderId="0" xfId="0" quotePrefix="1" applyFill="1" applyAlignment="1">
      <alignment horizontal="center" vertical="center" wrapText="1"/>
    </xf>
    <xf numFmtId="0" fontId="0" fillId="12" borderId="0" xfId="0" applyFill="1"/>
    <xf numFmtId="3" fontId="15" fillId="12" borderId="0" xfId="0" applyNumberFormat="1" applyFont="1" applyFill="1"/>
    <xf numFmtId="0" fontId="15" fillId="12" borderId="0" xfId="0" applyFont="1" applyFill="1"/>
    <xf numFmtId="0" fontId="10" fillId="0" borderId="0" xfId="0" applyFont="1"/>
    <xf numFmtId="0" fontId="0" fillId="0" borderId="0" xfId="0" applyAlignment="1">
      <alignment horizontal="left"/>
    </xf>
    <xf numFmtId="0" fontId="0" fillId="0" borderId="0" xfId="0" applyAlignment="1">
      <alignment horizontal="left" vertical="center" wrapText="1"/>
    </xf>
    <xf numFmtId="0" fontId="10" fillId="5" borderId="0" xfId="0" applyFont="1" applyFill="1"/>
    <xf numFmtId="0" fontId="33" fillId="6" borderId="0" xfId="0" applyFont="1" applyFill="1"/>
    <xf numFmtId="0" fontId="10" fillId="6" borderId="0" xfId="0" applyFont="1" applyFill="1"/>
    <xf numFmtId="0" fontId="28" fillId="6" borderId="0" xfId="0" applyFont="1" applyFill="1" applyAlignment="1">
      <alignment horizontal="center" vertical="center"/>
    </xf>
    <xf numFmtId="1" fontId="10" fillId="0" borderId="0" xfId="0" applyNumberFormat="1" applyFont="1" applyAlignment="1">
      <alignment horizontal="center"/>
    </xf>
    <xf numFmtId="0" fontId="10" fillId="3" borderId="0" xfId="0" applyFont="1" applyFill="1"/>
    <xf numFmtId="1" fontId="10" fillId="3" borderId="0" xfId="0" applyNumberFormat="1" applyFont="1" applyFill="1" applyAlignment="1">
      <alignment horizontal="center" vertical="center" wrapText="1"/>
    </xf>
    <xf numFmtId="0" fontId="10" fillId="3" borderId="15" xfId="0" applyFont="1" applyFill="1" applyBorder="1"/>
    <xf numFmtId="1" fontId="10" fillId="3" borderId="15" xfId="0" applyNumberFormat="1" applyFont="1" applyFill="1" applyBorder="1" applyAlignment="1">
      <alignment horizontal="center"/>
    </xf>
    <xf numFmtId="3" fontId="10" fillId="3" borderId="0" xfId="0" applyNumberFormat="1" applyFont="1" applyFill="1"/>
    <xf numFmtId="1" fontId="10" fillId="3" borderId="0" xfId="0" applyNumberFormat="1" applyFont="1" applyFill="1" applyAlignment="1">
      <alignment horizontal="center"/>
    </xf>
    <xf numFmtId="0" fontId="10" fillId="12" borderId="0" xfId="0" applyFont="1" applyFill="1"/>
    <xf numFmtId="1" fontId="10" fillId="12" borderId="0" xfId="0" applyNumberFormat="1" applyFont="1" applyFill="1" applyAlignment="1">
      <alignment horizontal="center" vertical="center" wrapText="1"/>
    </xf>
    <xf numFmtId="3" fontId="10" fillId="12" borderId="0" xfId="0" applyNumberFormat="1" applyFont="1" applyFill="1"/>
    <xf numFmtId="0" fontId="10" fillId="0" borderId="0" xfId="0" quotePrefix="1" applyFont="1"/>
    <xf numFmtId="0" fontId="35" fillId="0" borderId="0" xfId="0" applyFont="1" applyAlignment="1">
      <alignment horizontal="right" vertical="center" wrapText="1"/>
    </xf>
    <xf numFmtId="0" fontId="35" fillId="0" borderId="0" xfId="0" applyFont="1" applyAlignment="1">
      <alignment horizontal="center" vertical="center" wrapText="1"/>
    </xf>
    <xf numFmtId="0" fontId="35" fillId="0" borderId="15" xfId="0" applyFont="1" applyBorder="1" applyAlignment="1">
      <alignment horizontal="center" vertical="center" wrapText="1"/>
    </xf>
    <xf numFmtId="0" fontId="2" fillId="2" borderId="0" xfId="0" applyFont="1" applyFill="1" applyAlignment="1">
      <alignment horizontal="center" vertical="center" wrapText="1"/>
    </xf>
    <xf numFmtId="0" fontId="1" fillId="0" borderId="0" xfId="0" applyFont="1" applyAlignment="1">
      <alignment horizontal="center" vertical="center" wrapText="1"/>
    </xf>
    <xf numFmtId="0" fontId="1" fillId="4" borderId="0" xfId="0" applyFont="1" applyFill="1" applyAlignment="1">
      <alignment horizontal="center" vertical="center" wrapText="1"/>
    </xf>
    <xf numFmtId="0" fontId="0" fillId="4" borderId="0" xfId="0" applyFill="1" applyAlignment="1">
      <alignment horizontal="center" vertical="center" wrapText="1"/>
    </xf>
    <xf numFmtId="0" fontId="2" fillId="9" borderId="18" xfId="0" applyFont="1" applyFill="1" applyBorder="1"/>
    <xf numFmtId="0" fontId="0" fillId="9" borderId="19" xfId="0" applyFill="1" applyBorder="1"/>
    <xf numFmtId="0" fontId="1" fillId="0" borderId="20" xfId="0" applyFont="1" applyBorder="1" applyAlignment="1">
      <alignment horizontal="center" vertical="center" wrapText="1"/>
    </xf>
    <xf numFmtId="0" fontId="1" fillId="0" borderId="22" xfId="0" applyFont="1" applyBorder="1" applyAlignment="1">
      <alignment horizontal="center" vertical="center" wrapText="1"/>
    </xf>
    <xf numFmtId="0" fontId="1" fillId="4" borderId="22" xfId="0" applyFont="1" applyFill="1" applyBorder="1" applyAlignment="1">
      <alignment horizontal="center" vertical="center" wrapText="1"/>
    </xf>
    <xf numFmtId="0" fontId="1" fillId="0" borderId="21" xfId="0" applyFont="1" applyBorder="1" applyAlignment="1">
      <alignment horizontal="center" vertical="center" wrapText="1"/>
    </xf>
    <xf numFmtId="0" fontId="0" fillId="0" borderId="16" xfId="0" applyBorder="1" applyAlignment="1">
      <alignment horizontal="center" vertical="center" wrapText="1"/>
    </xf>
    <xf numFmtId="0" fontId="0" fillId="4" borderId="16" xfId="0" applyFill="1" applyBorder="1" applyAlignment="1">
      <alignment horizontal="center" vertical="center" wrapText="1"/>
    </xf>
    <xf numFmtId="0" fontId="1" fillId="0" borderId="15" xfId="0" applyFont="1" applyBorder="1" applyAlignment="1">
      <alignment horizontal="center" vertical="center" wrapText="1"/>
    </xf>
    <xf numFmtId="0" fontId="1" fillId="4" borderId="15"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3" xfId="0" applyFont="1" applyBorder="1" applyAlignment="1">
      <alignment horizontal="center" vertical="center" wrapText="1"/>
    </xf>
    <xf numFmtId="0" fontId="0" fillId="0" borderId="22" xfId="0" applyBorder="1" applyAlignment="1">
      <alignment horizontal="center" vertical="center" wrapText="1"/>
    </xf>
    <xf numFmtId="3" fontId="1" fillId="0" borderId="0" xfId="0" applyNumberFormat="1" applyFont="1" applyAlignment="1">
      <alignment horizontal="center" vertical="center" wrapText="1"/>
    </xf>
    <xf numFmtId="3" fontId="34" fillId="0" borderId="0" xfId="0" applyNumberFormat="1" applyFont="1"/>
    <xf numFmtId="0" fontId="0" fillId="13" borderId="0" xfId="0" applyFill="1"/>
    <xf numFmtId="0" fontId="2" fillId="13" borderId="0" xfId="0" applyFont="1" applyFill="1" applyAlignment="1">
      <alignment horizontal="center" vertical="center" wrapText="1"/>
    </xf>
    <xf numFmtId="2" fontId="2" fillId="13" borderId="0" xfId="0" applyNumberFormat="1" applyFont="1" applyFill="1" applyAlignment="1">
      <alignment horizontal="left" vertical="center"/>
    </xf>
    <xf numFmtId="0" fontId="36" fillId="5" borderId="0" xfId="0" applyFont="1" applyFill="1"/>
    <xf numFmtId="0" fontId="14" fillId="5" borderId="0" xfId="0" applyFont="1" applyFill="1"/>
    <xf numFmtId="0" fontId="10" fillId="0" borderId="27" xfId="0" applyFont="1" applyBorder="1"/>
    <xf numFmtId="0" fontId="0" fillId="0" borderId="0" xfId="0" applyAlignment="1">
      <alignment horizontal="left" vertical="top" wrapText="1"/>
    </xf>
    <xf numFmtId="3" fontId="35" fillId="0" borderId="0" xfId="0" applyNumberFormat="1" applyFont="1" applyAlignment="1">
      <alignment horizontal="center" vertical="center" wrapText="1"/>
    </xf>
    <xf numFmtId="1" fontId="35" fillId="0" borderId="0" xfId="0" applyNumberFormat="1" applyFont="1" applyAlignment="1">
      <alignment horizontal="center" vertical="center" wrapText="1"/>
    </xf>
    <xf numFmtId="3" fontId="35" fillId="0" borderId="0" xfId="0" applyNumberFormat="1" applyFont="1" applyAlignment="1">
      <alignment horizontal="right" vertical="center" wrapText="1"/>
    </xf>
    <xf numFmtId="1" fontId="35" fillId="0" borderId="0" xfId="0" applyNumberFormat="1" applyFont="1" applyAlignment="1">
      <alignment horizontal="right" vertical="center" wrapText="1"/>
    </xf>
    <xf numFmtId="0" fontId="38" fillId="0" borderId="0" xfId="0" applyFont="1" applyAlignment="1">
      <alignment vertical="top" wrapText="1"/>
    </xf>
    <xf numFmtId="0" fontId="38" fillId="0" borderId="0" xfId="0" applyFont="1" applyAlignment="1">
      <alignment horizontal="left" vertical="top"/>
    </xf>
    <xf numFmtId="1" fontId="39" fillId="0" borderId="33" xfId="0" applyNumberFormat="1" applyFont="1" applyBorder="1" applyAlignment="1">
      <alignment horizontal="center" vertical="top" wrapText="1"/>
    </xf>
    <xf numFmtId="165" fontId="39" fillId="0" borderId="34" xfId="0" applyNumberFormat="1" applyFont="1" applyBorder="1" applyAlignment="1">
      <alignment horizontal="right" vertical="top" wrapText="1" indent="1"/>
    </xf>
    <xf numFmtId="165" fontId="39" fillId="0" borderId="34" xfId="0" applyNumberFormat="1" applyFont="1" applyBorder="1" applyAlignment="1">
      <alignment horizontal="center" vertical="top" wrapText="1"/>
    </xf>
    <xf numFmtId="165" fontId="39" fillId="0" borderId="35" xfId="0" applyNumberFormat="1" applyFont="1" applyBorder="1" applyAlignment="1">
      <alignment horizontal="right" vertical="top" wrapText="1" indent="1"/>
    </xf>
    <xf numFmtId="1" fontId="39" fillId="0" borderId="36" xfId="0" applyNumberFormat="1" applyFont="1" applyBorder="1" applyAlignment="1">
      <alignment horizontal="center" vertical="top" wrapText="1"/>
    </xf>
    <xf numFmtId="165" fontId="39" fillId="0" borderId="37" xfId="0" applyNumberFormat="1" applyFont="1" applyBorder="1" applyAlignment="1">
      <alignment horizontal="right" vertical="top" wrapText="1" indent="1"/>
    </xf>
    <xf numFmtId="165" fontId="39" fillId="0" borderId="37" xfId="0" applyNumberFormat="1" applyFont="1" applyBorder="1" applyAlignment="1">
      <alignment horizontal="center" vertical="top" wrapText="1"/>
    </xf>
    <xf numFmtId="165" fontId="39" fillId="0" borderId="38" xfId="0" applyNumberFormat="1" applyFont="1" applyBorder="1" applyAlignment="1">
      <alignment horizontal="right" vertical="top" wrapText="1" indent="1"/>
    </xf>
    <xf numFmtId="165" fontId="38" fillId="0" borderId="0" xfId="0" applyNumberFormat="1" applyFont="1" applyAlignment="1">
      <alignment vertical="top" wrapText="1"/>
    </xf>
    <xf numFmtId="16" fontId="0" fillId="0" borderId="0" xfId="0" quotePrefix="1" applyNumberFormat="1"/>
    <xf numFmtId="0" fontId="10" fillId="0" borderId="0" xfId="0" applyFont="1" applyAlignment="1">
      <alignment horizontal="left" vertical="top"/>
    </xf>
    <xf numFmtId="0" fontId="10" fillId="0" borderId="0" xfId="0" applyFont="1" applyAlignment="1">
      <alignment vertical="top" wrapText="1"/>
    </xf>
    <xf numFmtId="165" fontId="10" fillId="0" borderId="0" xfId="0" applyNumberFormat="1" applyFont="1" applyAlignment="1">
      <alignment vertical="top" wrapText="1"/>
    </xf>
    <xf numFmtId="0" fontId="0" fillId="0" borderId="0" xfId="0" applyAlignment="1">
      <alignment horizontal="left" vertical="center"/>
    </xf>
    <xf numFmtId="0" fontId="1" fillId="0" borderId="0" xfId="0" applyFont="1" applyAlignment="1">
      <alignment horizontal="left" vertical="center"/>
    </xf>
    <xf numFmtId="165" fontId="39" fillId="0" borderId="39" xfId="0" applyNumberFormat="1" applyFont="1" applyBorder="1" applyAlignment="1">
      <alignment horizontal="right" vertical="top" wrapText="1" indent="1"/>
    </xf>
    <xf numFmtId="9" fontId="10" fillId="0" borderId="0" xfId="1" applyFont="1" applyAlignment="1">
      <alignment vertical="top" wrapText="1"/>
    </xf>
    <xf numFmtId="1" fontId="0" fillId="0" borderId="0" xfId="0" applyNumberFormat="1"/>
    <xf numFmtId="0" fontId="18" fillId="6" borderId="22" xfId="0" applyFont="1" applyFill="1" applyBorder="1" applyAlignment="1">
      <alignment horizontal="centerContinuous"/>
    </xf>
    <xf numFmtId="0" fontId="2" fillId="6" borderId="22" xfId="0" applyFont="1" applyFill="1" applyBorder="1" applyAlignment="1">
      <alignment horizontal="centerContinuous"/>
    </xf>
    <xf numFmtId="0" fontId="2" fillId="6" borderId="20" xfId="0" applyFont="1" applyFill="1" applyBorder="1"/>
    <xf numFmtId="0" fontId="2" fillId="6" borderId="22" xfId="0" applyFont="1" applyFill="1" applyBorder="1"/>
    <xf numFmtId="0" fontId="0" fillId="0" borderId="0" xfId="0" applyAlignment="1">
      <alignment horizontal="right"/>
    </xf>
    <xf numFmtId="0" fontId="0" fillId="0" borderId="22" xfId="0" applyBorder="1"/>
    <xf numFmtId="3" fontId="0" fillId="0" borderId="22" xfId="0" applyNumberFormat="1" applyBorder="1"/>
    <xf numFmtId="0" fontId="0" fillId="0" borderId="22" xfId="0" applyBorder="1" applyAlignment="1">
      <alignment horizontal="right"/>
    </xf>
    <xf numFmtId="0" fontId="2" fillId="10" borderId="18" xfId="0" applyFont="1" applyFill="1" applyBorder="1"/>
    <xf numFmtId="0" fontId="18" fillId="11" borderId="22" xfId="0" applyFont="1" applyFill="1" applyBorder="1" applyAlignment="1">
      <alignment horizontal="centerContinuous"/>
    </xf>
    <xf numFmtId="0" fontId="18" fillId="11" borderId="21" xfId="0" applyFont="1" applyFill="1" applyBorder="1" applyAlignment="1">
      <alignment horizontal="centerContinuous"/>
    </xf>
    <xf numFmtId="0" fontId="2" fillId="11" borderId="23" xfId="0" applyFont="1" applyFill="1" applyBorder="1"/>
    <xf numFmtId="0" fontId="2" fillId="11" borderId="15" xfId="0" applyFont="1" applyFill="1" applyBorder="1"/>
    <xf numFmtId="0" fontId="2" fillId="11" borderId="15" xfId="0" applyFont="1" applyFill="1" applyBorder="1" applyAlignment="1">
      <alignment horizontal="center"/>
    </xf>
    <xf numFmtId="0" fontId="2" fillId="11" borderId="17" xfId="0" applyFont="1" applyFill="1" applyBorder="1" applyAlignment="1">
      <alignment horizontal="center"/>
    </xf>
    <xf numFmtId="0" fontId="40" fillId="11" borderId="29" xfId="0" applyFont="1" applyFill="1" applyBorder="1"/>
    <xf numFmtId="0" fontId="40" fillId="11" borderId="29" xfId="0" applyFont="1" applyFill="1" applyBorder="1" applyAlignment="1">
      <alignment horizontal="center"/>
    </xf>
    <xf numFmtId="0" fontId="40" fillId="11" borderId="19" xfId="0" applyFont="1" applyFill="1" applyBorder="1" applyAlignment="1">
      <alignment horizontal="center"/>
    </xf>
    <xf numFmtId="0" fontId="40" fillId="11" borderId="18" xfId="0" applyFont="1" applyFill="1" applyBorder="1"/>
    <xf numFmtId="0" fontId="2" fillId="0" borderId="20" xfId="0" applyFont="1" applyBorder="1"/>
    <xf numFmtId="0" fontId="2" fillId="0" borderId="20" xfId="0" quotePrefix="1" applyFont="1" applyBorder="1" applyAlignment="1">
      <alignment horizontal="left"/>
    </xf>
    <xf numFmtId="164" fontId="0" fillId="0" borderId="0" xfId="1" applyNumberFormat="1" applyFont="1"/>
    <xf numFmtId="164" fontId="0" fillId="0" borderId="0" xfId="0" applyNumberFormat="1"/>
    <xf numFmtId="0" fontId="2" fillId="6" borderId="21" xfId="0" applyFont="1" applyFill="1" applyBorder="1" applyAlignment="1">
      <alignment horizontal="center"/>
    </xf>
    <xf numFmtId="0" fontId="2" fillId="6" borderId="0" xfId="0" applyFont="1" applyFill="1" applyAlignment="1">
      <alignment horizontal="center"/>
    </xf>
    <xf numFmtId="0" fontId="0" fillId="7" borderId="0" xfId="0" applyFill="1" applyAlignment="1">
      <alignment horizontal="center"/>
    </xf>
    <xf numFmtId="0" fontId="41" fillId="7" borderId="0" xfId="0" applyFont="1" applyFill="1"/>
    <xf numFmtId="0" fontId="42" fillId="0" borderId="0" xfId="0" applyFont="1" applyAlignment="1">
      <alignment horizontal="left" vertical="top" wrapText="1"/>
    </xf>
    <xf numFmtId="0" fontId="43" fillId="0" borderId="40" xfId="0" applyFont="1" applyBorder="1" applyAlignment="1">
      <alignment horizontal="right" vertical="top" wrapText="1"/>
    </xf>
    <xf numFmtId="1" fontId="43" fillId="0" borderId="0" xfId="0" applyNumberFormat="1" applyFont="1" applyAlignment="1">
      <alignment horizontal="left" vertical="top" wrapText="1" indent="1"/>
    </xf>
    <xf numFmtId="3" fontId="43" fillId="0" borderId="41" xfId="0" applyNumberFormat="1" applyFont="1" applyBorder="1" applyAlignment="1">
      <alignment horizontal="right" vertical="top" wrapText="1"/>
    </xf>
    <xf numFmtId="1" fontId="43" fillId="0" borderId="41" xfId="0" applyNumberFormat="1" applyFont="1" applyBorder="1" applyAlignment="1">
      <alignment horizontal="right" vertical="top" wrapText="1"/>
    </xf>
    <xf numFmtId="3" fontId="43" fillId="0" borderId="0" xfId="0" applyNumberFormat="1" applyFont="1" applyAlignment="1">
      <alignment horizontal="right" vertical="top" wrapText="1"/>
    </xf>
    <xf numFmtId="1" fontId="43" fillId="0" borderId="0" xfId="0" applyNumberFormat="1" applyFont="1" applyAlignment="1">
      <alignment horizontal="right" vertical="top" wrapText="1"/>
    </xf>
    <xf numFmtId="1" fontId="43" fillId="0" borderId="42" xfId="0" applyNumberFormat="1" applyFont="1" applyBorder="1" applyAlignment="1">
      <alignment horizontal="left" vertical="top" wrapText="1" indent="1"/>
    </xf>
    <xf numFmtId="3" fontId="43" fillId="0" borderId="42" xfId="0" applyNumberFormat="1" applyFont="1" applyBorder="1" applyAlignment="1">
      <alignment horizontal="right" vertical="top" wrapText="1"/>
    </xf>
    <xf numFmtId="1" fontId="43" fillId="0" borderId="42" xfId="0" applyNumberFormat="1" applyFont="1" applyBorder="1" applyAlignment="1">
      <alignment horizontal="right" vertical="top" wrapText="1"/>
    </xf>
    <xf numFmtId="1" fontId="43" fillId="0" borderId="41" xfId="0" applyNumberFormat="1" applyFont="1" applyBorder="1" applyAlignment="1">
      <alignment horizontal="left" vertical="top" wrapText="1" indent="1"/>
    </xf>
    <xf numFmtId="0" fontId="44" fillId="0" borderId="0" xfId="0" applyFont="1" applyAlignment="1">
      <alignment horizontal="right" vertical="top" wrapText="1" indent="1"/>
    </xf>
    <xf numFmtId="3" fontId="5" fillId="0" borderId="0" xfId="0" applyNumberFormat="1" applyFont="1"/>
    <xf numFmtId="0" fontId="10" fillId="0" borderId="20" xfId="0" applyFont="1" applyBorder="1"/>
    <xf numFmtId="3" fontId="0" fillId="7" borderId="0" xfId="0" applyNumberFormat="1" applyFill="1"/>
    <xf numFmtId="3" fontId="0" fillId="0" borderId="27" xfId="0" applyNumberFormat="1" applyBorder="1"/>
    <xf numFmtId="0" fontId="30" fillId="0" borderId="0" xfId="0" applyFont="1" applyAlignment="1">
      <alignment horizontal="center"/>
    </xf>
    <xf numFmtId="0" fontId="46" fillId="0" borderId="0" xfId="0" applyFont="1"/>
    <xf numFmtId="0" fontId="0" fillId="0" borderId="0" xfId="0" applyAlignment="1">
      <alignment vertical="top"/>
    </xf>
    <xf numFmtId="0" fontId="0" fillId="0" borderId="43" xfId="0" applyBorder="1"/>
    <xf numFmtId="0" fontId="0" fillId="0" borderId="13" xfId="0" applyBorder="1"/>
    <xf numFmtId="9" fontId="0" fillId="0" borderId="0" xfId="0" applyNumberFormat="1"/>
    <xf numFmtId="0" fontId="0" fillId="0" borderId="4" xfId="0" applyBorder="1"/>
    <xf numFmtId="0" fontId="0" fillId="0" borderId="5" xfId="0" applyBorder="1"/>
    <xf numFmtId="1" fontId="0" fillId="0" borderId="5" xfId="0" applyNumberFormat="1" applyBorder="1"/>
    <xf numFmtId="0" fontId="0" fillId="0" borderId="6" xfId="0" applyBorder="1"/>
    <xf numFmtId="0" fontId="0" fillId="0" borderId="43" xfId="0" applyBorder="1" applyAlignment="1">
      <alignment horizontal="center"/>
    </xf>
    <xf numFmtId="0" fontId="47" fillId="0" borderId="0" xfId="0" applyFont="1" applyAlignment="1">
      <alignment horizontal="center"/>
    </xf>
    <xf numFmtId="164" fontId="0" fillId="0" borderId="5" xfId="0" applyNumberFormat="1" applyBorder="1"/>
    <xf numFmtId="0" fontId="0" fillId="0" borderId="0" xfId="0" applyAlignment="1">
      <alignment horizontal="center" vertical="center"/>
    </xf>
    <xf numFmtId="0" fontId="47" fillId="0" borderId="0" xfId="0" applyFont="1" applyAlignment="1">
      <alignment horizontal="right"/>
    </xf>
    <xf numFmtId="0" fontId="47" fillId="0" borderId="0" xfId="0" applyFont="1"/>
    <xf numFmtId="3" fontId="28" fillId="11" borderId="29" xfId="0" applyNumberFormat="1" applyFont="1" applyFill="1" applyBorder="1" applyAlignment="1">
      <alignment horizontal="center"/>
    </xf>
    <xf numFmtId="0" fontId="30" fillId="0" borderId="0" xfId="0" applyFont="1"/>
    <xf numFmtId="0" fontId="48" fillId="0" borderId="0" xfId="2" applyFont="1"/>
    <xf numFmtId="0" fontId="50" fillId="0" borderId="0" xfId="2" applyFont="1"/>
    <xf numFmtId="18" fontId="48" fillId="0" borderId="0" xfId="2" applyNumberFormat="1" applyFont="1" applyAlignment="1">
      <alignment horizontal="right"/>
    </xf>
    <xf numFmtId="0" fontId="50" fillId="0" borderId="24" xfId="2" applyFont="1" applyBorder="1" applyAlignment="1">
      <alignment horizontal="center"/>
    </xf>
    <xf numFmtId="0" fontId="50" fillId="0" borderId="44" xfId="2" applyFont="1" applyBorder="1"/>
    <xf numFmtId="0" fontId="50" fillId="0" borderId="5" xfId="2" applyFont="1" applyBorder="1"/>
    <xf numFmtId="0" fontId="50" fillId="0" borderId="45" xfId="2" applyFont="1" applyBorder="1"/>
    <xf numFmtId="0" fontId="48" fillId="0" borderId="44" xfId="2" applyFont="1" applyBorder="1"/>
    <xf numFmtId="0" fontId="50" fillId="3" borderId="5" xfId="2" applyFont="1" applyFill="1" applyBorder="1" applyAlignment="1">
      <alignment horizontal="left"/>
    </xf>
    <xf numFmtId="0" fontId="50" fillId="3" borderId="5" xfId="2" applyFont="1" applyFill="1" applyBorder="1" applyAlignment="1">
      <alignment horizontal="center"/>
    </xf>
    <xf numFmtId="0" fontId="48" fillId="3" borderId="45" xfId="2" applyFont="1" applyFill="1" applyBorder="1"/>
    <xf numFmtId="0" fontId="48" fillId="0" borderId="5" xfId="2" applyFont="1" applyBorder="1"/>
    <xf numFmtId="0" fontId="48" fillId="0" borderId="45" xfId="2" applyFont="1" applyBorder="1"/>
    <xf numFmtId="0" fontId="48" fillId="3" borderId="44" xfId="2" applyFont="1" applyFill="1" applyBorder="1"/>
    <xf numFmtId="0" fontId="50" fillId="0" borderId="0" xfId="2" applyFont="1" applyAlignment="1">
      <alignment horizontal="left"/>
    </xf>
    <xf numFmtId="0" fontId="48" fillId="0" borderId="0" xfId="3" applyFont="1"/>
    <xf numFmtId="0" fontId="48" fillId="0" borderId="44" xfId="3" applyFont="1" applyBorder="1"/>
    <xf numFmtId="0" fontId="48" fillId="15" borderId="0" xfId="2" applyFont="1" applyFill="1"/>
    <xf numFmtId="0" fontId="48" fillId="0" borderId="0" xfId="0" applyFont="1" applyAlignment="1">
      <alignment horizontal="center"/>
    </xf>
    <xf numFmtId="0" fontId="2" fillId="6" borderId="17" xfId="0" applyFont="1" applyFill="1" applyBorder="1" applyAlignment="1">
      <alignment horizontal="center"/>
    </xf>
    <xf numFmtId="3" fontId="0" fillId="0" borderId="27" xfId="0" applyNumberFormat="1" applyBorder="1" applyAlignment="1">
      <alignment horizontal="right"/>
    </xf>
    <xf numFmtId="0" fontId="40" fillId="3" borderId="0" xfId="0" applyFont="1" applyFill="1"/>
    <xf numFmtId="0" fontId="2" fillId="3" borderId="0" xfId="0" applyFont="1" applyFill="1" applyAlignment="1">
      <alignment horizontal="left"/>
    </xf>
    <xf numFmtId="0" fontId="2" fillId="0" borderId="0" xfId="0" applyFont="1" applyAlignment="1">
      <alignment horizontal="left"/>
    </xf>
    <xf numFmtId="0" fontId="41" fillId="3" borderId="0" xfId="0" applyFont="1" applyFill="1" applyAlignment="1">
      <alignment horizontal="left"/>
    </xf>
    <xf numFmtId="0" fontId="0" fillId="3" borderId="0" xfId="0" applyFill="1" applyAlignment="1">
      <alignment horizontal="left"/>
    </xf>
    <xf numFmtId="2" fontId="0" fillId="0" borderId="0" xfId="0" applyNumberFormat="1" applyAlignment="1">
      <alignment horizontal="right"/>
    </xf>
    <xf numFmtId="3" fontId="0" fillId="0" borderId="20" xfId="0" applyNumberFormat="1" applyBorder="1"/>
    <xf numFmtId="3" fontId="0" fillId="0" borderId="0" xfId="7" applyNumberFormat="1" applyFont="1" applyAlignment="1">
      <alignment horizontal="right"/>
    </xf>
    <xf numFmtId="3" fontId="2" fillId="0" borderId="0" xfId="7" applyNumberFormat="1" applyFont="1" applyAlignment="1">
      <alignment horizontal="right"/>
    </xf>
    <xf numFmtId="3" fontId="2" fillId="0" borderId="0" xfId="0" applyNumberFormat="1" applyFont="1" applyAlignment="1">
      <alignment horizontal="right"/>
    </xf>
    <xf numFmtId="3" fontId="2" fillId="0" borderId="0" xfId="0" applyNumberFormat="1" applyFont="1"/>
    <xf numFmtId="3" fontId="0" fillId="0" borderId="23" xfId="0" applyNumberFormat="1" applyBorder="1"/>
    <xf numFmtId="3" fontId="0" fillId="0" borderId="25" xfId="0" applyNumberFormat="1" applyBorder="1"/>
    <xf numFmtId="3" fontId="0" fillId="0" borderId="26" xfId="0" applyNumberFormat="1" applyBorder="1" applyAlignment="1">
      <alignment horizontal="right"/>
    </xf>
    <xf numFmtId="3" fontId="0" fillId="0" borderId="26" xfId="0" applyNumberFormat="1" applyBorder="1"/>
    <xf numFmtId="3" fontId="0" fillId="0" borderId="28" xfId="0" applyNumberFormat="1" applyBorder="1"/>
    <xf numFmtId="3" fontId="10" fillId="0" borderId="27" xfId="0" applyNumberFormat="1" applyFont="1" applyBorder="1"/>
    <xf numFmtId="3" fontId="10" fillId="0" borderId="26" xfId="0" applyNumberFormat="1" applyFont="1" applyBorder="1"/>
    <xf numFmtId="3" fontId="0" fillId="16" borderId="0" xfId="0" applyNumberFormat="1" applyFill="1"/>
    <xf numFmtId="0" fontId="2" fillId="0" borderId="24" xfId="0" applyFont="1" applyBorder="1" applyAlignment="1">
      <alignment vertical="center"/>
    </xf>
    <xf numFmtId="0" fontId="0" fillId="0" borderId="24" xfId="0" applyBorder="1" applyAlignment="1">
      <alignment horizontal="left"/>
    </xf>
    <xf numFmtId="3" fontId="0" fillId="0" borderId="18" xfId="0" applyNumberFormat="1" applyBorder="1" applyAlignment="1">
      <alignment horizontal="right"/>
    </xf>
    <xf numFmtId="3" fontId="0" fillId="0" borderId="29" xfId="0" applyNumberFormat="1" applyBorder="1" applyAlignment="1">
      <alignment horizontal="right"/>
    </xf>
    <xf numFmtId="3" fontId="40" fillId="11" borderId="29" xfId="0" applyNumberFormat="1" applyFont="1" applyFill="1" applyBorder="1" applyAlignment="1">
      <alignment horizontal="center"/>
    </xf>
    <xf numFmtId="0" fontId="2" fillId="6" borderId="18" xfId="0" applyFont="1" applyFill="1" applyBorder="1"/>
    <xf numFmtId="0" fontId="2" fillId="6" borderId="29" xfId="0" applyFont="1" applyFill="1" applyBorder="1"/>
    <xf numFmtId="3" fontId="2" fillId="6" borderId="29" xfId="0" applyNumberFormat="1" applyFont="1" applyFill="1" applyBorder="1"/>
    <xf numFmtId="0" fontId="2" fillId="6" borderId="29" xfId="0" applyFont="1" applyFill="1" applyBorder="1" applyAlignment="1">
      <alignment horizontal="right"/>
    </xf>
    <xf numFmtId="3" fontId="2" fillId="6" borderId="19" xfId="0" applyNumberFormat="1" applyFont="1" applyFill="1" applyBorder="1"/>
    <xf numFmtId="0" fontId="2" fillId="10" borderId="29" xfId="0" applyFont="1" applyFill="1" applyBorder="1"/>
    <xf numFmtId="0" fontId="2" fillId="11" borderId="21" xfId="0" applyFont="1" applyFill="1" applyBorder="1" applyAlignment="1">
      <alignment horizontal="centerContinuous"/>
    </xf>
    <xf numFmtId="0" fontId="2" fillId="11" borderId="23" xfId="0" applyFont="1" applyFill="1" applyBorder="1" applyAlignment="1">
      <alignment horizontal="center"/>
    </xf>
    <xf numFmtId="164" fontId="37" fillId="11" borderId="18" xfId="0" applyNumberFormat="1" applyFont="1" applyFill="1" applyBorder="1" applyAlignment="1">
      <alignment horizontal="center"/>
    </xf>
    <xf numFmtId="164" fontId="40" fillId="11" borderId="18" xfId="0" applyNumberFormat="1" applyFont="1" applyFill="1" applyBorder="1" applyAlignment="1">
      <alignment horizontal="center"/>
    </xf>
    <xf numFmtId="0" fontId="18" fillId="11" borderId="20" xfId="0" applyFont="1" applyFill="1" applyBorder="1" applyAlignment="1">
      <alignment horizontal="centerContinuous"/>
    </xf>
    <xf numFmtId="0" fontId="0" fillId="0" borderId="15" xfId="0" applyBorder="1" applyAlignment="1">
      <alignment horizontal="right"/>
    </xf>
    <xf numFmtId="0" fontId="2" fillId="17" borderId="0" xfId="0" applyFont="1" applyFill="1"/>
    <xf numFmtId="0" fontId="2" fillId="17" borderId="0" xfId="0" applyFont="1" applyFill="1" applyAlignment="1">
      <alignment horizontal="center"/>
    </xf>
    <xf numFmtId="0" fontId="2" fillId="17" borderId="0" xfId="0" applyFont="1" applyFill="1" applyAlignment="1">
      <alignment wrapText="1"/>
    </xf>
    <xf numFmtId="0" fontId="56" fillId="0" borderId="0" xfId="8"/>
    <xf numFmtId="0" fontId="53" fillId="0" borderId="0" xfId="0" applyFont="1" applyAlignment="1">
      <alignment horizontal="left" wrapText="1"/>
    </xf>
    <xf numFmtId="3" fontId="0" fillId="0" borderId="0" xfId="0" applyNumberFormat="1" applyAlignment="1">
      <alignment vertical="center"/>
    </xf>
    <xf numFmtId="3" fontId="10" fillId="0" borderId="20" xfId="0" applyNumberFormat="1" applyFont="1" applyBorder="1"/>
    <xf numFmtId="3" fontId="10" fillId="0" borderId="27" xfId="0" applyNumberFormat="1" applyFont="1" applyBorder="1" applyAlignment="1">
      <alignment horizontal="right"/>
    </xf>
    <xf numFmtId="0" fontId="57" fillId="0" borderId="0" xfId="0" applyFont="1"/>
    <xf numFmtId="3" fontId="10" fillId="0" borderId="25" xfId="0" applyNumberFormat="1" applyFont="1" applyBorder="1"/>
    <xf numFmtId="3" fontId="48" fillId="0" borderId="0" xfId="2" applyNumberFormat="1" applyFont="1"/>
    <xf numFmtId="0" fontId="50" fillId="0" borderId="0" xfId="2" applyFont="1" applyAlignment="1">
      <alignment horizontal="center"/>
    </xf>
    <xf numFmtId="3" fontId="10" fillId="0" borderId="18" xfId="0" applyNumberFormat="1" applyFont="1" applyBorder="1" applyAlignment="1">
      <alignment horizontal="right"/>
    </xf>
    <xf numFmtId="3" fontId="10" fillId="0" borderId="29" xfId="0" applyNumberFormat="1" applyFont="1" applyBorder="1" applyAlignment="1">
      <alignment horizontal="right"/>
    </xf>
    <xf numFmtId="3" fontId="10" fillId="0" borderId="19" xfId="0" applyNumberFormat="1" applyFont="1" applyBorder="1" applyAlignment="1">
      <alignment horizontal="right"/>
    </xf>
    <xf numFmtId="0" fontId="59" fillId="18" borderId="46" xfId="0" applyFont="1" applyFill="1" applyBorder="1" applyAlignment="1">
      <alignment horizontal="center" vertical="center" wrapText="1"/>
    </xf>
    <xf numFmtId="0" fontId="58" fillId="19" borderId="46" xfId="0" applyFont="1" applyFill="1" applyBorder="1" applyAlignment="1">
      <alignment horizontal="center" vertical="center" wrapText="1"/>
    </xf>
    <xf numFmtId="0" fontId="58" fillId="20" borderId="46" xfId="0" applyFont="1" applyFill="1" applyBorder="1" applyAlignment="1">
      <alignment horizontal="center" vertical="center" wrapText="1"/>
    </xf>
    <xf numFmtId="0" fontId="48" fillId="0" borderId="0" xfId="0" applyFont="1"/>
    <xf numFmtId="0" fontId="50" fillId="0" borderId="5" xfId="2" applyFont="1" applyBorder="1" applyAlignment="1">
      <alignment horizontal="center"/>
    </xf>
    <xf numFmtId="3" fontId="48" fillId="0" borderId="0" xfId="0" applyNumberFormat="1" applyFont="1"/>
    <xf numFmtId="3" fontId="48" fillId="0" borderId="0" xfId="5" applyNumberFormat="1"/>
    <xf numFmtId="0" fontId="50" fillId="0" borderId="5" xfId="2" applyFont="1" applyBorder="1" applyAlignment="1">
      <alignment horizontal="center" vertical="center"/>
    </xf>
    <xf numFmtId="3" fontId="50" fillId="0" borderId="0" xfId="2" applyNumberFormat="1" applyFont="1"/>
    <xf numFmtId="0" fontId="10" fillId="0" borderId="0" xfId="0" applyFont="1" applyAlignment="1">
      <alignment wrapText="1"/>
    </xf>
    <xf numFmtId="3" fontId="0" fillId="0" borderId="15" xfId="0" applyNumberFormat="1" applyBorder="1"/>
    <xf numFmtId="0" fontId="48" fillId="0" borderId="0" xfId="0" applyFont="1" applyAlignment="1">
      <alignment horizontal="right"/>
    </xf>
    <xf numFmtId="0" fontId="48" fillId="0" borderId="15" xfId="0" applyFont="1" applyBorder="1" applyAlignment="1">
      <alignment horizontal="right"/>
    </xf>
    <xf numFmtId="164" fontId="0" fillId="16" borderId="0" xfId="0" applyNumberFormat="1" applyFill="1"/>
    <xf numFmtId="164" fontId="0" fillId="21" borderId="0" xfId="0" applyNumberFormat="1" applyFill="1"/>
    <xf numFmtId="0" fontId="2" fillId="2" borderId="6" xfId="0" applyFont="1" applyFill="1" applyBorder="1" applyAlignment="1">
      <alignment horizontal="center" vertical="center" wrapText="1"/>
    </xf>
    <xf numFmtId="9" fontId="0" fillId="0" borderId="0" xfId="0" applyNumberFormat="1" applyAlignment="1">
      <alignment horizontal="right"/>
    </xf>
    <xf numFmtId="164" fontId="0" fillId="0" borderId="0" xfId="0" applyNumberFormat="1" applyAlignment="1">
      <alignment horizontal="right"/>
    </xf>
    <xf numFmtId="3" fontId="0" fillId="16" borderId="0" xfId="0" applyNumberFormat="1" applyFill="1" applyAlignment="1">
      <alignment horizontal="center"/>
    </xf>
    <xf numFmtId="0" fontId="60" fillId="0" borderId="0" xfId="0" applyFont="1"/>
    <xf numFmtId="0" fontId="61" fillId="0" borderId="1" xfId="0" applyFont="1" applyBorder="1"/>
    <xf numFmtId="0" fontId="62" fillId="0" borderId="0" xfId="0" applyFont="1" applyAlignment="1">
      <alignment horizontal="center" vertical="center"/>
    </xf>
    <xf numFmtId="0" fontId="61" fillId="0" borderId="4" xfId="0" applyFont="1" applyBorder="1" applyAlignment="1">
      <alignment horizontal="center" vertical="center"/>
    </xf>
    <xf numFmtId="0" fontId="62" fillId="0" borderId="4" xfId="0" applyFont="1" applyBorder="1" applyAlignment="1">
      <alignment vertical="center"/>
    </xf>
    <xf numFmtId="0" fontId="62" fillId="0" borderId="5" xfId="0" applyFont="1" applyBorder="1" applyAlignment="1">
      <alignment vertical="center"/>
    </xf>
    <xf numFmtId="0" fontId="62" fillId="0" borderId="6" xfId="0" applyFont="1" applyBorder="1" applyAlignment="1">
      <alignment vertical="center"/>
    </xf>
    <xf numFmtId="0" fontId="62" fillId="0" borderId="0" xfId="0" applyFont="1" applyAlignment="1">
      <alignment vertical="center"/>
    </xf>
    <xf numFmtId="0" fontId="50" fillId="0" borderId="43" xfId="0" applyFont="1" applyBorder="1"/>
    <xf numFmtId="0" fontId="50" fillId="0" borderId="0" xfId="0" applyFont="1" applyAlignment="1">
      <alignment horizontal="right"/>
    </xf>
    <xf numFmtId="0" fontId="50" fillId="0" borderId="4" xfId="0" applyFont="1" applyBorder="1" applyAlignment="1">
      <alignment horizontal="right"/>
    </xf>
    <xf numFmtId="0" fontId="50" fillId="0" borderId="6" xfId="0" applyFont="1" applyBorder="1" applyAlignment="1">
      <alignment horizontal="right"/>
    </xf>
    <xf numFmtId="0" fontId="50" fillId="0" borderId="1" xfId="0" applyFont="1" applyBorder="1"/>
    <xf numFmtId="0" fontId="50" fillId="22" borderId="0" xfId="0" applyFont="1" applyFill="1" applyAlignment="1">
      <alignment horizontal="center"/>
    </xf>
    <xf numFmtId="0" fontId="50" fillId="0" borderId="4" xfId="0" applyFont="1" applyBorder="1"/>
    <xf numFmtId="0" fontId="50" fillId="0" borderId="5" xfId="0" applyFont="1" applyBorder="1" applyAlignment="1">
      <alignment horizontal="right"/>
    </xf>
    <xf numFmtId="0" fontId="50" fillId="0" borderId="0" xfId="0" applyFont="1" applyAlignment="1">
      <alignment horizontal="center" wrapText="1"/>
    </xf>
    <xf numFmtId="0" fontId="50" fillId="0" borderId="0" xfId="0" applyFont="1" applyAlignment="1">
      <alignment horizontal="center"/>
    </xf>
    <xf numFmtId="0" fontId="63" fillId="0" borderId="0" xfId="0" applyFont="1" applyAlignment="1">
      <alignment horizontal="center" vertical="center"/>
    </xf>
    <xf numFmtId="0" fontId="0" fillId="0" borderId="15" xfId="0" applyBorder="1" applyAlignment="1">
      <alignment horizontal="center"/>
    </xf>
    <xf numFmtId="0" fontId="0" fillId="16" borderId="0" xfId="0" applyFill="1"/>
    <xf numFmtId="0" fontId="0" fillId="23" borderId="0" xfId="0" applyFill="1"/>
    <xf numFmtId="0" fontId="0" fillId="24" borderId="0" xfId="0" applyFill="1"/>
    <xf numFmtId="0" fontId="48" fillId="0" borderId="10" xfId="0" applyFont="1" applyBorder="1" applyAlignment="1">
      <alignment horizontal="center"/>
    </xf>
    <xf numFmtId="0" fontId="48" fillId="0" borderId="13" xfId="0" applyFont="1" applyBorder="1" applyAlignment="1">
      <alignment horizontal="center"/>
    </xf>
    <xf numFmtId="0" fontId="0" fillId="0" borderId="47" xfId="0" applyBorder="1" applyAlignment="1">
      <alignment horizontal="center"/>
    </xf>
    <xf numFmtId="0" fontId="48" fillId="0" borderId="15" xfId="0" applyFont="1" applyBorder="1" applyAlignment="1">
      <alignment horizontal="center"/>
    </xf>
    <xf numFmtId="0" fontId="48" fillId="0" borderId="48" xfId="0" applyFont="1" applyBorder="1" applyAlignment="1">
      <alignment horizontal="center"/>
    </xf>
    <xf numFmtId="0" fontId="0" fillId="0" borderId="49" xfId="0" applyBorder="1" applyAlignment="1">
      <alignment horizontal="center"/>
    </xf>
    <xf numFmtId="0" fontId="0" fillId="0" borderId="3" xfId="0" applyBorder="1"/>
    <xf numFmtId="0" fontId="0" fillId="0" borderId="7" xfId="0" applyBorder="1"/>
    <xf numFmtId="0" fontId="50" fillId="0" borderId="12" xfId="0" applyFont="1" applyBorder="1" applyAlignment="1">
      <alignment horizontal="center"/>
    </xf>
    <xf numFmtId="0" fontId="50" fillId="0" borderId="10" xfId="0" applyFont="1" applyBorder="1" applyAlignment="1">
      <alignment horizontal="center"/>
    </xf>
    <xf numFmtId="0" fontId="50" fillId="0" borderId="9" xfId="0" applyFont="1" applyBorder="1" applyAlignment="1">
      <alignment horizontal="center" wrapText="1"/>
    </xf>
    <xf numFmtId="0" fontId="0" fillId="0" borderId="29" xfId="0" applyBorder="1" applyAlignment="1">
      <alignment horizontal="right"/>
    </xf>
    <xf numFmtId="0" fontId="55" fillId="0" borderId="0" xfId="0" applyFont="1"/>
    <xf numFmtId="0" fontId="0" fillId="0" borderId="15" xfId="0" applyBorder="1" applyAlignment="1">
      <alignment horizontal="center" vertical="center"/>
    </xf>
    <xf numFmtId="3" fontId="0" fillId="0" borderId="15" xfId="0" applyNumberFormat="1" applyBorder="1" applyAlignment="1">
      <alignment horizontal="right"/>
    </xf>
    <xf numFmtId="0" fontId="2" fillId="0" borderId="0" xfId="0" applyFont="1" applyAlignment="1">
      <alignment horizontal="right"/>
    </xf>
    <xf numFmtId="1" fontId="2" fillId="0" borderId="0" xfId="0" applyNumberFormat="1" applyFont="1"/>
    <xf numFmtId="1" fontId="2" fillId="0" borderId="0" xfId="0" applyNumberFormat="1" applyFont="1" applyAlignment="1">
      <alignment horizontal="right"/>
    </xf>
    <xf numFmtId="0" fontId="0" fillId="0" borderId="12" xfId="0" applyBorder="1" applyAlignment="1">
      <alignment horizontal="center"/>
    </xf>
    <xf numFmtId="0" fontId="0" fillId="0" borderId="10" xfId="0" applyBorder="1" applyAlignment="1">
      <alignment horizontal="center"/>
    </xf>
    <xf numFmtId="3" fontId="0" fillId="0" borderId="9" xfId="0" applyNumberFormat="1" applyBorder="1" applyAlignment="1">
      <alignment horizontal="center"/>
    </xf>
    <xf numFmtId="1" fontId="50" fillId="0" borderId="0" xfId="0" applyNumberFormat="1" applyFont="1" applyAlignment="1">
      <alignment horizontal="center"/>
    </xf>
    <xf numFmtId="0" fontId="0" fillId="0" borderId="1" xfId="0" applyBorder="1"/>
    <xf numFmtId="0" fontId="0" fillId="0" borderId="2" xfId="0" applyBorder="1"/>
    <xf numFmtId="0" fontId="2" fillId="0" borderId="47" xfId="0" applyFont="1" applyBorder="1"/>
    <xf numFmtId="1" fontId="50" fillId="0" borderId="15" xfId="0" applyNumberFormat="1" applyFont="1" applyBorder="1" applyAlignment="1">
      <alignment horizontal="center"/>
    </xf>
    <xf numFmtId="3" fontId="2" fillId="0" borderId="15" xfId="0" applyNumberFormat="1" applyFont="1" applyBorder="1"/>
    <xf numFmtId="0" fontId="0" fillId="0" borderId="48" xfId="0" applyBorder="1"/>
    <xf numFmtId="0" fontId="0" fillId="0" borderId="48" xfId="0" applyBorder="1" applyAlignment="1">
      <alignment horizontal="center" vertical="center" wrapText="1"/>
    </xf>
    <xf numFmtId="0" fontId="0" fillId="0" borderId="29" xfId="0" applyBorder="1" applyAlignment="1">
      <alignment horizontal="center" vertical="center" wrapText="1"/>
    </xf>
    <xf numFmtId="3" fontId="0" fillId="0" borderId="13" xfId="0" applyNumberFormat="1" applyBorder="1"/>
    <xf numFmtId="0" fontId="48" fillId="0" borderId="15" xfId="0" applyFont="1"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29" xfId="0" applyBorder="1" applyAlignment="1">
      <alignment horizontal="center" vertical="center"/>
    </xf>
    <xf numFmtId="0" fontId="0" fillId="0" borderId="29" xfId="0" applyBorder="1"/>
    <xf numFmtId="0" fontId="0" fillId="0" borderId="55" xfId="0" applyBorder="1" applyAlignment="1">
      <alignment horizontal="center" vertical="center" wrapText="1"/>
    </xf>
    <xf numFmtId="3" fontId="2" fillId="0" borderId="22" xfId="0" applyNumberFormat="1" applyFont="1" applyBorder="1" applyAlignment="1">
      <alignment horizontal="center"/>
    </xf>
    <xf numFmtId="9" fontId="0" fillId="0" borderId="15" xfId="0" applyNumberFormat="1" applyBorder="1" applyAlignment="1">
      <alignment horizontal="center"/>
    </xf>
    <xf numFmtId="0" fontId="2" fillId="14" borderId="11" xfId="0" applyFont="1" applyFill="1" applyBorder="1"/>
    <xf numFmtId="0" fontId="2" fillId="14" borderId="8" xfId="0" applyFont="1" applyFill="1" applyBorder="1"/>
    <xf numFmtId="0" fontId="2" fillId="14" borderId="7" xfId="0" applyFont="1" applyFill="1" applyBorder="1"/>
    <xf numFmtId="3" fontId="48" fillId="0" borderId="0" xfId="0" applyNumberFormat="1" applyFont="1" applyAlignment="1">
      <alignment horizontal="right"/>
    </xf>
    <xf numFmtId="9" fontId="48" fillId="0" borderId="0" xfId="0" applyNumberFormat="1" applyFont="1" applyAlignment="1">
      <alignment horizontal="right"/>
    </xf>
    <xf numFmtId="3" fontId="50" fillId="0" borderId="15" xfId="0" applyNumberFormat="1" applyFont="1" applyBorder="1" applyAlignment="1">
      <alignment horizontal="right"/>
    </xf>
    <xf numFmtId="3" fontId="2" fillId="0" borderId="48" xfId="0" applyNumberFormat="1" applyFont="1" applyBorder="1"/>
    <xf numFmtId="3" fontId="10" fillId="0" borderId="0" xfId="0" applyNumberFormat="1" applyFont="1" applyAlignment="1">
      <alignment horizontal="right" vertical="center"/>
    </xf>
    <xf numFmtId="3" fontId="0" fillId="0" borderId="13" xfId="0" applyNumberFormat="1" applyBorder="1" applyAlignment="1">
      <alignment vertical="center"/>
    </xf>
    <xf numFmtId="0" fontId="0" fillId="0" borderId="13" xfId="0" applyBorder="1" applyAlignment="1">
      <alignment wrapText="1"/>
    </xf>
    <xf numFmtId="0" fontId="0" fillId="0" borderId="0" xfId="0" applyAlignment="1">
      <alignment vertical="top" wrapText="1"/>
    </xf>
    <xf numFmtId="0" fontId="0" fillId="0" borderId="13" xfId="0" applyBorder="1" applyAlignment="1">
      <alignment vertical="top" wrapText="1"/>
    </xf>
    <xf numFmtId="0" fontId="0" fillId="0" borderId="13" xfId="0" applyBorder="1" applyAlignment="1">
      <alignment vertical="top"/>
    </xf>
    <xf numFmtId="0" fontId="56" fillId="0" borderId="0" xfId="8" applyAlignment="1">
      <alignment vertical="center"/>
    </xf>
    <xf numFmtId="0" fontId="41" fillId="0" borderId="0" xfId="0" applyFont="1"/>
    <xf numFmtId="164" fontId="37" fillId="11" borderId="29" xfId="0" applyNumberFormat="1" applyFont="1" applyFill="1" applyBorder="1" applyAlignment="1">
      <alignment horizontal="center"/>
    </xf>
    <xf numFmtId="164" fontId="40" fillId="11" borderId="29" xfId="0" applyNumberFormat="1" applyFont="1" applyFill="1" applyBorder="1" applyAlignment="1">
      <alignment horizontal="center"/>
    </xf>
    <xf numFmtId="0" fontId="0" fillId="0" borderId="0" xfId="0" applyAlignment="1">
      <alignment horizontal="center" vertical="center" textRotation="90" wrapText="1"/>
    </xf>
    <xf numFmtId="166" fontId="0" fillId="0" borderId="0" xfId="0" applyNumberFormat="1" applyAlignment="1">
      <alignment horizontal="center"/>
    </xf>
    <xf numFmtId="166" fontId="0" fillId="16" borderId="0" xfId="1" applyNumberFormat="1" applyFont="1" applyFill="1" applyAlignment="1">
      <alignment horizontal="center"/>
    </xf>
    <xf numFmtId="166" fontId="0" fillId="0" borderId="0" xfId="1" applyNumberFormat="1" applyFont="1" applyAlignment="1">
      <alignment horizontal="center"/>
    </xf>
    <xf numFmtId="0" fontId="0" fillId="16" borderId="0" xfId="0" applyFill="1" applyAlignment="1">
      <alignment horizontal="center"/>
    </xf>
    <xf numFmtId="166" fontId="0" fillId="16" borderId="0" xfId="0" applyNumberFormat="1" applyFill="1" applyAlignment="1">
      <alignment horizontal="center"/>
    </xf>
    <xf numFmtId="0" fontId="0" fillId="0" borderId="0" xfId="0" applyAlignment="1">
      <alignment horizontal="center" vertical="center" textRotation="90"/>
    </xf>
    <xf numFmtId="166" fontId="0" fillId="16" borderId="0" xfId="0" applyNumberFormat="1" applyFill="1"/>
    <xf numFmtId="0" fontId="0" fillId="26" borderId="0" xfId="0" applyFill="1"/>
    <xf numFmtId="166" fontId="0" fillId="0" borderId="0" xfId="0" applyNumberFormat="1"/>
    <xf numFmtId="166" fontId="0" fillId="0" borderId="0" xfId="0" applyNumberFormat="1" applyAlignment="1">
      <alignment horizontal="right"/>
    </xf>
    <xf numFmtId="0" fontId="2" fillId="0" borderId="15" xfId="0" applyFont="1" applyBorder="1"/>
    <xf numFmtId="164" fontId="2" fillId="0" borderId="15" xfId="0" applyNumberFormat="1" applyFont="1" applyBorder="1"/>
    <xf numFmtId="0" fontId="0" fillId="0" borderId="15" xfId="0" applyBorder="1" applyAlignment="1">
      <alignment wrapText="1"/>
    </xf>
    <xf numFmtId="0" fontId="2" fillId="0" borderId="15" xfId="0" applyFont="1" applyBorder="1" applyAlignment="1">
      <alignment wrapText="1"/>
    </xf>
    <xf numFmtId="0" fontId="0" fillId="27" borderId="0" xfId="0" applyFill="1"/>
    <xf numFmtId="0" fontId="0" fillId="27" borderId="15" xfId="0" applyFill="1" applyBorder="1" applyAlignment="1">
      <alignment wrapText="1"/>
    </xf>
    <xf numFmtId="3" fontId="0" fillId="27" borderId="0" xfId="0" applyNumberFormat="1" applyFill="1"/>
    <xf numFmtId="0" fontId="0" fillId="28" borderId="0" xfId="0" applyFill="1"/>
    <xf numFmtId="0" fontId="0" fillId="28" borderId="15" xfId="0" applyFill="1" applyBorder="1" applyAlignment="1">
      <alignment wrapText="1"/>
    </xf>
    <xf numFmtId="3" fontId="0" fillId="28" borderId="0" xfId="0" applyNumberFormat="1" applyFill="1"/>
    <xf numFmtId="0" fontId="0" fillId="29" borderId="0" xfId="0" applyFill="1"/>
    <xf numFmtId="0" fontId="0" fillId="29" borderId="15" xfId="0" applyFill="1" applyBorder="1" applyAlignment="1">
      <alignment wrapText="1"/>
    </xf>
    <xf numFmtId="3" fontId="0" fillId="29" borderId="0" xfId="0" applyNumberFormat="1" applyFill="1"/>
    <xf numFmtId="0" fontId="0" fillId="29" borderId="24" xfId="0" applyFill="1" applyBorder="1" applyAlignment="1">
      <alignment horizontal="center"/>
    </xf>
    <xf numFmtId="0" fontId="0" fillId="27" borderId="24" xfId="0" applyFill="1" applyBorder="1" applyAlignment="1">
      <alignment horizontal="center"/>
    </xf>
    <xf numFmtId="0" fontId="0" fillId="28" borderId="24" xfId="0" applyFill="1" applyBorder="1" applyAlignment="1">
      <alignment horizontal="right"/>
    </xf>
    <xf numFmtId="0" fontId="0" fillId="30" borderId="0" xfId="0" applyFill="1"/>
    <xf numFmtId="3" fontId="0" fillId="30" borderId="0" xfId="0" applyNumberFormat="1" applyFill="1"/>
    <xf numFmtId="0" fontId="0" fillId="30" borderId="15" xfId="0" applyFill="1" applyBorder="1" applyAlignment="1">
      <alignment wrapText="1"/>
    </xf>
    <xf numFmtId="0" fontId="0" fillId="30" borderId="24" xfId="0" applyFill="1" applyBorder="1" applyAlignment="1">
      <alignment horizontal="center"/>
    </xf>
    <xf numFmtId="164" fontId="2" fillId="0" borderId="0" xfId="0" applyNumberFormat="1" applyFont="1"/>
    <xf numFmtId="2" fontId="0" fillId="0" borderId="0" xfId="0" applyNumberFormat="1"/>
    <xf numFmtId="0" fontId="0" fillId="0" borderId="0" xfId="0" applyAlignment="1">
      <alignment horizontal="right" vertical="center" wrapText="1"/>
    </xf>
    <xf numFmtId="3" fontId="28" fillId="0" borderId="22" xfId="0" applyNumberFormat="1" applyFont="1" applyBorder="1" applyAlignment="1">
      <alignment horizontal="center"/>
    </xf>
    <xf numFmtId="3" fontId="28" fillId="0" borderId="21" xfId="0" applyNumberFormat="1" applyFont="1" applyBorder="1" applyAlignment="1">
      <alignment horizontal="center"/>
    </xf>
    <xf numFmtId="3" fontId="28" fillId="0" borderId="0" xfId="0" applyNumberFormat="1" applyFont="1" applyAlignment="1">
      <alignment horizontal="center"/>
    </xf>
    <xf numFmtId="3" fontId="28" fillId="0" borderId="16" xfId="0" applyNumberFormat="1" applyFont="1" applyBorder="1" applyAlignment="1">
      <alignment horizontal="center"/>
    </xf>
    <xf numFmtId="0" fontId="0" fillId="0" borderId="0" xfId="0" applyAlignment="1">
      <alignment vertical="center" wrapText="1"/>
    </xf>
    <xf numFmtId="164" fontId="0" fillId="0" borderId="15" xfId="0" applyNumberFormat="1" applyBorder="1"/>
    <xf numFmtId="3" fontId="10" fillId="0" borderId="0" xfId="0" applyNumberFormat="1" applyFont="1" applyAlignment="1">
      <alignment horizontal="center"/>
    </xf>
    <xf numFmtId="3" fontId="10" fillId="0" borderId="16" xfId="0" applyNumberFormat="1" applyFont="1" applyBorder="1" applyAlignment="1">
      <alignment horizontal="center"/>
    </xf>
    <xf numFmtId="9" fontId="10" fillId="0" borderId="15" xfId="0" applyNumberFormat="1" applyFont="1" applyBorder="1" applyAlignment="1">
      <alignment horizontal="center"/>
    </xf>
    <xf numFmtId="9" fontId="10" fillId="0" borderId="17" xfId="0" applyNumberFormat="1" applyFont="1" applyBorder="1" applyAlignment="1">
      <alignment horizontal="center"/>
    </xf>
    <xf numFmtId="164" fontId="10" fillId="0" borderId="15" xfId="0" applyNumberFormat="1" applyFont="1" applyBorder="1" applyAlignment="1">
      <alignment horizontal="center"/>
    </xf>
    <xf numFmtId="164" fontId="10" fillId="0" borderId="17" xfId="0" applyNumberFormat="1" applyFont="1" applyBorder="1" applyAlignment="1">
      <alignment horizontal="center"/>
    </xf>
    <xf numFmtId="3" fontId="0" fillId="0" borderId="16" xfId="0" applyNumberFormat="1" applyBorder="1" applyAlignment="1">
      <alignment horizontal="center"/>
    </xf>
    <xf numFmtId="3" fontId="40" fillId="11" borderId="19" xfId="0" applyNumberFormat="1" applyFont="1" applyFill="1" applyBorder="1" applyAlignment="1">
      <alignment horizontal="center"/>
    </xf>
    <xf numFmtId="0" fontId="21" fillId="7" borderId="0" xfId="0" applyFont="1" applyFill="1"/>
    <xf numFmtId="0" fontId="15" fillId="16" borderId="0" xfId="0" applyFont="1" applyFill="1" applyAlignment="1">
      <alignment horizontal="center"/>
    </xf>
    <xf numFmtId="3" fontId="10" fillId="0" borderId="23" xfId="0" applyNumberFormat="1" applyFont="1" applyBorder="1"/>
    <xf numFmtId="3" fontId="10" fillId="0" borderId="16" xfId="0" applyNumberFormat="1" applyFont="1" applyBorder="1" applyAlignment="1">
      <alignment horizontal="right"/>
    </xf>
    <xf numFmtId="3" fontId="0" fillId="0" borderId="21" xfId="0" applyNumberFormat="1" applyBorder="1" applyAlignment="1">
      <alignment horizontal="right"/>
    </xf>
    <xf numFmtId="3" fontId="10" fillId="0" borderId="21" xfId="0" applyNumberFormat="1" applyFont="1" applyBorder="1"/>
    <xf numFmtId="0" fontId="2" fillId="8" borderId="20" xfId="0" applyFont="1" applyFill="1" applyBorder="1" applyAlignment="1">
      <alignment horizontal="center"/>
    </xf>
    <xf numFmtId="0" fontId="2" fillId="8" borderId="29" xfId="0" quotePrefix="1" applyFont="1" applyFill="1" applyBorder="1" applyAlignment="1">
      <alignment horizontal="centerContinuous"/>
    </xf>
    <xf numFmtId="0" fontId="2" fillId="8" borderId="29" xfId="0" applyFont="1" applyFill="1" applyBorder="1" applyAlignment="1">
      <alignment horizontal="centerContinuous"/>
    </xf>
    <xf numFmtId="0" fontId="2" fillId="8" borderId="19" xfId="0" applyFont="1" applyFill="1" applyBorder="1" applyAlignment="1">
      <alignment horizontal="centerContinuous"/>
    </xf>
    <xf numFmtId="0" fontId="2" fillId="8" borderId="0" xfId="0" applyFont="1" applyFill="1" applyAlignment="1">
      <alignment horizontal="center" vertical="center"/>
    </xf>
    <xf numFmtId="0" fontId="2" fillId="8" borderId="23" xfId="0" applyFont="1" applyFill="1" applyBorder="1" applyAlignment="1">
      <alignment horizontal="center" vertical="center"/>
    </xf>
    <xf numFmtId="164" fontId="0" fillId="0" borderId="20" xfId="0" applyNumberFormat="1" applyBorder="1" applyAlignment="1">
      <alignment horizontal="center"/>
    </xf>
    <xf numFmtId="3" fontId="0" fillId="0" borderId="22" xfId="0" quotePrefix="1" applyNumberFormat="1" applyBorder="1" applyAlignment="1">
      <alignment horizontal="center"/>
    </xf>
    <xf numFmtId="164" fontId="0" fillId="0" borderId="27" xfId="0" applyNumberFormat="1" applyBorder="1" applyAlignment="1">
      <alignment horizontal="center"/>
    </xf>
    <xf numFmtId="164" fontId="0" fillId="0" borderId="0" xfId="0" applyNumberFormat="1" applyAlignment="1">
      <alignment horizontal="center"/>
    </xf>
    <xf numFmtId="3" fontId="0" fillId="0" borderId="0" xfId="0" quotePrefix="1" applyNumberFormat="1" applyAlignment="1">
      <alignment horizontal="center"/>
    </xf>
    <xf numFmtId="0" fontId="65" fillId="32" borderId="0" xfId="0" applyFont="1" applyFill="1" applyAlignment="1">
      <alignment vertical="center"/>
    </xf>
    <xf numFmtId="0" fontId="0" fillId="32" borderId="0" xfId="0" applyFill="1" applyAlignment="1">
      <alignment vertical="center"/>
    </xf>
    <xf numFmtId="0" fontId="2" fillId="32" borderId="0" xfId="0" applyFont="1" applyFill="1" applyAlignment="1">
      <alignment vertical="center"/>
    </xf>
    <xf numFmtId="0" fontId="0" fillId="32" borderId="0" xfId="0" applyFill="1"/>
    <xf numFmtId="0" fontId="2" fillId="33" borderId="18" xfId="0" applyFont="1" applyFill="1" applyBorder="1"/>
    <xf numFmtId="0" fontId="0" fillId="33" borderId="19" xfId="0" applyFill="1" applyBorder="1"/>
    <xf numFmtId="0" fontId="18" fillId="34" borderId="20" xfId="0" applyFont="1" applyFill="1" applyBorder="1" applyAlignment="1">
      <alignment horizontal="centerContinuous"/>
    </xf>
    <xf numFmtId="0" fontId="0" fillId="34" borderId="21" xfId="0" applyFill="1" applyBorder="1" applyAlignment="1">
      <alignment horizontal="centerContinuous"/>
    </xf>
    <xf numFmtId="0" fontId="18" fillId="34" borderId="22" xfId="0" applyFont="1" applyFill="1" applyBorder="1" applyAlignment="1">
      <alignment horizontal="centerContinuous"/>
    </xf>
    <xf numFmtId="0" fontId="2" fillId="34" borderId="22" xfId="0" applyFont="1" applyFill="1" applyBorder="1" applyAlignment="1">
      <alignment horizontal="centerContinuous"/>
    </xf>
    <xf numFmtId="0" fontId="2" fillId="34" borderId="21" xfId="0" applyFont="1" applyFill="1" applyBorder="1" applyAlignment="1">
      <alignment horizontal="centerContinuous"/>
    </xf>
    <xf numFmtId="0" fontId="2" fillId="34" borderId="27" xfId="0" applyFont="1" applyFill="1" applyBorder="1" applyAlignment="1">
      <alignment horizontal="center" vertical="center"/>
    </xf>
    <xf numFmtId="0" fontId="2" fillId="34" borderId="16" xfId="0" applyFont="1" applyFill="1" applyBorder="1" applyAlignment="1">
      <alignment horizontal="center" vertical="center"/>
    </xf>
    <xf numFmtId="0" fontId="2" fillId="34" borderId="15" xfId="0" applyFont="1" applyFill="1" applyBorder="1" applyAlignment="1">
      <alignment horizontal="center" vertical="center"/>
    </xf>
    <xf numFmtId="0" fontId="2" fillId="34" borderId="17" xfId="0" applyFont="1" applyFill="1" applyBorder="1" applyAlignment="1">
      <alignment horizontal="center" vertical="center"/>
    </xf>
    <xf numFmtId="0" fontId="2" fillId="34" borderId="18" xfId="0" applyFont="1" applyFill="1" applyBorder="1" applyAlignment="1">
      <alignment horizontal="center" vertical="center"/>
    </xf>
    <xf numFmtId="0" fontId="2" fillId="34" borderId="21" xfId="0" applyFont="1" applyFill="1" applyBorder="1" applyAlignment="1">
      <alignment horizontal="center" vertical="center"/>
    </xf>
    <xf numFmtId="0" fontId="2" fillId="34" borderId="18" xfId="0" applyFont="1" applyFill="1" applyBorder="1" applyAlignment="1">
      <alignment horizontal="centerContinuous"/>
    </xf>
    <xf numFmtId="0" fontId="2" fillId="34" borderId="29" xfId="0" applyFont="1" applyFill="1" applyBorder="1" applyAlignment="1">
      <alignment horizontal="left"/>
    </xf>
    <xf numFmtId="3" fontId="2" fillId="34" borderId="18" xfId="0" applyNumberFormat="1" applyFont="1" applyFill="1" applyBorder="1"/>
    <xf numFmtId="3" fontId="2" fillId="34" borderId="19" xfId="0" applyNumberFormat="1" applyFont="1" applyFill="1" applyBorder="1"/>
    <xf numFmtId="3" fontId="2" fillId="34" borderId="22" xfId="0" applyNumberFormat="1" applyFont="1" applyFill="1" applyBorder="1"/>
    <xf numFmtId="3" fontId="2" fillId="34" borderId="21" xfId="0" applyNumberFormat="1" applyFont="1" applyFill="1" applyBorder="1"/>
    <xf numFmtId="0" fontId="2" fillId="34" borderId="18" xfId="0" applyFont="1" applyFill="1" applyBorder="1"/>
    <xf numFmtId="0" fontId="2" fillId="34" borderId="24" xfId="0" applyFont="1" applyFill="1" applyBorder="1"/>
    <xf numFmtId="3" fontId="2" fillId="34" borderId="29" xfId="0" applyNumberFormat="1" applyFont="1" applyFill="1" applyBorder="1"/>
    <xf numFmtId="3" fontId="2" fillId="34" borderId="15" xfId="0" applyNumberFormat="1" applyFont="1" applyFill="1" applyBorder="1"/>
    <xf numFmtId="3" fontId="2" fillId="34" borderId="17" xfId="0" applyNumberFormat="1" applyFont="1" applyFill="1" applyBorder="1"/>
    <xf numFmtId="0" fontId="66" fillId="7" borderId="0" xfId="0" applyFont="1" applyFill="1"/>
    <xf numFmtId="0" fontId="65" fillId="7" borderId="18" xfId="0" applyFont="1" applyFill="1" applyBorder="1" applyAlignment="1">
      <alignment horizontal="center"/>
    </xf>
    <xf numFmtId="9" fontId="65" fillId="7" borderId="19" xfId="0" applyNumberFormat="1" applyFont="1" applyFill="1" applyBorder="1" applyAlignment="1">
      <alignment horizontal="center"/>
    </xf>
    <xf numFmtId="0" fontId="67" fillId="7" borderId="0" xfId="0" applyFont="1" applyFill="1"/>
    <xf numFmtId="0" fontId="67" fillId="0" borderId="0" xfId="0" applyFont="1"/>
    <xf numFmtId="167" fontId="65" fillId="7" borderId="29" xfId="0" applyNumberFormat="1" applyFont="1" applyFill="1" applyBorder="1" applyAlignment="1">
      <alignment horizontal="center"/>
    </xf>
    <xf numFmtId="0" fontId="65" fillId="7" borderId="19" xfId="0" applyFont="1" applyFill="1" applyBorder="1" applyAlignment="1">
      <alignment horizontal="left"/>
    </xf>
    <xf numFmtId="164" fontId="37" fillId="11" borderId="19" xfId="0" applyNumberFormat="1" applyFont="1" applyFill="1" applyBorder="1" applyAlignment="1">
      <alignment horizontal="center"/>
    </xf>
    <xf numFmtId="0" fontId="0" fillId="0" borderId="22" xfId="0" quotePrefix="1" applyBorder="1" applyAlignment="1">
      <alignment horizontal="center"/>
    </xf>
    <xf numFmtId="164" fontId="0" fillId="0" borderId="23" xfId="0" applyNumberFormat="1" applyBorder="1" applyAlignment="1">
      <alignment horizontal="center"/>
    </xf>
    <xf numFmtId="164" fontId="0" fillId="0" borderId="15" xfId="0" applyNumberFormat="1" applyBorder="1" applyAlignment="1">
      <alignment horizontal="center"/>
    </xf>
    <xf numFmtId="3" fontId="0" fillId="0" borderId="0" xfId="0" applyNumberFormat="1" applyFont="1" applyAlignment="1">
      <alignment horizontal="center"/>
    </xf>
    <xf numFmtId="9" fontId="0" fillId="0" borderId="15" xfId="0" applyNumberFormat="1" applyFont="1" applyBorder="1" applyAlignment="1">
      <alignment horizontal="center"/>
    </xf>
    <xf numFmtId="0" fontId="0" fillId="0" borderId="0" xfId="0"/>
    <xf numFmtId="0" fontId="0" fillId="0" borderId="15" xfId="0" applyBorder="1"/>
    <xf numFmtId="0" fontId="0" fillId="0" borderId="15" xfId="0" applyBorder="1" applyAlignment="1">
      <alignment horizontal="right"/>
    </xf>
    <xf numFmtId="3" fontId="0" fillId="4" borderId="17" xfId="0" applyNumberFormat="1" applyFill="1" applyBorder="1" applyAlignment="1">
      <alignment horizontal="center" vertical="center" wrapText="1"/>
    </xf>
    <xf numFmtId="0" fontId="0" fillId="0" borderId="15" xfId="0" applyBorder="1" applyAlignment="1">
      <alignment horizontal="center" vertical="center" wrapText="1"/>
    </xf>
    <xf numFmtId="0" fontId="0" fillId="0" borderId="0" xfId="0"/>
    <xf numFmtId="0" fontId="0" fillId="0" borderId="0" xfId="0" applyFill="1"/>
    <xf numFmtId="3" fontId="0" fillId="0" borderId="0" xfId="0" applyNumberFormat="1" applyFill="1"/>
    <xf numFmtId="0" fontId="10" fillId="0" borderId="15" xfId="0" applyFont="1" applyBorder="1"/>
    <xf numFmtId="1" fontId="10" fillId="0" borderId="15" xfId="0" applyNumberFormat="1" applyFont="1" applyBorder="1" applyAlignment="1">
      <alignment horizontal="center"/>
    </xf>
    <xf numFmtId="3" fontId="10" fillId="0" borderId="15" xfId="0" applyNumberFormat="1" applyFont="1" applyBorder="1"/>
    <xf numFmtId="3" fontId="15" fillId="0" borderId="15" xfId="0" applyNumberFormat="1" applyFont="1" applyBorder="1"/>
    <xf numFmtId="3" fontId="0" fillId="0" borderId="15" xfId="0" applyNumberFormat="1" applyBorder="1" applyAlignment="1">
      <alignment wrapText="1"/>
    </xf>
    <xf numFmtId="3" fontId="23" fillId="0" borderId="15" xfId="0" applyNumberFormat="1" applyFont="1" applyBorder="1" applyAlignment="1">
      <alignment wrapText="1"/>
    </xf>
    <xf numFmtId="0" fontId="41" fillId="3" borderId="15" xfId="0" applyFont="1" applyFill="1" applyBorder="1" applyAlignment="1">
      <alignment horizontal="left"/>
    </xf>
    <xf numFmtId="0" fontId="0" fillId="0" borderId="15" xfId="0" applyBorder="1" applyAlignment="1">
      <alignment horizontal="left"/>
    </xf>
    <xf numFmtId="0" fontId="0" fillId="3" borderId="15" xfId="0" applyFill="1" applyBorder="1" applyAlignment="1">
      <alignment horizontal="left"/>
    </xf>
    <xf numFmtId="3" fontId="0" fillId="0" borderId="15" xfId="7" applyNumberFormat="1" applyFont="1" applyBorder="1" applyAlignment="1">
      <alignment horizontal="right"/>
    </xf>
    <xf numFmtId="3" fontId="0" fillId="16" borderId="15" xfId="0" applyNumberFormat="1" applyFill="1" applyBorder="1"/>
    <xf numFmtId="0" fontId="0" fillId="0" borderId="15" xfId="0" applyFill="1" applyBorder="1"/>
    <xf numFmtId="0" fontId="69" fillId="36" borderId="57" xfId="0" applyFont="1" applyFill="1" applyBorder="1" applyAlignment="1">
      <alignment horizontal="left" vertical="top" wrapText="1"/>
    </xf>
    <xf numFmtId="0" fontId="70" fillId="37" borderId="58" xfId="0" applyFont="1" applyFill="1" applyBorder="1" applyAlignment="1">
      <alignment horizontal="center" vertical="center" wrapText="1"/>
    </xf>
    <xf numFmtId="3" fontId="70" fillId="37" borderId="58" xfId="0" applyNumberFormat="1" applyFont="1" applyFill="1" applyBorder="1" applyAlignment="1">
      <alignment horizontal="center" vertical="center" wrapText="1"/>
    </xf>
    <xf numFmtId="0" fontId="70" fillId="35" borderId="58" xfId="0" applyFont="1" applyFill="1" applyBorder="1" applyAlignment="1">
      <alignment horizontal="center" vertical="center" wrapText="1"/>
    </xf>
    <xf numFmtId="3" fontId="70" fillId="35" borderId="58" xfId="0" applyNumberFormat="1" applyFont="1" applyFill="1" applyBorder="1" applyAlignment="1">
      <alignment horizontal="center" vertical="center" wrapText="1"/>
    </xf>
    <xf numFmtId="0" fontId="69" fillId="36" borderId="59" xfId="0" applyFont="1" applyFill="1" applyBorder="1" applyAlignment="1">
      <alignment horizontal="left" vertical="top" wrapText="1"/>
    </xf>
    <xf numFmtId="0" fontId="70" fillId="37" borderId="60" xfId="0" applyFont="1" applyFill="1" applyBorder="1" applyAlignment="1">
      <alignment vertical="center" wrapText="1"/>
    </xf>
    <xf numFmtId="0" fontId="70" fillId="35" borderId="60" xfId="0" applyFont="1" applyFill="1" applyBorder="1" applyAlignment="1">
      <alignment vertical="center" wrapText="1"/>
    </xf>
    <xf numFmtId="0" fontId="70" fillId="37" borderId="59" xfId="0" applyFont="1" applyFill="1" applyBorder="1" applyAlignment="1">
      <alignment vertical="center" wrapText="1"/>
    </xf>
    <xf numFmtId="0" fontId="70" fillId="37" borderId="57" xfId="0" applyFont="1" applyFill="1" applyBorder="1" applyAlignment="1">
      <alignment horizontal="center" vertical="center" wrapText="1"/>
    </xf>
    <xf numFmtId="3" fontId="70" fillId="37" borderId="57" xfId="0" applyNumberFormat="1" applyFont="1" applyFill="1" applyBorder="1" applyAlignment="1">
      <alignment horizontal="center" vertical="center" wrapText="1"/>
    </xf>
    <xf numFmtId="0" fontId="69" fillId="36" borderId="61" xfId="0" applyFont="1" applyFill="1" applyBorder="1" applyAlignment="1">
      <alignment horizontal="left" vertical="top" wrapText="1"/>
    </xf>
    <xf numFmtId="0" fontId="70" fillId="35" borderId="59" xfId="0" applyFont="1" applyFill="1" applyBorder="1" applyAlignment="1">
      <alignment vertical="center" wrapText="1"/>
    </xf>
    <xf numFmtId="3" fontId="70" fillId="35" borderId="57" xfId="0" applyNumberFormat="1" applyFont="1" applyFill="1" applyBorder="1" applyAlignment="1">
      <alignment horizontal="center" vertical="center" wrapText="1"/>
    </xf>
    <xf numFmtId="0" fontId="70" fillId="35" borderId="57" xfId="0" applyFont="1" applyFill="1" applyBorder="1" applyAlignment="1">
      <alignment horizontal="center" vertical="center" wrapText="1"/>
    </xf>
    <xf numFmtId="0" fontId="0" fillId="35" borderId="0" xfId="0" applyFill="1"/>
    <xf numFmtId="0" fontId="0" fillId="35" borderId="62" xfId="0" applyFill="1" applyBorder="1"/>
    <xf numFmtId="0" fontId="0" fillId="35" borderId="63" xfId="0" applyFill="1" applyBorder="1"/>
    <xf numFmtId="3" fontId="0" fillId="0" borderId="0" xfId="0" applyNumberFormat="1" applyAlignment="1">
      <alignment vertical="top"/>
    </xf>
    <xf numFmtId="168" fontId="0" fillId="0" borderId="0" xfId="0" applyNumberFormat="1"/>
    <xf numFmtId="168" fontId="0" fillId="0" borderId="0" xfId="0" applyNumberFormat="1" applyAlignment="1">
      <alignment horizontal="right"/>
    </xf>
    <xf numFmtId="0" fontId="48" fillId="0" borderId="0" xfId="0" applyFont="1" applyBorder="1" applyAlignment="1">
      <alignment horizontal="right"/>
    </xf>
    <xf numFmtId="164" fontId="0" fillId="0" borderId="12" xfId="0" applyNumberFormat="1" applyBorder="1"/>
    <xf numFmtId="164" fontId="0" fillId="0" borderId="10" xfId="0" applyNumberFormat="1" applyBorder="1"/>
    <xf numFmtId="164" fontId="0" fillId="0" borderId="9" xfId="0" applyNumberFormat="1" applyBorder="1"/>
    <xf numFmtId="0" fontId="2" fillId="0" borderId="25" xfId="0" applyFont="1" applyBorder="1" applyAlignment="1">
      <alignment horizontal="center" vertical="center" textRotation="90" wrapText="1"/>
    </xf>
    <xf numFmtId="0" fontId="2" fillId="0" borderId="26" xfId="0" applyFont="1" applyBorder="1" applyAlignment="1">
      <alignment horizontal="center" vertical="center" textRotation="90" wrapText="1"/>
    </xf>
    <xf numFmtId="0" fontId="2" fillId="0" borderId="28" xfId="0" applyFont="1" applyBorder="1" applyAlignment="1">
      <alignment horizontal="center" vertical="center" textRotation="90" wrapText="1"/>
    </xf>
    <xf numFmtId="0" fontId="2" fillId="0" borderId="25" xfId="0" applyFont="1" applyBorder="1" applyAlignment="1">
      <alignment horizontal="center" vertical="center" textRotation="90"/>
    </xf>
    <xf numFmtId="0" fontId="2" fillId="0" borderId="26" xfId="0" applyFont="1" applyBorder="1" applyAlignment="1">
      <alignment horizontal="center" vertical="center" textRotation="90"/>
    </xf>
    <xf numFmtId="0" fontId="2" fillId="0" borderId="28" xfId="0" applyFont="1" applyBorder="1" applyAlignment="1">
      <alignment horizontal="center" vertical="center" textRotation="90"/>
    </xf>
    <xf numFmtId="3" fontId="10" fillId="0" borderId="27" xfId="0" applyNumberFormat="1" applyFont="1" applyBorder="1" applyAlignment="1">
      <alignment horizontal="right" vertical="center"/>
    </xf>
    <xf numFmtId="0" fontId="10" fillId="0" borderId="23" xfId="0" applyFont="1" applyBorder="1" applyAlignment="1">
      <alignment horizontal="right" vertical="center"/>
    </xf>
    <xf numFmtId="0" fontId="2" fillId="0" borderId="24" xfId="0" applyFont="1" applyBorder="1" applyAlignment="1">
      <alignment horizontal="center" vertical="center" textRotation="90"/>
    </xf>
    <xf numFmtId="3" fontId="0" fillId="0" borderId="16" xfId="0" applyNumberFormat="1" applyBorder="1" applyAlignment="1">
      <alignment horizontal="right" vertical="center"/>
    </xf>
    <xf numFmtId="0" fontId="0" fillId="0" borderId="26" xfId="0" applyBorder="1" applyAlignment="1">
      <alignment horizontal="center" vertical="center" textRotation="90"/>
    </xf>
    <xf numFmtId="0" fontId="0" fillId="0" borderId="28" xfId="0" applyBorder="1" applyAlignment="1">
      <alignment horizontal="center" vertical="center" textRotation="90"/>
    </xf>
    <xf numFmtId="3" fontId="0" fillId="0" borderId="17" xfId="0" applyNumberFormat="1" applyBorder="1" applyAlignment="1">
      <alignment horizontal="right" vertical="center"/>
    </xf>
    <xf numFmtId="0" fontId="0" fillId="0" borderId="20" xfId="0" applyBorder="1"/>
    <xf numFmtId="0" fontId="0" fillId="0" borderId="22" xfId="0" applyBorder="1"/>
    <xf numFmtId="0" fontId="2" fillId="31" borderId="20" xfId="0" applyFont="1" applyFill="1" applyBorder="1" applyAlignment="1">
      <alignment horizontal="center" vertical="center"/>
    </xf>
    <xf numFmtId="0" fontId="0" fillId="31" borderId="21" xfId="0" applyFill="1" applyBorder="1" applyAlignment="1">
      <alignment horizontal="center" vertical="center"/>
    </xf>
    <xf numFmtId="0" fontId="0" fillId="31" borderId="23" xfId="0" applyFill="1" applyBorder="1" applyAlignment="1">
      <alignment horizontal="center" vertical="center"/>
    </xf>
    <xf numFmtId="0" fontId="0" fillId="31" borderId="17" xfId="0" applyFill="1" applyBorder="1" applyAlignment="1">
      <alignment horizontal="center" vertical="center"/>
    </xf>
    <xf numFmtId="0" fontId="0" fillId="0" borderId="27" xfId="0" applyBorder="1"/>
    <xf numFmtId="0" fontId="0" fillId="0" borderId="0" xfId="0"/>
    <xf numFmtId="0" fontId="0" fillId="0" borderId="23" xfId="0" applyBorder="1"/>
    <xf numFmtId="0" fontId="0" fillId="0" borderId="15" xfId="0" applyBorder="1"/>
    <xf numFmtId="0" fontId="68" fillId="0" borderId="22" xfId="0" quotePrefix="1" applyFont="1" applyBorder="1" applyAlignment="1">
      <alignment horizontal="center" vertical="center"/>
    </xf>
    <xf numFmtId="0" fontId="0" fillId="0" borderId="0" xfId="0" applyAlignment="1">
      <alignment horizontal="center" vertical="center"/>
    </xf>
    <xf numFmtId="0" fontId="0" fillId="0" borderId="15" xfId="0" applyBorder="1" applyAlignment="1">
      <alignment horizontal="center" vertical="center"/>
    </xf>
    <xf numFmtId="0" fontId="68" fillId="0" borderId="21" xfId="0" quotePrefix="1" applyFont="1"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3" fontId="0" fillId="0" borderId="21" xfId="0" quotePrefix="1" applyNumberFormat="1" applyBorder="1" applyAlignment="1">
      <alignment horizontal="center" vertical="center"/>
    </xf>
    <xf numFmtId="0" fontId="0" fillId="0" borderId="16" xfId="0" quotePrefix="1" applyBorder="1" applyAlignment="1">
      <alignment horizontal="center" vertical="center"/>
    </xf>
    <xf numFmtId="0" fontId="10" fillId="0" borderId="22" xfId="0" quotePrefix="1" applyFont="1" applyBorder="1" applyAlignment="1">
      <alignment horizontal="center" vertical="center" wrapText="1"/>
    </xf>
    <xf numFmtId="0" fontId="10" fillId="0" borderId="0" xfId="0" quotePrefix="1" applyFont="1" applyAlignment="1">
      <alignment horizontal="center" vertical="center" wrapText="1"/>
    </xf>
    <xf numFmtId="0" fontId="10" fillId="0" borderId="15" xfId="0" quotePrefix="1" applyFont="1" applyBorder="1" applyAlignment="1">
      <alignment horizontal="center" vertical="center" wrapText="1"/>
    </xf>
    <xf numFmtId="0" fontId="10" fillId="0" borderId="21" xfId="0" quotePrefix="1" applyFont="1" applyBorder="1" applyAlignment="1">
      <alignment horizontal="center" vertical="center"/>
    </xf>
    <xf numFmtId="0" fontId="10" fillId="0" borderId="16" xfId="0" quotePrefix="1" applyFont="1" applyBorder="1" applyAlignment="1">
      <alignment horizontal="center" vertical="center"/>
    </xf>
    <xf numFmtId="0" fontId="10" fillId="0" borderId="17" xfId="0" quotePrefix="1" applyFont="1" applyBorder="1" applyAlignment="1">
      <alignment horizontal="center" vertical="center"/>
    </xf>
    <xf numFmtId="3" fontId="10" fillId="0" borderId="26" xfId="0" applyNumberFormat="1" applyFont="1" applyBorder="1" applyAlignment="1">
      <alignment horizontal="right" vertical="center"/>
    </xf>
    <xf numFmtId="3" fontId="10" fillId="0" borderId="28" xfId="0" applyNumberFormat="1" applyFont="1" applyBorder="1" applyAlignment="1">
      <alignment horizontal="right" vertical="center"/>
    </xf>
    <xf numFmtId="0" fontId="0" fillId="0" borderId="15" xfId="0" applyBorder="1" applyAlignment="1">
      <alignment horizontal="center"/>
    </xf>
    <xf numFmtId="0" fontId="0" fillId="0" borderId="15" xfId="0" applyBorder="1" applyAlignment="1">
      <alignment horizontal="right"/>
    </xf>
    <xf numFmtId="0" fontId="0" fillId="0" borderId="22" xfId="0" applyBorder="1" applyAlignment="1">
      <alignment horizontal="right"/>
    </xf>
    <xf numFmtId="0" fontId="47" fillId="0" borderId="0" xfId="0" applyFont="1" applyAlignment="1">
      <alignment horizontal="center"/>
    </xf>
    <xf numFmtId="3" fontId="0" fillId="4" borderId="21" xfId="0" applyNumberFormat="1" applyFill="1" applyBorder="1" applyAlignment="1">
      <alignment horizontal="center" vertical="center" wrapText="1"/>
    </xf>
    <xf numFmtId="3" fontId="0" fillId="4" borderId="16" xfId="0" applyNumberFormat="1" applyFill="1" applyBorder="1" applyAlignment="1">
      <alignment horizontal="center" vertical="center" wrapText="1"/>
    </xf>
    <xf numFmtId="3" fontId="0" fillId="4" borderId="17" xfId="0" applyNumberFormat="1" applyFill="1" applyBorder="1" applyAlignment="1">
      <alignment horizontal="center" vertical="center" wrapText="1"/>
    </xf>
    <xf numFmtId="0" fontId="0" fillId="12" borderId="0" xfId="0"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0" fillId="0" borderId="15" xfId="0" applyBorder="1" applyAlignment="1">
      <alignment horizontal="center" vertical="center" wrapText="1"/>
    </xf>
    <xf numFmtId="0" fontId="0" fillId="3" borderId="15" xfId="0" applyFill="1" applyBorder="1" applyAlignment="1">
      <alignment horizontal="center" vertical="center" wrapText="1"/>
    </xf>
    <xf numFmtId="0" fontId="0" fillId="0" borderId="0" xfId="0" applyAlignment="1">
      <alignment horizontal="left" wrapText="1"/>
    </xf>
    <xf numFmtId="0" fontId="1" fillId="0" borderId="12" xfId="0" applyFont="1" applyBorder="1" applyAlignment="1">
      <alignment vertical="center" wrapText="1"/>
    </xf>
    <xf numFmtId="0" fontId="1" fillId="0" borderId="10" xfId="0" applyFont="1" applyBorder="1" applyAlignment="1">
      <alignment vertical="center" wrapText="1"/>
    </xf>
    <xf numFmtId="0" fontId="1" fillId="0" borderId="9" xfId="0" applyFont="1" applyBorder="1" applyAlignment="1">
      <alignment vertical="center" wrapText="1"/>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0" fillId="0" borderId="0" xfId="0" applyAlignment="1">
      <alignment horizontal="left" vertical="top"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3" fontId="0" fillId="0" borderId="0" xfId="0" applyNumberFormat="1" applyAlignment="1">
      <alignment horizontal="center"/>
    </xf>
    <xf numFmtId="0" fontId="0" fillId="21" borderId="1" xfId="0" applyFill="1" applyBorder="1" applyAlignment="1">
      <alignment horizontal="left" wrapText="1"/>
    </xf>
    <xf numFmtId="0" fontId="0" fillId="21" borderId="2" xfId="0" applyFill="1" applyBorder="1" applyAlignment="1">
      <alignment horizontal="left" wrapText="1"/>
    </xf>
    <xf numFmtId="0" fontId="0" fillId="21" borderId="3" xfId="0" applyFill="1" applyBorder="1" applyAlignment="1">
      <alignment horizontal="left" wrapText="1"/>
    </xf>
    <xf numFmtId="0" fontId="0" fillId="21" borderId="43" xfId="0" applyFill="1" applyBorder="1" applyAlignment="1">
      <alignment horizontal="left" wrapText="1"/>
    </xf>
    <xf numFmtId="0" fontId="0" fillId="21" borderId="0" xfId="0" applyFill="1" applyAlignment="1">
      <alignment horizontal="left" wrapText="1"/>
    </xf>
    <xf numFmtId="0" fontId="0" fillId="21" borderId="13" xfId="0" applyFill="1" applyBorder="1" applyAlignment="1">
      <alignment horizontal="left" wrapText="1"/>
    </xf>
    <xf numFmtId="0" fontId="0" fillId="21" borderId="4" xfId="0" applyFill="1" applyBorder="1" applyAlignment="1">
      <alignment horizontal="left" wrapText="1"/>
    </xf>
    <xf numFmtId="0" fontId="0" fillId="21" borderId="5" xfId="0" applyFill="1" applyBorder="1" applyAlignment="1">
      <alignment horizontal="left" wrapText="1"/>
    </xf>
    <xf numFmtId="0" fontId="0" fillId="21" borderId="6" xfId="0" applyFill="1" applyBorder="1" applyAlignment="1">
      <alignment horizontal="left" wrapText="1"/>
    </xf>
    <xf numFmtId="0" fontId="0" fillId="16" borderId="1" xfId="0" applyFill="1" applyBorder="1" applyAlignment="1">
      <alignment horizontal="left" wrapText="1"/>
    </xf>
    <xf numFmtId="0" fontId="0" fillId="16" borderId="2" xfId="0" applyFill="1" applyBorder="1" applyAlignment="1">
      <alignment horizontal="left" wrapText="1"/>
    </xf>
    <xf numFmtId="0" fontId="0" fillId="16" borderId="3" xfId="0" applyFill="1" applyBorder="1" applyAlignment="1">
      <alignment horizontal="left" wrapText="1"/>
    </xf>
    <xf numFmtId="0" fontId="0" fillId="16" borderId="43" xfId="0" applyFill="1" applyBorder="1" applyAlignment="1">
      <alignment horizontal="left" wrapText="1"/>
    </xf>
    <xf numFmtId="0" fontId="0" fillId="16" borderId="0" xfId="0" applyFill="1" applyAlignment="1">
      <alignment horizontal="left" wrapText="1"/>
    </xf>
    <xf numFmtId="0" fontId="0" fillId="16" borderId="13" xfId="0" applyFill="1" applyBorder="1" applyAlignment="1">
      <alignment horizontal="left" wrapText="1"/>
    </xf>
    <xf numFmtId="0" fontId="0" fillId="16" borderId="4" xfId="0" applyFill="1" applyBorder="1" applyAlignment="1">
      <alignment horizontal="left" wrapText="1"/>
    </xf>
    <xf numFmtId="0" fontId="0" fillId="16" borderId="5" xfId="0" applyFill="1" applyBorder="1" applyAlignment="1">
      <alignment horizontal="left" wrapText="1"/>
    </xf>
    <xf numFmtId="0" fontId="0" fillId="16" borderId="6" xfId="0" applyFill="1" applyBorder="1" applyAlignment="1">
      <alignment horizontal="left" wrapText="1"/>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48" fillId="0" borderId="15" xfId="0" applyFont="1" applyBorder="1" applyAlignment="1">
      <alignment horizontal="center"/>
    </xf>
    <xf numFmtId="0" fontId="10" fillId="0" borderId="0" xfId="0" quotePrefix="1" applyFont="1" applyAlignment="1">
      <alignment horizontal="center" vertical="center"/>
    </xf>
    <xf numFmtId="0" fontId="10" fillId="0" borderId="15" xfId="0" applyFont="1" applyBorder="1" applyAlignment="1">
      <alignment vertical="center"/>
    </xf>
    <xf numFmtId="0" fontId="0" fillId="0" borderId="29" xfId="0" applyBorder="1" applyAlignment="1">
      <alignment horizontal="center"/>
    </xf>
    <xf numFmtId="0" fontId="62" fillId="0" borderId="1" xfId="0" applyFont="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50" fillId="22" borderId="1" xfId="0" applyFont="1" applyFill="1" applyBorder="1" applyAlignment="1">
      <alignment horizontal="center"/>
    </xf>
    <xf numFmtId="0" fontId="50" fillId="22" borderId="2" xfId="0" applyFont="1" applyFill="1" applyBorder="1" applyAlignment="1">
      <alignment horizontal="center"/>
    </xf>
    <xf numFmtId="0" fontId="50" fillId="22" borderId="3" xfId="0" applyFont="1" applyFill="1" applyBorder="1" applyAlignment="1">
      <alignment horizontal="center"/>
    </xf>
    <xf numFmtId="0" fontId="50" fillId="22" borderId="1" xfId="0" applyFont="1" applyFill="1" applyBorder="1" applyAlignment="1">
      <alignment horizontal="center" wrapText="1"/>
    </xf>
    <xf numFmtId="0" fontId="50" fillId="22" borderId="3" xfId="0" applyFont="1" applyFill="1" applyBorder="1" applyAlignment="1">
      <alignment horizontal="center" wrapText="1"/>
    </xf>
    <xf numFmtId="0" fontId="0" fillId="0" borderId="1" xfId="0"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0" fillId="0" borderId="8" xfId="0" applyBorder="1" applyAlignment="1">
      <alignment horizontal="center"/>
    </xf>
    <xf numFmtId="0" fontId="0" fillId="0" borderId="7" xfId="0" applyBorder="1" applyAlignment="1">
      <alignment horizontal="center"/>
    </xf>
    <xf numFmtId="0" fontId="48" fillId="0" borderId="0" xfId="0" applyFont="1" applyAlignment="1">
      <alignment horizontal="center"/>
    </xf>
    <xf numFmtId="0" fontId="0" fillId="0" borderId="0" xfId="0" applyAlignment="1">
      <alignment horizontal="center"/>
    </xf>
    <xf numFmtId="0" fontId="50" fillId="25" borderId="20" xfId="0" applyFont="1" applyFill="1" applyBorder="1" applyAlignment="1">
      <alignment horizontal="center"/>
    </xf>
    <xf numFmtId="0" fontId="0" fillId="0" borderId="19" xfId="0" applyBorder="1" applyAlignment="1">
      <alignment horizontal="center"/>
    </xf>
    <xf numFmtId="0" fontId="50" fillId="0" borderId="50" xfId="0" applyFont="1" applyBorder="1" applyAlignment="1">
      <alignment horizontal="center"/>
    </xf>
    <xf numFmtId="0" fontId="50" fillId="0" borderId="51" xfId="0" applyFont="1" applyBorder="1" applyAlignment="1">
      <alignment horizontal="center"/>
    </xf>
    <xf numFmtId="0" fontId="50" fillId="0" borderId="52" xfId="0" applyFont="1" applyBorder="1" applyAlignment="1">
      <alignment horizontal="center"/>
    </xf>
    <xf numFmtId="0" fontId="2" fillId="13" borderId="0" xfId="0" applyFont="1" applyFill="1" applyAlignment="1">
      <alignment horizontal="center" vertical="center" wrapText="1"/>
    </xf>
    <xf numFmtId="0" fontId="0" fillId="0" borderId="3" xfId="0" applyBorder="1" applyAlignment="1">
      <alignment horizontal="center" vertical="center" wrapText="1"/>
    </xf>
    <xf numFmtId="0" fontId="1" fillId="0" borderId="13" xfId="0" applyFont="1" applyBorder="1" applyAlignment="1">
      <alignment horizontal="center" vertical="center" wrapText="1"/>
    </xf>
    <xf numFmtId="0" fontId="1" fillId="0" borderId="6" xfId="0" applyFont="1" applyBorder="1" applyAlignment="1">
      <alignment horizontal="center" vertical="center" wrapText="1"/>
    </xf>
    <xf numFmtId="0" fontId="0" fillId="0" borderId="13" xfId="0" applyBorder="1" applyAlignment="1">
      <alignment horizontal="center"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3" fontId="0" fillId="0" borderId="0" xfId="0" applyNumberFormat="1" applyAlignment="1">
      <alignment horizontal="right" vertical="center"/>
    </xf>
    <xf numFmtId="0" fontId="2" fillId="4" borderId="0" xfId="0" applyFont="1" applyFill="1" applyAlignment="1">
      <alignment horizontal="left"/>
    </xf>
    <xf numFmtId="0" fontId="26" fillId="0" borderId="0" xfId="0" applyFont="1" applyAlignment="1">
      <alignment wrapText="1"/>
    </xf>
    <xf numFmtId="0" fontId="19" fillId="0" borderId="0" xfId="0" applyFont="1" applyAlignment="1">
      <alignment wrapText="1"/>
    </xf>
    <xf numFmtId="0" fontId="22" fillId="0" borderId="0" xfId="0" applyFont="1" applyAlignment="1">
      <alignment wrapText="1"/>
    </xf>
    <xf numFmtId="0" fontId="0" fillId="30" borderId="18" xfId="0" applyFill="1" applyBorder="1" applyAlignment="1">
      <alignment horizontal="center"/>
    </xf>
    <xf numFmtId="0" fontId="0" fillId="30" borderId="19" xfId="0" applyFill="1" applyBorder="1" applyAlignment="1">
      <alignment horizontal="center"/>
    </xf>
    <xf numFmtId="0" fontId="0" fillId="0" borderId="22" xfId="0" applyBorder="1" applyAlignment="1">
      <alignment horizontal="left" wrapText="1"/>
    </xf>
    <xf numFmtId="0" fontId="2" fillId="0" borderId="11" xfId="0" applyFont="1" applyBorder="1" applyAlignment="1">
      <alignment horizontal="center"/>
    </xf>
    <xf numFmtId="0" fontId="2" fillId="0" borderId="8" xfId="0" applyFont="1" applyBorder="1" applyAlignment="1">
      <alignment horizontal="center"/>
    </xf>
    <xf numFmtId="0" fontId="2" fillId="0" borderId="7" xfId="0" applyFont="1" applyBorder="1" applyAlignment="1">
      <alignment horizontal="center"/>
    </xf>
    <xf numFmtId="0" fontId="2" fillId="0" borderId="0" xfId="0" applyFont="1" applyAlignment="1">
      <alignment horizontal="left" wrapText="1"/>
    </xf>
    <xf numFmtId="0" fontId="0" fillId="0" borderId="23" xfId="0" applyBorder="1" applyAlignment="1">
      <alignment horizontal="center"/>
    </xf>
    <xf numFmtId="0" fontId="0" fillId="0" borderId="17" xfId="0" applyBorder="1" applyAlignment="1">
      <alignment horizontal="center"/>
    </xf>
    <xf numFmtId="0" fontId="0" fillId="0" borderId="25" xfId="0" applyBorder="1" applyAlignment="1">
      <alignment horizontal="left" wrapText="1"/>
    </xf>
    <xf numFmtId="0" fontId="0" fillId="0" borderId="26" xfId="0" applyBorder="1" applyAlignment="1">
      <alignment horizontal="left" wrapText="1"/>
    </xf>
    <xf numFmtId="0" fontId="0" fillId="0" borderId="28" xfId="0" applyBorder="1" applyAlignment="1">
      <alignment horizontal="left" wrapText="1"/>
    </xf>
    <xf numFmtId="0" fontId="0" fillId="0" borderId="18" xfId="0" applyBorder="1" applyAlignment="1">
      <alignment horizontal="center" wrapText="1"/>
    </xf>
    <xf numFmtId="0" fontId="0" fillId="0" borderId="19" xfId="0" applyBorder="1" applyAlignment="1">
      <alignment horizontal="center" wrapText="1"/>
    </xf>
    <xf numFmtId="0" fontId="0" fillId="0" borderId="20" xfId="0"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0" fillId="0" borderId="18" xfId="0" applyBorder="1" applyAlignment="1">
      <alignment horizontal="center"/>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165" fontId="39" fillId="0" borderId="35" xfId="0" applyNumberFormat="1" applyFont="1" applyBorder="1" applyAlignment="1">
      <alignment horizontal="right" vertical="top" wrapText="1" indent="1"/>
    </xf>
    <xf numFmtId="165" fontId="39" fillId="0" borderId="33" xfId="0" applyNumberFormat="1" applyFont="1" applyBorder="1" applyAlignment="1">
      <alignment horizontal="right" vertical="top" wrapText="1" indent="1"/>
    </xf>
    <xf numFmtId="165" fontId="39" fillId="0" borderId="38" xfId="0" applyNumberFormat="1" applyFont="1" applyBorder="1" applyAlignment="1">
      <alignment horizontal="right" vertical="top" wrapText="1" indent="1"/>
    </xf>
    <xf numFmtId="165" fontId="39" fillId="0" borderId="36" xfId="0" applyNumberFormat="1" applyFont="1" applyBorder="1" applyAlignment="1">
      <alignment horizontal="right" vertical="top" wrapText="1" indent="1"/>
    </xf>
    <xf numFmtId="0" fontId="0" fillId="0" borderId="2" xfId="0" applyBorder="1" applyAlignment="1">
      <alignment horizontal="center" vertical="center" wrapText="1"/>
    </xf>
    <xf numFmtId="0" fontId="0" fillId="0" borderId="2" xfId="0" applyBorder="1" applyAlignment="1">
      <alignment horizontal="center" vertical="center"/>
    </xf>
    <xf numFmtId="0" fontId="0" fillId="0" borderId="53" xfId="0" applyBorder="1" applyAlignment="1">
      <alignment horizontal="center" vertical="center"/>
    </xf>
    <xf numFmtId="0" fontId="0" fillId="0" borderId="22" xfId="0"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xf>
    <xf numFmtId="0" fontId="2" fillId="14" borderId="1" xfId="0" applyFont="1" applyFill="1" applyBorder="1" applyAlignment="1">
      <alignment horizontal="center" wrapText="1"/>
    </xf>
    <xf numFmtId="0" fontId="2" fillId="14" borderId="2" xfId="0" applyFont="1" applyFill="1" applyBorder="1" applyAlignment="1">
      <alignment horizontal="center" wrapText="1"/>
    </xf>
    <xf numFmtId="0" fontId="2" fillId="14" borderId="3" xfId="0" applyFont="1" applyFill="1" applyBorder="1" applyAlignment="1">
      <alignment horizontal="center" wrapText="1"/>
    </xf>
    <xf numFmtId="0" fontId="2" fillId="14" borderId="4" xfId="0" applyFont="1" applyFill="1" applyBorder="1" applyAlignment="1">
      <alignment horizontal="center" wrapText="1"/>
    </xf>
    <xf numFmtId="0" fontId="2" fillId="14" borderId="5" xfId="0" applyFont="1" applyFill="1" applyBorder="1" applyAlignment="1">
      <alignment horizontal="center" wrapText="1"/>
    </xf>
    <xf numFmtId="0" fontId="2" fillId="14" borderId="6" xfId="0" applyFont="1" applyFill="1" applyBorder="1" applyAlignment="1">
      <alignment horizontal="center" wrapText="1"/>
    </xf>
    <xf numFmtId="0" fontId="0" fillId="0" borderId="53" xfId="0" applyBorder="1" applyAlignment="1">
      <alignment horizontal="center" wrapText="1"/>
    </xf>
    <xf numFmtId="0" fontId="2" fillId="14" borderId="11" xfId="0" applyFont="1" applyFill="1" applyBorder="1" applyAlignment="1">
      <alignment horizontal="center"/>
    </xf>
    <xf numFmtId="0" fontId="2" fillId="14" borderId="8" xfId="0" applyFont="1" applyFill="1" applyBorder="1" applyAlignment="1">
      <alignment horizontal="center"/>
    </xf>
    <xf numFmtId="0" fontId="2" fillId="14" borderId="7" xfId="0" applyFont="1" applyFill="1"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48" xfId="0" applyBorder="1" applyAlignment="1">
      <alignment horizontal="center" vertical="center" wrapText="1"/>
    </xf>
    <xf numFmtId="0" fontId="2" fillId="14" borderId="56" xfId="0" applyFont="1" applyFill="1" applyBorder="1" applyAlignment="1">
      <alignment horizontal="center"/>
    </xf>
    <xf numFmtId="0" fontId="2" fillId="14" borderId="53" xfId="0" applyFont="1" applyFill="1" applyBorder="1" applyAlignment="1">
      <alignment horizontal="center"/>
    </xf>
    <xf numFmtId="0" fontId="2" fillId="14" borderId="54" xfId="0" applyFont="1" applyFill="1" applyBorder="1" applyAlignment="1">
      <alignment horizontal="center"/>
    </xf>
    <xf numFmtId="0" fontId="0" fillId="0" borderId="29" xfId="0" applyBorder="1" applyAlignment="1">
      <alignment horizontal="center" vertical="center" wrapText="1"/>
    </xf>
    <xf numFmtId="0" fontId="0" fillId="0" borderId="13" xfId="0" applyBorder="1" applyAlignment="1">
      <alignment horizontal="left" wrapText="1"/>
    </xf>
  </cellXfs>
  <cellStyles count="9">
    <cellStyle name="Comma" xfId="7" builtinId="3"/>
    <cellStyle name="Hyperlink" xfId="8" builtinId="8"/>
    <cellStyle name="Normal" xfId="0" builtinId="0"/>
    <cellStyle name="Normal 2" xfId="2" xr:uid="{00000000-0005-0000-0000-000003000000}"/>
    <cellStyle name="Normal 3" xfId="5" xr:uid="{00000000-0005-0000-0000-000004000000}"/>
    <cellStyle name="Normal 4" xfId="6" xr:uid="{00000000-0005-0000-0000-000005000000}"/>
    <cellStyle name="Normal_T3" xfId="3" xr:uid="{00000000-0005-0000-0000-000006000000}"/>
    <cellStyle name="Percent" xfId="1" builtinId="5"/>
    <cellStyle name="Percent 2" xfId="4" xr:uid="{00000000-0005-0000-0000-000008000000}"/>
  </cellStyles>
  <dxfs count="0"/>
  <tableStyles count="0" defaultTableStyle="TableStyleMedium2" defaultPivotStyle="PivotStyleLight16"/>
  <colors>
    <mruColors>
      <color rgb="FFD0DB99"/>
      <color rgb="FF8D9D38"/>
      <color rgb="FF5B6624"/>
      <color rgb="FFE4EA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96030956614986E-2"/>
          <c:y val="5.6946349448254455E-2"/>
          <c:w val="0.87820294196480653"/>
          <c:h val="0.79288078460578337"/>
        </c:manualLayout>
      </c:layout>
      <c:barChart>
        <c:barDir val="col"/>
        <c:grouping val="stacked"/>
        <c:varyColors val="0"/>
        <c:ser>
          <c:idx val="0"/>
          <c:order val="0"/>
          <c:tx>
            <c:v>Downstream of Bonneville Dam</c:v>
          </c:tx>
          <c:spPr>
            <a:solidFill>
              <a:srgbClr val="5B6624"/>
            </a:solidFill>
            <a:ln>
              <a:solidFill>
                <a:schemeClr val="tx1"/>
              </a:solidFill>
            </a:ln>
            <a:effectLst/>
          </c:spPr>
          <c:invertIfNegative val="0"/>
          <c:cat>
            <c:numRef>
              <c:f>Run!$B$2:$B$77</c:f>
              <c:numCache>
                <c:formatCode>General</c:formatCode>
                <c:ptCount val="76"/>
                <c:pt idx="0">
                  <c:v>1938</c:v>
                </c:pt>
                <c:pt idx="1">
                  <c:v>1939</c:v>
                </c:pt>
                <c:pt idx="2">
                  <c:v>1940</c:v>
                </c:pt>
                <c:pt idx="3">
                  <c:v>1941</c:v>
                </c:pt>
                <c:pt idx="4">
                  <c:v>1942</c:v>
                </c:pt>
                <c:pt idx="5">
                  <c:v>1943</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numCache>
            </c:numRef>
          </c:cat>
          <c:val>
            <c:numRef>
              <c:f>Run!$C$2:$C$77</c:f>
              <c:numCache>
                <c:formatCode>General</c:formatCode>
                <c:ptCount val="76"/>
                <c:pt idx="0">
                  <c:v>271.89999999999998</c:v>
                </c:pt>
                <c:pt idx="1">
                  <c:v>184.2</c:v>
                </c:pt>
                <c:pt idx="2">
                  <c:v>164.4</c:v>
                </c:pt>
                <c:pt idx="3">
                  <c:v>131.5</c:v>
                </c:pt>
                <c:pt idx="4">
                  <c:v>83.8</c:v>
                </c:pt>
                <c:pt idx="5">
                  <c:v>80.900000000000006</c:v>
                </c:pt>
                <c:pt idx="6">
                  <c:v>176.2</c:v>
                </c:pt>
                <c:pt idx="7">
                  <c:v>134.5</c:v>
                </c:pt>
                <c:pt idx="8">
                  <c:v>100.7</c:v>
                </c:pt>
                <c:pt idx="9">
                  <c:v>125.9</c:v>
                </c:pt>
                <c:pt idx="10">
                  <c:v>112.4</c:v>
                </c:pt>
                <c:pt idx="11">
                  <c:v>126.3</c:v>
                </c:pt>
                <c:pt idx="12">
                  <c:v>61.3</c:v>
                </c:pt>
                <c:pt idx="13">
                  <c:v>37.4</c:v>
                </c:pt>
                <c:pt idx="14">
                  <c:v>64.3</c:v>
                </c:pt>
                <c:pt idx="15">
                  <c:v>64.400000000000006</c:v>
                </c:pt>
                <c:pt idx="16">
                  <c:v>55.1</c:v>
                </c:pt>
                <c:pt idx="17">
                  <c:v>24.2</c:v>
                </c:pt>
                <c:pt idx="18">
                  <c:v>21.2</c:v>
                </c:pt>
                <c:pt idx="19">
                  <c:v>47.7</c:v>
                </c:pt>
                <c:pt idx="20">
                  <c:v>112.4</c:v>
                </c:pt>
                <c:pt idx="21">
                  <c:v>184.7</c:v>
                </c:pt>
                <c:pt idx="22">
                  <c:v>161.9</c:v>
                </c:pt>
                <c:pt idx="23">
                  <c:v>453.9</c:v>
                </c:pt>
                <c:pt idx="24">
                  <c:v>519</c:v>
                </c:pt>
                <c:pt idx="25">
                  <c:v>785.9</c:v>
                </c:pt>
                <c:pt idx="26">
                  <c:v>694.2</c:v>
                </c:pt>
                <c:pt idx="27">
                  <c:v>423.9</c:v>
                </c:pt>
                <c:pt idx="28">
                  <c:v>463.4</c:v>
                </c:pt>
                <c:pt idx="29">
                  <c:v>1079</c:v>
                </c:pt>
                <c:pt idx="30">
                  <c:v>648.70000000000005</c:v>
                </c:pt>
                <c:pt idx="31">
                  <c:v>362.6</c:v>
                </c:pt>
                <c:pt idx="32">
                  <c:v>422.8</c:v>
                </c:pt>
                <c:pt idx="33">
                  <c:v>534</c:v>
                </c:pt>
                <c:pt idx="34">
                  <c:v>437.7</c:v>
                </c:pt>
                <c:pt idx="35">
                  <c:v>384.1</c:v>
                </c:pt>
                <c:pt idx="36">
                  <c:v>199</c:v>
                </c:pt>
                <c:pt idx="37">
                  <c:v>382.7</c:v>
                </c:pt>
                <c:pt idx="38">
                  <c:v>330.7</c:v>
                </c:pt>
                <c:pt idx="39">
                  <c:v>343</c:v>
                </c:pt>
                <c:pt idx="40">
                  <c:v>208</c:v>
                </c:pt>
                <c:pt idx="41">
                  <c:v>518.6</c:v>
                </c:pt>
                <c:pt idx="42">
                  <c:v>143.4</c:v>
                </c:pt>
                <c:pt idx="43">
                  <c:v>446.9</c:v>
                </c:pt>
                <c:pt idx="44">
                  <c:v>435.3</c:v>
                </c:pt>
                <c:pt idx="45">
                  <c:v>1574.1</c:v>
                </c:pt>
                <c:pt idx="46">
                  <c:v>388.7</c:v>
                </c:pt>
                <c:pt idx="47">
                  <c:v>726.6</c:v>
                </c:pt>
                <c:pt idx="48">
                  <c:v>752.4</c:v>
                </c:pt>
                <c:pt idx="49">
                  <c:v>262.10000000000002</c:v>
                </c:pt>
                <c:pt idx="50">
                  <c:v>957.1</c:v>
                </c:pt>
                <c:pt idx="51">
                  <c:v>237</c:v>
                </c:pt>
                <c:pt idx="52">
                  <c:v>118.2</c:v>
                </c:pt>
                <c:pt idx="53">
                  <c:v>178.2</c:v>
                </c:pt>
                <c:pt idx="54">
                  <c:v>89.5</c:v>
                </c:pt>
                <c:pt idx="55">
                  <c:v>129.80000000000001</c:v>
                </c:pt>
                <c:pt idx="56">
                  <c:v>157.30000000000001</c:v>
                </c:pt>
                <c:pt idx="57">
                  <c:v>189.8</c:v>
                </c:pt>
                <c:pt idx="58">
                  <c:v>303.2</c:v>
                </c:pt>
                <c:pt idx="59">
                  <c:v>628.5</c:v>
                </c:pt>
                <c:pt idx="60">
                  <c:v>1132.7</c:v>
                </c:pt>
                <c:pt idx="61">
                  <c:v>557.6</c:v>
                </c:pt>
                <c:pt idx="62">
                  <c:v>713.2</c:v>
                </c:pt>
                <c:pt idx="63">
                  <c:v>463.5</c:v>
                </c:pt>
                <c:pt idx="64">
                  <c:v>354.7</c:v>
                </c:pt>
                <c:pt idx="65">
                  <c:v>409.7</c:v>
                </c:pt>
                <c:pt idx="66">
                  <c:v>349</c:v>
                </c:pt>
                <c:pt idx="67">
                  <c:v>520.79999999999995</c:v>
                </c:pt>
                <c:pt idx="68">
                  <c:v>760.2</c:v>
                </c:pt>
                <c:pt idx="69">
                  <c:v>471.3</c:v>
                </c:pt>
                <c:pt idx="70">
                  <c:v>376.5</c:v>
                </c:pt>
                <c:pt idx="71">
                  <c:v>143.9</c:v>
                </c:pt>
                <c:pt idx="72">
                  <c:v>241</c:v>
                </c:pt>
                <c:pt idx="73">
                  <c:v>970</c:v>
                </c:pt>
                <c:pt idx="74">
                  <c:v>171.4</c:v>
                </c:pt>
                <c:pt idx="75">
                  <c:v>196.3</c:v>
                </c:pt>
              </c:numCache>
            </c:numRef>
          </c:val>
          <c:extLst>
            <c:ext xmlns:c16="http://schemas.microsoft.com/office/drawing/2014/chart" uri="{C3380CC4-5D6E-409C-BE32-E72D297353CC}">
              <c16:uniqueId val="{00000000-75F4-403F-8826-A5E288046833}"/>
            </c:ext>
          </c:extLst>
        </c:ser>
        <c:dLbls>
          <c:showLegendKey val="0"/>
          <c:showVal val="0"/>
          <c:showCatName val="0"/>
          <c:showSerName val="0"/>
          <c:showPercent val="0"/>
          <c:showBubbleSize val="0"/>
        </c:dLbls>
        <c:gapWidth val="0"/>
        <c:overlap val="100"/>
        <c:axId val="80189696"/>
        <c:axId val="80195584"/>
        <c:extLst>
          <c:ext xmlns:c15="http://schemas.microsoft.com/office/drawing/2012/chart" uri="{02D57815-91ED-43cb-92C2-25804820EDAC}">
            <c15:filteredBarSeries>
              <c15:ser>
                <c:idx val="1"/>
                <c:order val="1"/>
                <c:tx>
                  <c:v>Bonneville Dam</c:v>
                </c:tx>
                <c:spPr>
                  <a:solidFill>
                    <a:schemeClr val="accent6">
                      <a:lumMod val="60000"/>
                      <a:lumOff val="40000"/>
                    </a:schemeClr>
                  </a:solidFill>
                  <a:ln>
                    <a:solidFill>
                      <a:schemeClr val="tx1"/>
                    </a:solidFill>
                  </a:ln>
                  <a:effectLst/>
                </c:spPr>
                <c:invertIfNegative val="0"/>
                <c:cat>
                  <c:numRef>
                    <c:extLst>
                      <c:ext uri="{02D57815-91ED-43cb-92C2-25804820EDAC}">
                        <c15:formulaRef>
                          <c15:sqref>Run!$B$2:$B$77</c15:sqref>
                        </c15:formulaRef>
                      </c:ext>
                    </c:extLst>
                    <c:numCache>
                      <c:formatCode>General</c:formatCode>
                      <c:ptCount val="76"/>
                      <c:pt idx="0">
                        <c:v>1938</c:v>
                      </c:pt>
                      <c:pt idx="1">
                        <c:v>1939</c:v>
                      </c:pt>
                      <c:pt idx="2">
                        <c:v>1940</c:v>
                      </c:pt>
                      <c:pt idx="3">
                        <c:v>1941</c:v>
                      </c:pt>
                      <c:pt idx="4">
                        <c:v>1942</c:v>
                      </c:pt>
                      <c:pt idx="5">
                        <c:v>1943</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numCache>
                  </c:numRef>
                </c:cat>
                <c:val>
                  <c:numRef>
                    <c:extLst>
                      <c:ext uri="{02D57815-91ED-43cb-92C2-25804820EDAC}">
                        <c15:formulaRef>
                          <c15:sqref>Run!$E$2:$E$77</c15:sqref>
                        </c15:formulaRef>
                      </c:ext>
                    </c:extLst>
                    <c:numCache>
                      <c:formatCode>General</c:formatCode>
                      <c:ptCount val="76"/>
                      <c:pt idx="0">
                        <c:v>15.173999999999999</c:v>
                      </c:pt>
                      <c:pt idx="1">
                        <c:v>14.382999999999999</c:v>
                      </c:pt>
                      <c:pt idx="2">
                        <c:v>11.87</c:v>
                      </c:pt>
                      <c:pt idx="3">
                        <c:v>17.911000000000001</c:v>
                      </c:pt>
                      <c:pt idx="4">
                        <c:v>12.401</c:v>
                      </c:pt>
                      <c:pt idx="5">
                        <c:v>2.5470000000000002</c:v>
                      </c:pt>
                      <c:pt idx="6">
                        <c:v>11.173999999999999</c:v>
                      </c:pt>
                      <c:pt idx="7">
                        <c:v>4.0810000000000004</c:v>
                      </c:pt>
                      <c:pt idx="8">
                        <c:v>1.0029999999999999</c:v>
                      </c:pt>
                      <c:pt idx="9">
                        <c:v>10.151</c:v>
                      </c:pt>
                      <c:pt idx="10">
                        <c:v>5.2009999999999996</c:v>
                      </c:pt>
                      <c:pt idx="11">
                        <c:v>7.7679999999999998</c:v>
                      </c:pt>
                      <c:pt idx="12">
                        <c:v>13.018000000000001</c:v>
                      </c:pt>
                      <c:pt idx="13">
                        <c:v>4.0620000000000003</c:v>
                      </c:pt>
                      <c:pt idx="14">
                        <c:v>3.7250000000000001</c:v>
                      </c:pt>
                      <c:pt idx="15">
                        <c:v>6.1269999999999998</c:v>
                      </c:pt>
                      <c:pt idx="16">
                        <c:v>4.6749999999999998</c:v>
                      </c:pt>
                      <c:pt idx="17">
                        <c:v>3.673</c:v>
                      </c:pt>
                      <c:pt idx="18">
                        <c:v>2.573</c:v>
                      </c:pt>
                      <c:pt idx="19">
                        <c:v>3.2679999999999998</c:v>
                      </c:pt>
                      <c:pt idx="20">
                        <c:v>3.456</c:v>
                      </c:pt>
                      <c:pt idx="21">
                        <c:v>14.788</c:v>
                      </c:pt>
                      <c:pt idx="22">
                        <c:v>12.657999999999999</c:v>
                      </c:pt>
                      <c:pt idx="23">
                        <c:v>53.601999999999997</c:v>
                      </c:pt>
                      <c:pt idx="24">
                        <c:v>76.031999999999996</c:v>
                      </c:pt>
                      <c:pt idx="25">
                        <c:v>71.891000000000005</c:v>
                      </c:pt>
                      <c:pt idx="26">
                        <c:v>96.488</c:v>
                      </c:pt>
                      <c:pt idx="27">
                        <c:v>63.488</c:v>
                      </c:pt>
                      <c:pt idx="28">
                        <c:v>49.378</c:v>
                      </c:pt>
                      <c:pt idx="29">
                        <c:v>80.116</c:v>
                      </c:pt>
                      <c:pt idx="30">
                        <c:v>75.989000000000004</c:v>
                      </c:pt>
                      <c:pt idx="31">
                        <c:v>65.932000000000002</c:v>
                      </c:pt>
                      <c:pt idx="32">
                        <c:v>54.609000000000002</c:v>
                      </c:pt>
                      <c:pt idx="33">
                        <c:v>60.954999999999998</c:v>
                      </c:pt>
                      <c:pt idx="34">
                        <c:v>58.307000000000002</c:v>
                      </c:pt>
                      <c:pt idx="35">
                        <c:v>53.15</c:v>
                      </c:pt>
                      <c:pt idx="36">
                        <c:v>19.408000000000001</c:v>
                      </c:pt>
                      <c:pt idx="37">
                        <c:v>52.59</c:v>
                      </c:pt>
                      <c:pt idx="38">
                        <c:v>45.328000000000003</c:v>
                      </c:pt>
                      <c:pt idx="39">
                        <c:v>12.974</c:v>
                      </c:pt>
                      <c:pt idx="40">
                        <c:v>21.934999999999999</c:v>
                      </c:pt>
                      <c:pt idx="41">
                        <c:v>55.816000000000003</c:v>
                      </c:pt>
                      <c:pt idx="42">
                        <c:v>8.4009999999999998</c:v>
                      </c:pt>
                      <c:pt idx="43">
                        <c:v>16.693999999999999</c:v>
                      </c:pt>
                      <c:pt idx="44">
                        <c:v>38.549999999999997</c:v>
                      </c:pt>
                      <c:pt idx="45">
                        <c:v>108.649</c:v>
                      </c:pt>
                      <c:pt idx="46">
                        <c:v>17.922000000000001</c:v>
                      </c:pt>
                      <c:pt idx="47">
                        <c:v>27.053999999999998</c:v>
                      </c:pt>
                      <c:pt idx="48">
                        <c:v>27.402000000000001</c:v>
                      </c:pt>
                      <c:pt idx="49">
                        <c:v>11.627000000000001</c:v>
                      </c:pt>
                      <c:pt idx="50">
                        <c:v>58.868000000000002</c:v>
                      </c:pt>
                      <c:pt idx="51">
                        <c:v>14.369</c:v>
                      </c:pt>
                      <c:pt idx="52">
                        <c:v>10.641999999999999</c:v>
                      </c:pt>
                      <c:pt idx="53">
                        <c:v>20.291</c:v>
                      </c:pt>
                      <c:pt idx="54">
                        <c:v>10.395</c:v>
                      </c:pt>
                      <c:pt idx="55">
                        <c:v>14.954000000000001</c:v>
                      </c:pt>
                      <c:pt idx="56">
                        <c:v>24.061</c:v>
                      </c:pt>
                      <c:pt idx="57">
                        <c:v>46.29</c:v>
                      </c:pt>
                      <c:pt idx="58">
                        <c:v>40.683999999999997</c:v>
                      </c:pt>
                      <c:pt idx="59">
                        <c:v>85.649000000000001</c:v>
                      </c:pt>
                      <c:pt idx="60">
                        <c:v>259.53300000000002</c:v>
                      </c:pt>
                      <c:pt idx="61">
                        <c:v>88.57</c:v>
                      </c:pt>
                      <c:pt idx="62">
                        <c:v>125.746</c:v>
                      </c:pt>
                      <c:pt idx="63">
                        <c:v>114.941</c:v>
                      </c:pt>
                      <c:pt idx="64">
                        <c:v>83.305000000000007</c:v>
                      </c:pt>
                      <c:pt idx="65">
                        <c:v>102.111</c:v>
                      </c:pt>
                      <c:pt idx="66">
                        <c:v>96.376000000000005</c:v>
                      </c:pt>
                      <c:pt idx="67">
                        <c:v>135.535</c:v>
                      </c:pt>
                      <c:pt idx="68">
                        <c:v>224.893</c:v>
                      </c:pt>
                      <c:pt idx="69">
                        <c:v>120.91500000000001</c:v>
                      </c:pt>
                      <c:pt idx="70">
                        <c:v>145.29900000000001</c:v>
                      </c:pt>
                      <c:pt idx="71">
                        <c:v>54.968000000000004</c:v>
                      </c:pt>
                      <c:pt idx="72">
                        <c:v>59.61</c:v>
                      </c:pt>
                      <c:pt idx="73">
                        <c:v>279.71699999999998</c:v>
                      </c:pt>
                      <c:pt idx="74">
                        <c:v>37.402000000000001</c:v>
                      </c:pt>
                      <c:pt idx="75">
                        <c:v>42.02</c:v>
                      </c:pt>
                    </c:numCache>
                  </c:numRef>
                </c:val>
                <c:extLst>
                  <c:ext xmlns:c16="http://schemas.microsoft.com/office/drawing/2014/chart" uri="{C3380CC4-5D6E-409C-BE32-E72D297353CC}">
                    <c16:uniqueId val="{00000000-6438-4405-B236-C53530851A44}"/>
                  </c:ext>
                </c:extLst>
              </c15:ser>
            </c15:filteredBarSeries>
          </c:ext>
        </c:extLst>
      </c:barChart>
      <c:catAx>
        <c:axId val="801896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0195584"/>
        <c:crosses val="autoZero"/>
        <c:auto val="1"/>
        <c:lblAlgn val="ctr"/>
        <c:lblOffset val="100"/>
        <c:tickLblSkip val="5"/>
        <c:tickMarkSkip val="5"/>
        <c:noMultiLvlLbl val="0"/>
      </c:catAx>
      <c:valAx>
        <c:axId val="80195584"/>
        <c:scaling>
          <c:orientation val="minMax"/>
          <c:max val="18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t>Columbia</a:t>
                </a:r>
                <a:r>
                  <a:rPr lang="en-US" sz="1400" b="1" baseline="0"/>
                  <a:t> River Run (thouisands)</a:t>
                </a:r>
                <a:endParaRPr lang="en-US" sz="1400" b="1"/>
              </a:p>
            </c:rich>
          </c:tx>
          <c:layout>
            <c:manualLayout>
              <c:xMode val="edge"/>
              <c:yMode val="edge"/>
              <c:x val="1.6779576559890939E-3"/>
              <c:y val="0.1392159230991915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0189696"/>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Current Fishery Distribution</a:t>
            </a:r>
            <a:r>
              <a:rPr lang="en-US" b="1" baseline="0">
                <a:solidFill>
                  <a:schemeClr val="tx1"/>
                </a:solidFill>
              </a:rPr>
              <a:t> </a:t>
            </a:r>
          </a:p>
          <a:p>
            <a:pPr>
              <a:defRPr b="1">
                <a:solidFill>
                  <a:schemeClr val="tx1"/>
                </a:solidFill>
              </a:defRPr>
            </a:pPr>
            <a:r>
              <a:rPr lang="en-US" b="1" baseline="0">
                <a:solidFill>
                  <a:schemeClr val="tx1"/>
                </a:solidFill>
              </a:rPr>
              <a:t>(Wild/Natural Exploitation Rate)</a:t>
            </a:r>
            <a:endParaRPr lang="en-US" b="1">
              <a:solidFill>
                <a:schemeClr val="tx1"/>
              </a:solidFill>
            </a:endParaRPr>
          </a:p>
        </c:rich>
      </c:tx>
      <c:layout>
        <c:manualLayout>
          <c:xMode val="edge"/>
          <c:yMode val="edge"/>
          <c:x val="0.20540557718280766"/>
          <c:y val="1.500617323367935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241140126259694"/>
          <c:y val="0.20321308650415251"/>
          <c:w val="0.60803319664366773"/>
          <c:h val="0.71869182344869509"/>
        </c:manualLayout>
      </c:layout>
      <c:pieChart>
        <c:varyColors val="1"/>
        <c:ser>
          <c:idx val="0"/>
          <c:order val="0"/>
          <c:spPr>
            <a:ln w="3175"/>
          </c:spPr>
          <c:dPt>
            <c:idx val="0"/>
            <c:bubble3D val="0"/>
            <c:spPr>
              <a:solidFill>
                <a:srgbClr val="5B6624"/>
              </a:solidFill>
              <a:ln w="3175">
                <a:solidFill>
                  <a:schemeClr val="bg1"/>
                </a:solidFill>
              </a:ln>
              <a:effectLst/>
            </c:spPr>
            <c:extLst>
              <c:ext xmlns:c16="http://schemas.microsoft.com/office/drawing/2014/chart" uri="{C3380CC4-5D6E-409C-BE32-E72D297353CC}">
                <c16:uniqueId val="{00000001-2195-47AB-927D-73824F2D6B9A}"/>
              </c:ext>
            </c:extLst>
          </c:dPt>
          <c:dPt>
            <c:idx val="1"/>
            <c:bubble3D val="0"/>
            <c:spPr>
              <a:solidFill>
                <a:srgbClr val="8D9D38"/>
              </a:solidFill>
              <a:ln w="3175">
                <a:solidFill>
                  <a:schemeClr val="lt1"/>
                </a:solidFill>
              </a:ln>
              <a:effectLst/>
            </c:spPr>
            <c:extLst>
              <c:ext xmlns:c16="http://schemas.microsoft.com/office/drawing/2014/chart" uri="{C3380CC4-5D6E-409C-BE32-E72D297353CC}">
                <c16:uniqueId val="{00000003-2195-47AB-927D-73824F2D6B9A}"/>
              </c:ext>
            </c:extLst>
          </c:dPt>
          <c:dPt>
            <c:idx val="2"/>
            <c:bubble3D val="0"/>
            <c:spPr>
              <a:solidFill>
                <a:srgbClr val="D0DB99"/>
              </a:solidFill>
              <a:ln w="3175">
                <a:solidFill>
                  <a:schemeClr val="lt1"/>
                </a:solidFill>
              </a:ln>
              <a:effectLst/>
            </c:spPr>
            <c:extLst>
              <c:ext xmlns:c16="http://schemas.microsoft.com/office/drawing/2014/chart" uri="{C3380CC4-5D6E-409C-BE32-E72D297353CC}">
                <c16:uniqueId val="{00000005-2195-47AB-927D-73824F2D6B9A}"/>
              </c:ext>
            </c:extLst>
          </c:dPt>
          <c:dLbls>
            <c:dLbl>
              <c:idx val="0"/>
              <c:layout>
                <c:manualLayout>
                  <c:x val="-3.6853652425273939E-3"/>
                  <c:y val="-1.69218549230852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95-47AB-927D-73824F2D6B9A}"/>
                </c:ext>
              </c:extLst>
            </c:dLbl>
            <c:dLbl>
              <c:idx val="1"/>
              <c:layout>
                <c:manualLayout>
                  <c:x val="0.29469821341251029"/>
                  <c:y val="0.1698450778797605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95-47AB-927D-73824F2D6B9A}"/>
                </c:ext>
              </c:extLst>
            </c:dLbl>
            <c:dLbl>
              <c:idx val="2"/>
              <c:layout>
                <c:manualLayout>
                  <c:x val="0.15843379310766287"/>
                  <c:y val="-8.160717314439645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5-47AB-927D-73824F2D6B9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Summary!$T$36:$T$38</c:f>
              <c:strCache>
                <c:ptCount val="3"/>
                <c:pt idx="0">
                  <c:v>Ocean (AK/Can)</c:v>
                </c:pt>
                <c:pt idx="1">
                  <c:v>Ocean (US)</c:v>
                </c:pt>
                <c:pt idx="2">
                  <c:v>L Col R</c:v>
                </c:pt>
              </c:strCache>
            </c:strRef>
          </c:cat>
          <c:val>
            <c:numRef>
              <c:f>Summary!$U$36:$U$38</c:f>
              <c:numCache>
                <c:formatCode>0.0%</c:formatCode>
                <c:ptCount val="3"/>
                <c:pt idx="0">
                  <c:v>1.7000000000000001E-2</c:v>
                </c:pt>
                <c:pt idx="1">
                  <c:v>0.10199999999999999</c:v>
                </c:pt>
                <c:pt idx="2">
                  <c:v>5.0999999999999997E-2</c:v>
                </c:pt>
              </c:numCache>
            </c:numRef>
          </c:val>
          <c:extLst>
            <c:ext xmlns:c16="http://schemas.microsoft.com/office/drawing/2014/chart" uri="{C3380CC4-5D6E-409C-BE32-E72D297353CC}">
              <c16:uniqueId val="{0000000E-2195-47AB-927D-73824F2D6B9A}"/>
            </c:ext>
          </c:extLst>
        </c:ser>
        <c:dLbls>
          <c:showLegendKey val="0"/>
          <c:showVal val="1"/>
          <c:showCatName val="0"/>
          <c:showSerName val="0"/>
          <c:showPercent val="0"/>
          <c:showBubbleSize val="0"/>
          <c:showLeaderLines val="0"/>
        </c:dLbls>
        <c:firstSliceAng val="218"/>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Hatchery Release</a:t>
            </a:r>
            <a:r>
              <a:rPr lang="en-US" b="1" baseline="0">
                <a:solidFill>
                  <a:schemeClr val="tx1"/>
                </a:solidFill>
              </a:rPr>
              <a:t>s (smolts)</a:t>
            </a:r>
            <a:endParaRPr lang="en-US" b="1">
              <a:solidFill>
                <a:schemeClr val="tx1"/>
              </a:solidFill>
            </a:endParaRPr>
          </a:p>
        </c:rich>
      </c:tx>
      <c:overlay val="0"/>
      <c:spPr>
        <a:noFill/>
        <a:ln>
          <a:noFill/>
        </a:ln>
        <a:effectLst/>
      </c:spPr>
    </c:title>
    <c:autoTitleDeleted val="0"/>
    <c:plotArea>
      <c:layout>
        <c:manualLayout>
          <c:layoutTarget val="inner"/>
          <c:xMode val="edge"/>
          <c:yMode val="edge"/>
          <c:x val="0.28246451605609596"/>
          <c:y val="0.20725426740520164"/>
          <c:w val="0.48675797434868379"/>
          <c:h val="0.69199755450295464"/>
        </c:manualLayout>
      </c:layout>
      <c:pieChart>
        <c:varyColors val="1"/>
        <c:dLbls>
          <c:showLegendKey val="0"/>
          <c:showVal val="0"/>
          <c:showCatName val="0"/>
          <c:showSerName val="0"/>
          <c:showPercent val="0"/>
          <c:showBubbleSize val="0"/>
          <c:showLeaderLines val="0"/>
        </c:dLbls>
        <c:firstSliceAng val="39"/>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Natural</a:t>
            </a:r>
          </a:p>
          <a:p>
            <a:pPr>
              <a:defRPr b="1">
                <a:solidFill>
                  <a:schemeClr val="tx1"/>
                </a:solidFill>
              </a:defRPr>
            </a:pPr>
            <a:r>
              <a:rPr lang="en-US" b="1">
                <a:solidFill>
                  <a:schemeClr val="tx1"/>
                </a:solidFill>
              </a:rPr>
              <a:t>Production</a:t>
            </a:r>
          </a:p>
        </c:rich>
      </c:tx>
      <c:layout>
        <c:manualLayout>
          <c:xMode val="edge"/>
          <c:yMode val="edge"/>
          <c:x val="0.5698817596047413"/>
          <c:y val="0.13464456688069612"/>
        </c:manualLayout>
      </c:layout>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19566958361831"/>
          <c:y val="4.9833055969556603E-2"/>
          <c:w val="0.76007084860494889"/>
          <c:h val="0.78711467696205573"/>
        </c:manualLayout>
      </c:layout>
      <c:barChart>
        <c:barDir val="bar"/>
        <c:grouping val="clustered"/>
        <c:varyColors val="0"/>
        <c:ser>
          <c:idx val="0"/>
          <c:order val="0"/>
          <c:spPr>
            <a:solidFill>
              <a:srgbClr val="8D9D38"/>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Summary!$D$20:$D$24</c:f>
              <c:strCache>
                <c:ptCount val="5"/>
                <c:pt idx="0">
                  <c:v>Current</c:v>
                </c:pt>
                <c:pt idx="1">
                  <c:v>Low goal</c:v>
                </c:pt>
                <c:pt idx="2">
                  <c:v>Med goal</c:v>
                </c:pt>
                <c:pt idx="3">
                  <c:v>High goal</c:v>
                </c:pt>
                <c:pt idx="4">
                  <c:v>Historical</c:v>
                </c:pt>
              </c:strCache>
            </c:strRef>
          </c:cat>
          <c:val>
            <c:numRef>
              <c:f>Summary!$E$20:$E$24</c:f>
              <c:numCache>
                <c:formatCode>#,##0</c:formatCode>
                <c:ptCount val="5"/>
                <c:pt idx="0">
                  <c:v>24442.43565015975</c:v>
                </c:pt>
                <c:pt idx="1">
                  <c:v>60925</c:v>
                </c:pt>
                <c:pt idx="2">
                  <c:v>122550</c:v>
                </c:pt>
                <c:pt idx="3">
                  <c:v>184400</c:v>
                </c:pt>
                <c:pt idx="4">
                  <c:v>301900</c:v>
                </c:pt>
              </c:numCache>
            </c:numRef>
          </c:val>
          <c:extLst>
            <c:ext xmlns:c16="http://schemas.microsoft.com/office/drawing/2014/chart" uri="{C3380CC4-5D6E-409C-BE32-E72D297353CC}">
              <c16:uniqueId val="{00000000-A08A-4BE0-ABC3-F28C14DEB383}"/>
            </c:ext>
          </c:extLst>
        </c:ser>
        <c:dLbls>
          <c:showLegendKey val="0"/>
          <c:showVal val="0"/>
          <c:showCatName val="0"/>
          <c:showSerName val="0"/>
          <c:showPercent val="0"/>
          <c:showBubbleSize val="0"/>
        </c:dLbls>
        <c:gapWidth val="20"/>
        <c:axId val="81213312"/>
        <c:axId val="81214848"/>
      </c:barChart>
      <c:catAx>
        <c:axId val="81213312"/>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1214848"/>
        <c:crosses val="autoZero"/>
        <c:auto val="1"/>
        <c:lblAlgn val="ctr"/>
        <c:lblOffset val="100"/>
        <c:noMultiLvlLbl val="0"/>
      </c:catAx>
      <c:valAx>
        <c:axId val="81214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1213312"/>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Hatchery Release</a:t>
            </a:r>
            <a:r>
              <a:rPr lang="en-US" b="1" baseline="0">
                <a:solidFill>
                  <a:schemeClr val="tx1"/>
                </a:solidFill>
              </a:rPr>
              <a:t>s</a:t>
            </a:r>
            <a:endParaRPr lang="en-US" b="1">
              <a:solidFill>
                <a:schemeClr val="tx1"/>
              </a:solidFill>
            </a:endParaRPr>
          </a:p>
        </c:rich>
      </c:tx>
      <c:layout>
        <c:manualLayout>
          <c:xMode val="edge"/>
          <c:yMode val="edge"/>
          <c:x val="0.38119765366651326"/>
          <c:y val="7.325113632988158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5813095926701879"/>
          <c:y val="0.16130159771110383"/>
          <c:w val="0.53272150797890061"/>
          <c:h val="0.72163904896953823"/>
        </c:manualLayout>
      </c:layout>
      <c:pieChart>
        <c:varyColors val="1"/>
        <c:ser>
          <c:idx val="0"/>
          <c:order val="0"/>
          <c:spPr>
            <a:ln w="3175">
              <a:solidFill>
                <a:schemeClr val="bg1"/>
              </a:solidFill>
            </a:ln>
          </c:spPr>
          <c:dPt>
            <c:idx val="0"/>
            <c:bubble3D val="0"/>
            <c:spPr>
              <a:solidFill>
                <a:schemeClr val="accent6">
                  <a:shade val="38000"/>
                </a:schemeClr>
              </a:solidFill>
              <a:ln w="3175">
                <a:solidFill>
                  <a:schemeClr val="bg1"/>
                </a:solidFill>
              </a:ln>
              <a:effectLst/>
            </c:spPr>
            <c:extLst>
              <c:ext xmlns:c16="http://schemas.microsoft.com/office/drawing/2014/chart" uri="{C3380CC4-5D6E-409C-BE32-E72D297353CC}">
                <c16:uniqueId val="{00000001-96A0-425F-8A33-1736C2A3DAF1}"/>
              </c:ext>
            </c:extLst>
          </c:dPt>
          <c:dPt>
            <c:idx val="1"/>
            <c:bubble3D val="0"/>
            <c:spPr>
              <a:solidFill>
                <a:schemeClr val="accent6">
                  <a:shade val="46000"/>
                </a:schemeClr>
              </a:solidFill>
              <a:ln w="3175">
                <a:solidFill>
                  <a:schemeClr val="bg1"/>
                </a:solidFill>
              </a:ln>
              <a:effectLst/>
            </c:spPr>
            <c:extLst>
              <c:ext xmlns:c16="http://schemas.microsoft.com/office/drawing/2014/chart" uri="{C3380CC4-5D6E-409C-BE32-E72D297353CC}">
                <c16:uniqueId val="{00000003-96A0-425F-8A33-1736C2A3DAF1}"/>
              </c:ext>
            </c:extLst>
          </c:dPt>
          <c:dPt>
            <c:idx val="2"/>
            <c:bubble3D val="0"/>
            <c:spPr>
              <a:solidFill>
                <a:schemeClr val="accent6">
                  <a:shade val="54000"/>
                </a:schemeClr>
              </a:solidFill>
              <a:ln w="3175">
                <a:solidFill>
                  <a:schemeClr val="bg1"/>
                </a:solidFill>
              </a:ln>
              <a:effectLst/>
            </c:spPr>
            <c:extLst>
              <c:ext xmlns:c16="http://schemas.microsoft.com/office/drawing/2014/chart" uri="{C3380CC4-5D6E-409C-BE32-E72D297353CC}">
                <c16:uniqueId val="{00000002-96A0-425F-8A33-1736C2A3DAF1}"/>
              </c:ext>
            </c:extLst>
          </c:dPt>
          <c:dPt>
            <c:idx val="3"/>
            <c:bubble3D val="0"/>
            <c:spPr>
              <a:solidFill>
                <a:schemeClr val="accent6">
                  <a:shade val="62000"/>
                </a:schemeClr>
              </a:solidFill>
              <a:ln w="3175">
                <a:solidFill>
                  <a:schemeClr val="bg1"/>
                </a:solidFill>
              </a:ln>
              <a:effectLst/>
            </c:spPr>
            <c:extLst>
              <c:ext xmlns:c16="http://schemas.microsoft.com/office/drawing/2014/chart" uri="{C3380CC4-5D6E-409C-BE32-E72D297353CC}">
                <c16:uniqueId val="{00000007-9A7D-484B-A473-05FF7F1CE17F}"/>
              </c:ext>
            </c:extLst>
          </c:dPt>
          <c:dPt>
            <c:idx val="4"/>
            <c:bubble3D val="0"/>
            <c:spPr>
              <a:solidFill>
                <a:schemeClr val="accent6">
                  <a:shade val="71000"/>
                </a:schemeClr>
              </a:solidFill>
              <a:ln w="3175">
                <a:solidFill>
                  <a:schemeClr val="bg1"/>
                </a:solidFill>
              </a:ln>
              <a:effectLst/>
            </c:spPr>
            <c:extLst>
              <c:ext xmlns:c16="http://schemas.microsoft.com/office/drawing/2014/chart" uri="{C3380CC4-5D6E-409C-BE32-E72D297353CC}">
                <c16:uniqueId val="{00000006-96A0-425F-8A33-1736C2A3DAF1}"/>
              </c:ext>
            </c:extLst>
          </c:dPt>
          <c:dPt>
            <c:idx val="5"/>
            <c:bubble3D val="0"/>
            <c:spPr>
              <a:solidFill>
                <a:schemeClr val="accent6">
                  <a:shade val="79000"/>
                </a:schemeClr>
              </a:solidFill>
              <a:ln w="3175">
                <a:solidFill>
                  <a:schemeClr val="bg1"/>
                </a:solidFill>
              </a:ln>
              <a:effectLst/>
            </c:spPr>
            <c:extLst>
              <c:ext xmlns:c16="http://schemas.microsoft.com/office/drawing/2014/chart" uri="{C3380CC4-5D6E-409C-BE32-E72D297353CC}">
                <c16:uniqueId val="{00000007-96A0-425F-8A33-1736C2A3DAF1}"/>
              </c:ext>
            </c:extLst>
          </c:dPt>
          <c:dPt>
            <c:idx val="6"/>
            <c:bubble3D val="0"/>
            <c:spPr>
              <a:solidFill>
                <a:schemeClr val="accent6">
                  <a:shade val="87000"/>
                </a:schemeClr>
              </a:solidFill>
              <a:ln w="3175">
                <a:solidFill>
                  <a:schemeClr val="bg1"/>
                </a:solidFill>
              </a:ln>
              <a:effectLst/>
            </c:spPr>
            <c:extLst>
              <c:ext xmlns:c16="http://schemas.microsoft.com/office/drawing/2014/chart" uri="{C3380CC4-5D6E-409C-BE32-E72D297353CC}">
                <c16:uniqueId val="{00000010-96A0-425F-8A33-1736C2A3DAF1}"/>
              </c:ext>
            </c:extLst>
          </c:dPt>
          <c:dPt>
            <c:idx val="7"/>
            <c:bubble3D val="0"/>
            <c:spPr>
              <a:solidFill>
                <a:schemeClr val="accent6">
                  <a:shade val="95000"/>
                </a:schemeClr>
              </a:solidFill>
              <a:ln w="3175">
                <a:solidFill>
                  <a:schemeClr val="bg1"/>
                </a:solidFill>
              </a:ln>
              <a:effectLst/>
            </c:spPr>
            <c:extLst>
              <c:ext xmlns:c16="http://schemas.microsoft.com/office/drawing/2014/chart" uri="{C3380CC4-5D6E-409C-BE32-E72D297353CC}">
                <c16:uniqueId val="{0000000A-96A0-425F-8A33-1736C2A3DAF1}"/>
              </c:ext>
            </c:extLst>
          </c:dPt>
          <c:dPt>
            <c:idx val="8"/>
            <c:bubble3D val="0"/>
            <c:spPr>
              <a:solidFill>
                <a:schemeClr val="accent6">
                  <a:tint val="96000"/>
                </a:schemeClr>
              </a:solidFill>
              <a:ln w="3175">
                <a:solidFill>
                  <a:schemeClr val="bg1"/>
                </a:solidFill>
              </a:ln>
              <a:effectLst/>
            </c:spPr>
            <c:extLst>
              <c:ext xmlns:c16="http://schemas.microsoft.com/office/drawing/2014/chart" uri="{C3380CC4-5D6E-409C-BE32-E72D297353CC}">
                <c16:uniqueId val="{0000000F-96A0-425F-8A33-1736C2A3DAF1}"/>
              </c:ext>
            </c:extLst>
          </c:dPt>
          <c:dPt>
            <c:idx val="9"/>
            <c:bubble3D val="0"/>
            <c:spPr>
              <a:solidFill>
                <a:schemeClr val="accent6">
                  <a:tint val="88000"/>
                </a:schemeClr>
              </a:solidFill>
              <a:ln w="3175">
                <a:solidFill>
                  <a:schemeClr val="bg1"/>
                </a:solidFill>
              </a:ln>
              <a:effectLst/>
            </c:spPr>
            <c:extLst>
              <c:ext xmlns:c16="http://schemas.microsoft.com/office/drawing/2014/chart" uri="{C3380CC4-5D6E-409C-BE32-E72D297353CC}">
                <c16:uniqueId val="{0000000E-96A0-425F-8A33-1736C2A3DAF1}"/>
              </c:ext>
            </c:extLst>
          </c:dPt>
          <c:dPt>
            <c:idx val="10"/>
            <c:bubble3D val="0"/>
            <c:spPr>
              <a:solidFill>
                <a:schemeClr val="accent6">
                  <a:tint val="80000"/>
                </a:schemeClr>
              </a:solidFill>
              <a:ln w="3175">
                <a:solidFill>
                  <a:schemeClr val="bg1"/>
                </a:solidFill>
              </a:ln>
              <a:effectLst/>
            </c:spPr>
            <c:extLst>
              <c:ext xmlns:c16="http://schemas.microsoft.com/office/drawing/2014/chart" uri="{C3380CC4-5D6E-409C-BE32-E72D297353CC}">
                <c16:uniqueId val="{0000000D-96A0-425F-8A33-1736C2A3DAF1}"/>
              </c:ext>
            </c:extLst>
          </c:dPt>
          <c:dPt>
            <c:idx val="11"/>
            <c:bubble3D val="0"/>
            <c:spPr>
              <a:solidFill>
                <a:schemeClr val="accent6">
                  <a:tint val="72000"/>
                </a:schemeClr>
              </a:solidFill>
              <a:ln w="3175">
                <a:solidFill>
                  <a:schemeClr val="bg1"/>
                </a:solidFill>
              </a:ln>
              <a:effectLst/>
            </c:spPr>
            <c:extLst>
              <c:ext xmlns:c16="http://schemas.microsoft.com/office/drawing/2014/chart" uri="{C3380CC4-5D6E-409C-BE32-E72D297353CC}">
                <c16:uniqueId val="{0000000C-96A0-425F-8A33-1736C2A3DAF1}"/>
              </c:ext>
            </c:extLst>
          </c:dPt>
          <c:dPt>
            <c:idx val="12"/>
            <c:bubble3D val="0"/>
            <c:spPr>
              <a:solidFill>
                <a:schemeClr val="accent6">
                  <a:tint val="63000"/>
                </a:schemeClr>
              </a:solidFill>
              <a:ln w="3175">
                <a:solidFill>
                  <a:schemeClr val="bg1"/>
                </a:solidFill>
              </a:ln>
              <a:effectLst/>
            </c:spPr>
            <c:extLst>
              <c:ext xmlns:c16="http://schemas.microsoft.com/office/drawing/2014/chart" uri="{C3380CC4-5D6E-409C-BE32-E72D297353CC}">
                <c16:uniqueId val="{0000000B-96A0-425F-8A33-1736C2A3DAF1}"/>
              </c:ext>
            </c:extLst>
          </c:dPt>
          <c:dPt>
            <c:idx val="13"/>
            <c:bubble3D val="0"/>
            <c:spPr>
              <a:solidFill>
                <a:schemeClr val="accent6">
                  <a:tint val="55000"/>
                </a:schemeClr>
              </a:solidFill>
              <a:ln w="3175">
                <a:solidFill>
                  <a:schemeClr val="bg1"/>
                </a:solidFill>
              </a:ln>
              <a:effectLst/>
            </c:spPr>
            <c:extLst>
              <c:ext xmlns:c16="http://schemas.microsoft.com/office/drawing/2014/chart" uri="{C3380CC4-5D6E-409C-BE32-E72D297353CC}">
                <c16:uniqueId val="{00000009-96A0-425F-8A33-1736C2A3DAF1}"/>
              </c:ext>
            </c:extLst>
          </c:dPt>
          <c:dPt>
            <c:idx val="14"/>
            <c:bubble3D val="0"/>
            <c:spPr>
              <a:solidFill>
                <a:schemeClr val="accent6">
                  <a:tint val="47000"/>
                </a:schemeClr>
              </a:solidFill>
              <a:ln w="3175">
                <a:solidFill>
                  <a:schemeClr val="bg1"/>
                </a:solidFill>
              </a:ln>
              <a:effectLst/>
            </c:spPr>
            <c:extLst>
              <c:ext xmlns:c16="http://schemas.microsoft.com/office/drawing/2014/chart" uri="{C3380CC4-5D6E-409C-BE32-E72D297353CC}">
                <c16:uniqueId val="{00000008-96A0-425F-8A33-1736C2A3DAF1}"/>
              </c:ext>
            </c:extLst>
          </c:dPt>
          <c:dPt>
            <c:idx val="15"/>
            <c:bubble3D val="0"/>
            <c:spPr>
              <a:solidFill>
                <a:schemeClr val="accent6">
                  <a:tint val="39000"/>
                </a:schemeClr>
              </a:solidFill>
              <a:ln w="3175">
                <a:solidFill>
                  <a:schemeClr val="bg1"/>
                </a:solidFill>
              </a:ln>
              <a:effectLst/>
            </c:spPr>
            <c:extLst>
              <c:ext xmlns:c16="http://schemas.microsoft.com/office/drawing/2014/chart" uri="{C3380CC4-5D6E-409C-BE32-E72D297353CC}">
                <c16:uniqueId val="{00000005-96A0-425F-8A33-1736C2A3DAF1}"/>
              </c:ext>
            </c:extLst>
          </c:dPt>
          <c:dPt>
            <c:idx val="16"/>
            <c:bubble3D val="0"/>
            <c:spPr>
              <a:solidFill>
                <a:schemeClr val="accent6">
                  <a:tint val="30000"/>
                </a:schemeClr>
              </a:solidFill>
              <a:ln w="3175">
                <a:solidFill>
                  <a:schemeClr val="bg1"/>
                </a:solidFill>
              </a:ln>
              <a:effectLst/>
            </c:spPr>
            <c:extLst>
              <c:ext xmlns:c16="http://schemas.microsoft.com/office/drawing/2014/chart" uri="{C3380CC4-5D6E-409C-BE32-E72D297353CC}">
                <c16:uniqueId val="{00000004-96A0-425F-8A33-1736C2A3DAF1}"/>
              </c:ext>
            </c:extLst>
          </c:dPt>
          <c:dLbls>
            <c:dLbl>
              <c:idx val="0"/>
              <c:layout>
                <c:manualLayout>
                  <c:x val="-1.8926164752157734E-2"/>
                  <c:y val="-0.213916966087896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A0-425F-8A33-1736C2A3DAF1}"/>
                </c:ext>
              </c:extLst>
            </c:dLbl>
            <c:dLbl>
              <c:idx val="1"/>
              <c:layout>
                <c:manualLayout>
                  <c:x val="3.3255336529137244E-2"/>
                  <c:y val="-0.21044431428428881"/>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4502634654127001"/>
                      <c:h val="0.10489562722439041"/>
                    </c:manualLayout>
                  </c15:layout>
                </c:ext>
                <c:ext xmlns:c16="http://schemas.microsoft.com/office/drawing/2014/chart" uri="{C3380CC4-5D6E-409C-BE32-E72D297353CC}">
                  <c16:uniqueId val="{00000003-96A0-425F-8A33-1736C2A3DAF1}"/>
                </c:ext>
              </c:extLst>
            </c:dLbl>
            <c:dLbl>
              <c:idx val="2"/>
              <c:delete val="1"/>
              <c:extLst>
                <c:ext xmlns:c15="http://schemas.microsoft.com/office/drawing/2012/chart" uri="{CE6537A1-D6FC-4f65-9D91-7224C49458BB}"/>
                <c:ext xmlns:c16="http://schemas.microsoft.com/office/drawing/2014/chart" uri="{C3380CC4-5D6E-409C-BE32-E72D297353CC}">
                  <c16:uniqueId val="{00000002-96A0-425F-8A33-1736C2A3DAF1}"/>
                </c:ext>
              </c:extLst>
            </c:dLbl>
            <c:dLbl>
              <c:idx val="3"/>
              <c:layout>
                <c:manualLayout>
                  <c:x val="6.7943547657424067E-2"/>
                  <c:y val="2.1975340898964475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379941373596733"/>
                      <c:h val="9.3248696547939269E-2"/>
                    </c:manualLayout>
                  </c15:layout>
                </c:ext>
                <c:ext xmlns:c16="http://schemas.microsoft.com/office/drawing/2014/chart" uri="{C3380CC4-5D6E-409C-BE32-E72D297353CC}">
                  <c16:uniqueId val="{00000007-9A7D-484B-A473-05FF7F1CE17F}"/>
                </c:ext>
              </c:extLst>
            </c:dLbl>
            <c:dLbl>
              <c:idx val="4"/>
              <c:layout>
                <c:manualLayout>
                  <c:x val="5.1982020782162684E-3"/>
                  <c:y val="-0.2060574652280605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A0-425F-8A33-1736C2A3DAF1}"/>
                </c:ext>
              </c:extLst>
            </c:dLbl>
            <c:dLbl>
              <c:idx val="5"/>
              <c:layout>
                <c:manualLayout>
                  <c:x val="1.1643955623785115E-2"/>
                  <c:y val="-4.917717921409605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A0-425F-8A33-1736C2A3DAF1}"/>
                </c:ext>
              </c:extLst>
            </c:dLbl>
            <c:dLbl>
              <c:idx val="6"/>
              <c:layout>
                <c:manualLayout>
                  <c:x val="2.9554515550856676E-2"/>
                  <c:y val="-9.9518301681055965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8413668054656376"/>
                      <c:h val="0.17230080377260656"/>
                    </c:manualLayout>
                  </c15:layout>
                </c:ext>
                <c:ext xmlns:c16="http://schemas.microsoft.com/office/drawing/2014/chart" uri="{C3380CC4-5D6E-409C-BE32-E72D297353CC}">
                  <c16:uniqueId val="{00000010-96A0-425F-8A33-1736C2A3DAF1}"/>
                </c:ext>
              </c:extLst>
            </c:dLbl>
            <c:dLbl>
              <c:idx val="7"/>
              <c:layout>
                <c:manualLayout>
                  <c:x val="4.9715032420371293E-2"/>
                  <c:y val="-7.4090784689820374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149190124076014"/>
                      <c:h val="0.17596336058910061"/>
                    </c:manualLayout>
                  </c15:layout>
                </c:ext>
                <c:ext xmlns:c16="http://schemas.microsoft.com/office/drawing/2014/chart" uri="{C3380CC4-5D6E-409C-BE32-E72D297353CC}">
                  <c16:uniqueId val="{0000000A-96A0-425F-8A33-1736C2A3DAF1}"/>
                </c:ext>
              </c:extLst>
            </c:dLbl>
            <c:dLbl>
              <c:idx val="8"/>
              <c:layout>
                <c:manualLayout>
                  <c:x val="0.12917171311170195"/>
                  <c:y val="1.9572184524803304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507713884992987"/>
                      <c:h val="4.8864618209309853E-2"/>
                    </c:manualLayout>
                  </c15:layout>
                </c:ext>
                <c:ext xmlns:c16="http://schemas.microsoft.com/office/drawing/2014/chart" uri="{C3380CC4-5D6E-409C-BE32-E72D297353CC}">
                  <c16:uniqueId val="{0000000F-96A0-425F-8A33-1736C2A3DAF1}"/>
                </c:ext>
              </c:extLst>
            </c:dLbl>
            <c:dLbl>
              <c:idx val="9"/>
              <c:layout>
                <c:manualLayout>
                  <c:x val="-6.3265655440335633E-2"/>
                  <c:y val="2.4988731149007518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20309499210274"/>
                      <c:h val="8.292028632542596E-2"/>
                    </c:manualLayout>
                  </c15:layout>
                </c:ext>
                <c:ext xmlns:c16="http://schemas.microsoft.com/office/drawing/2014/chart" uri="{C3380CC4-5D6E-409C-BE32-E72D297353CC}">
                  <c16:uniqueId val="{0000000E-96A0-425F-8A33-1736C2A3DAF1}"/>
                </c:ext>
              </c:extLst>
            </c:dLbl>
            <c:dLbl>
              <c:idx val="10"/>
              <c:layout>
                <c:manualLayout>
                  <c:x val="-4.9376426514428487E-2"/>
                  <c:y val="1.4572938665439144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74630849307918"/>
                      <c:h val="0.10004490236978962"/>
                    </c:manualLayout>
                  </c15:layout>
                </c:ext>
                <c:ext xmlns:c16="http://schemas.microsoft.com/office/drawing/2014/chart" uri="{C3380CC4-5D6E-409C-BE32-E72D297353CC}">
                  <c16:uniqueId val="{0000000D-96A0-425F-8A33-1736C2A3DAF1}"/>
                </c:ext>
              </c:extLst>
            </c:dLbl>
            <c:dLbl>
              <c:idx val="11"/>
              <c:layout>
                <c:manualLayout>
                  <c:x val="-6.431340706944412E-2"/>
                  <c:y val="3.77699008773698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A0-425F-8A33-1736C2A3DAF1}"/>
                </c:ext>
              </c:extLst>
            </c:dLbl>
            <c:dLbl>
              <c:idx val="12"/>
              <c:layout>
                <c:manualLayout>
                  <c:x val="-3.0379794264711804E-4"/>
                  <c:y val="4.0021075563161236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103780102235353"/>
                      <c:h val="0.11604969887726772"/>
                    </c:manualLayout>
                  </c15:layout>
                </c:ext>
                <c:ext xmlns:c16="http://schemas.microsoft.com/office/drawing/2014/chart" uri="{C3380CC4-5D6E-409C-BE32-E72D297353CC}">
                  <c16:uniqueId val="{0000000B-96A0-425F-8A33-1736C2A3DAF1}"/>
                </c:ext>
              </c:extLst>
            </c:dLbl>
            <c:dLbl>
              <c:idx val="13"/>
              <c:layout>
                <c:manualLayout>
                  <c:x val="-2.524539019810064E-2"/>
                  <c:y val="-3.3344945219049668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3176717368492428"/>
                      <c:h val="0.129135985543571"/>
                    </c:manualLayout>
                  </c15:layout>
                </c:ext>
                <c:ext xmlns:c16="http://schemas.microsoft.com/office/drawing/2014/chart" uri="{C3380CC4-5D6E-409C-BE32-E72D297353CC}">
                  <c16:uniqueId val="{00000009-96A0-425F-8A33-1736C2A3DAF1}"/>
                </c:ext>
              </c:extLst>
            </c:dLbl>
            <c:dLbl>
              <c:idx val="14"/>
              <c:layout>
                <c:manualLayout>
                  <c:x val="-4.4982107429509616E-2"/>
                  <c:y val="-8.206492069410938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A0-425F-8A33-1736C2A3DAF1}"/>
                </c:ext>
              </c:extLst>
            </c:dLbl>
            <c:dLbl>
              <c:idx val="15"/>
              <c:layout>
                <c:manualLayout>
                  <c:x val="-3.0045126874493993E-2"/>
                  <c:y val="-0.1345998281770589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A0-425F-8A33-1736C2A3DAF1}"/>
                </c:ext>
              </c:extLst>
            </c:dLbl>
            <c:dLbl>
              <c:idx val="16"/>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6A0-425F-8A33-1736C2A3DAF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Summary!$AB$5:$AC$20</c:f>
              <c:strCache>
                <c:ptCount val="16"/>
                <c:pt idx="0">
                  <c:v>Grays R</c:v>
                </c:pt>
                <c:pt idx="1">
                  <c:v>Deep R</c:v>
                </c:pt>
                <c:pt idx="2">
                  <c:v>Elochoman</c:v>
                </c:pt>
                <c:pt idx="3">
                  <c:v>OR Select Areas</c:v>
                </c:pt>
                <c:pt idx="4">
                  <c:v>OR STEP (Presmolts)</c:v>
                </c:pt>
                <c:pt idx="5">
                  <c:v>Big Cr</c:v>
                </c:pt>
                <c:pt idx="6">
                  <c:v>Cowlitz (Integrated)</c:v>
                </c:pt>
                <c:pt idx="7">
                  <c:v>Cowlitz (Segregated)</c:v>
                </c:pt>
                <c:pt idx="8">
                  <c:v>NF Toutle</c:v>
                </c:pt>
                <c:pt idx="9">
                  <c:v>Kalama</c:v>
                </c:pt>
                <c:pt idx="10">
                  <c:v>Lewis (S/Early)</c:v>
                </c:pt>
                <c:pt idx="11">
                  <c:v>Lews (N/Late)</c:v>
                </c:pt>
                <c:pt idx="12">
                  <c:v>Washougal</c:v>
                </c:pt>
                <c:pt idx="13">
                  <c:v>Eagle Creek</c:v>
                </c:pt>
                <c:pt idx="14">
                  <c:v>Sandy</c:v>
                </c:pt>
                <c:pt idx="15">
                  <c:v>Bonneville</c:v>
                </c:pt>
              </c:strCache>
            </c:strRef>
          </c:cat>
          <c:val>
            <c:numRef>
              <c:f>Summary!$AE$5:$AE$20</c:f>
              <c:numCache>
                <c:formatCode>#,##0</c:formatCode>
                <c:ptCount val="16"/>
                <c:pt idx="0">
                  <c:v>0</c:v>
                </c:pt>
                <c:pt idx="1">
                  <c:v>700000</c:v>
                </c:pt>
                <c:pt idx="2">
                  <c:v>0</c:v>
                </c:pt>
                <c:pt idx="3">
                  <c:v>5060000</c:v>
                </c:pt>
                <c:pt idx="4">
                  <c:v>8600</c:v>
                </c:pt>
                <c:pt idx="5">
                  <c:v>540000</c:v>
                </c:pt>
                <c:pt idx="6">
                  <c:v>1000000</c:v>
                </c:pt>
                <c:pt idx="7">
                  <c:v>1300000</c:v>
                </c:pt>
                <c:pt idx="8">
                  <c:v>120000</c:v>
                </c:pt>
                <c:pt idx="9">
                  <c:v>350000</c:v>
                </c:pt>
                <c:pt idx="10">
                  <c:v>1210000</c:v>
                </c:pt>
                <c:pt idx="11">
                  <c:v>950000</c:v>
                </c:pt>
                <c:pt idx="12">
                  <c:v>150000</c:v>
                </c:pt>
                <c:pt idx="13">
                  <c:v>320000</c:v>
                </c:pt>
                <c:pt idx="14">
                  <c:v>200000</c:v>
                </c:pt>
                <c:pt idx="15">
                  <c:v>200000</c:v>
                </c:pt>
              </c:numCache>
            </c:numRef>
          </c:val>
          <c:extLst>
            <c:ext xmlns:c16="http://schemas.microsoft.com/office/drawing/2014/chart" uri="{C3380CC4-5D6E-409C-BE32-E72D297353CC}">
              <c16:uniqueId val="{00000000-96A0-425F-8A33-1736C2A3DAF1}"/>
            </c:ext>
          </c:extLst>
        </c:ser>
        <c:dLbls>
          <c:showLegendKey val="0"/>
          <c:showVal val="0"/>
          <c:showCatName val="0"/>
          <c:showSerName val="0"/>
          <c:showPercent val="0"/>
          <c:showBubbleSize val="0"/>
          <c:showLeaderLines val="1"/>
        </c:dLbls>
        <c:firstSliceAng val="277"/>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Columbia River Run</a:t>
            </a:r>
          </a:p>
        </c:rich>
      </c:tx>
      <c:layout>
        <c:manualLayout>
          <c:xMode val="edge"/>
          <c:yMode val="edge"/>
          <c:x val="0.38420822397200344"/>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470603674540682"/>
          <c:y val="0.17171296296296296"/>
          <c:w val="0.7899726596675416"/>
          <c:h val="0.72088764946048411"/>
        </c:manualLayout>
      </c:layout>
      <c:barChart>
        <c:barDir val="col"/>
        <c:grouping val="clustered"/>
        <c:varyColors val="0"/>
        <c:ser>
          <c:idx val="0"/>
          <c:order val="0"/>
          <c:spPr>
            <a:solidFill>
              <a:schemeClr val="accent1"/>
            </a:solidFill>
            <a:ln>
              <a:solidFill>
                <a:schemeClr val="tx1"/>
              </a:solidFill>
            </a:ln>
            <a:effectLst/>
          </c:spPr>
          <c:invertIfNegative val="0"/>
          <c:cat>
            <c:numRef>
              <c:f>Run!$B$31:$B$76</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Run!$C$31:$C$76</c:f>
              <c:numCache>
                <c:formatCode>General</c:formatCode>
                <c:ptCount val="46"/>
                <c:pt idx="0">
                  <c:v>1079</c:v>
                </c:pt>
                <c:pt idx="1">
                  <c:v>648.70000000000005</c:v>
                </c:pt>
                <c:pt idx="2">
                  <c:v>362.6</c:v>
                </c:pt>
                <c:pt idx="3">
                  <c:v>422.8</c:v>
                </c:pt>
                <c:pt idx="4">
                  <c:v>534</c:v>
                </c:pt>
                <c:pt idx="5">
                  <c:v>437.7</c:v>
                </c:pt>
                <c:pt idx="6">
                  <c:v>384.1</c:v>
                </c:pt>
                <c:pt idx="7">
                  <c:v>199</c:v>
                </c:pt>
                <c:pt idx="8">
                  <c:v>382.7</c:v>
                </c:pt>
                <c:pt idx="9">
                  <c:v>330.7</c:v>
                </c:pt>
                <c:pt idx="10">
                  <c:v>343</c:v>
                </c:pt>
                <c:pt idx="11">
                  <c:v>208</c:v>
                </c:pt>
                <c:pt idx="12">
                  <c:v>518.6</c:v>
                </c:pt>
                <c:pt idx="13">
                  <c:v>143.4</c:v>
                </c:pt>
                <c:pt idx="14">
                  <c:v>446.9</c:v>
                </c:pt>
                <c:pt idx="15">
                  <c:v>435.3</c:v>
                </c:pt>
                <c:pt idx="16">
                  <c:v>1574.1</c:v>
                </c:pt>
                <c:pt idx="17">
                  <c:v>388.7</c:v>
                </c:pt>
                <c:pt idx="18">
                  <c:v>726.6</c:v>
                </c:pt>
                <c:pt idx="19">
                  <c:v>752.4</c:v>
                </c:pt>
                <c:pt idx="20">
                  <c:v>262.10000000000002</c:v>
                </c:pt>
                <c:pt idx="21">
                  <c:v>957.1</c:v>
                </c:pt>
                <c:pt idx="22">
                  <c:v>237</c:v>
                </c:pt>
                <c:pt idx="23">
                  <c:v>118.2</c:v>
                </c:pt>
                <c:pt idx="24">
                  <c:v>178.2</c:v>
                </c:pt>
                <c:pt idx="25">
                  <c:v>89.5</c:v>
                </c:pt>
                <c:pt idx="26">
                  <c:v>129.80000000000001</c:v>
                </c:pt>
                <c:pt idx="27">
                  <c:v>157.30000000000001</c:v>
                </c:pt>
                <c:pt idx="28">
                  <c:v>189.8</c:v>
                </c:pt>
                <c:pt idx="29">
                  <c:v>303.2</c:v>
                </c:pt>
                <c:pt idx="30">
                  <c:v>628.5</c:v>
                </c:pt>
                <c:pt idx="31">
                  <c:v>1132.7</c:v>
                </c:pt>
                <c:pt idx="32">
                  <c:v>557.6</c:v>
                </c:pt>
                <c:pt idx="33">
                  <c:v>713.2</c:v>
                </c:pt>
                <c:pt idx="34">
                  <c:v>463.5</c:v>
                </c:pt>
                <c:pt idx="35">
                  <c:v>354.7</c:v>
                </c:pt>
                <c:pt idx="36">
                  <c:v>409.7</c:v>
                </c:pt>
                <c:pt idx="37">
                  <c:v>349</c:v>
                </c:pt>
                <c:pt idx="38">
                  <c:v>520.79999999999995</c:v>
                </c:pt>
                <c:pt idx="39">
                  <c:v>760.2</c:v>
                </c:pt>
                <c:pt idx="40">
                  <c:v>471.3</c:v>
                </c:pt>
                <c:pt idx="41">
                  <c:v>376.5</c:v>
                </c:pt>
                <c:pt idx="42">
                  <c:v>143.9</c:v>
                </c:pt>
                <c:pt idx="43">
                  <c:v>241</c:v>
                </c:pt>
                <c:pt idx="44">
                  <c:v>970</c:v>
                </c:pt>
                <c:pt idx="45">
                  <c:v>171.4</c:v>
                </c:pt>
              </c:numCache>
            </c:numRef>
          </c:val>
          <c:extLst>
            <c:ext xmlns:c16="http://schemas.microsoft.com/office/drawing/2014/chart" uri="{C3380CC4-5D6E-409C-BE32-E72D297353CC}">
              <c16:uniqueId val="{00000000-60FC-4185-9433-58D4218B8B2F}"/>
            </c:ext>
          </c:extLst>
        </c:ser>
        <c:dLbls>
          <c:showLegendKey val="0"/>
          <c:showVal val="0"/>
          <c:showCatName val="0"/>
          <c:showSerName val="0"/>
          <c:showPercent val="0"/>
          <c:showBubbleSize val="0"/>
        </c:dLbls>
        <c:gapWidth val="0"/>
        <c:overlap val="-100"/>
        <c:axId val="104532224"/>
        <c:axId val="104534016"/>
      </c:barChart>
      <c:catAx>
        <c:axId val="1045322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4534016"/>
        <c:crosses val="autoZero"/>
        <c:auto val="1"/>
        <c:lblAlgn val="ctr"/>
        <c:lblOffset val="100"/>
        <c:tickLblSkip val="5"/>
        <c:tickMarkSkip val="5"/>
        <c:noMultiLvlLbl val="0"/>
      </c:catAx>
      <c:valAx>
        <c:axId val="104534016"/>
        <c:scaling>
          <c:orientation val="minMax"/>
          <c:max val="1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a:t>Number (Natural</a:t>
                </a:r>
                <a:r>
                  <a:rPr lang="en-US" sz="1200" b="1" baseline="0"/>
                  <a:t> &amp; Hatchery)</a:t>
                </a:r>
                <a:endParaRPr lang="en-US" sz="1200" b="1"/>
              </a:p>
            </c:rich>
          </c:tx>
          <c:layout>
            <c:manualLayout>
              <c:xMode val="edge"/>
              <c:yMode val="edge"/>
              <c:x val="1.6666666666666666E-2"/>
              <c:y val="0.1897685185185185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4532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Current Fishery Distribution</a:t>
            </a:r>
            <a:r>
              <a:rPr lang="en-US" b="1" baseline="0">
                <a:solidFill>
                  <a:schemeClr val="tx1"/>
                </a:solidFill>
              </a:rPr>
              <a:t> </a:t>
            </a:r>
          </a:p>
          <a:p>
            <a:pPr>
              <a:defRPr b="1">
                <a:solidFill>
                  <a:schemeClr val="tx1"/>
                </a:solidFill>
              </a:defRPr>
            </a:pPr>
            <a:r>
              <a:rPr lang="en-US" b="1" baseline="0">
                <a:solidFill>
                  <a:schemeClr val="tx1"/>
                </a:solidFill>
              </a:rPr>
              <a:t>(Total Harvest)</a:t>
            </a:r>
            <a:endParaRPr lang="en-US" b="1">
              <a:solidFill>
                <a:schemeClr val="tx1"/>
              </a:solidFill>
            </a:endParaRPr>
          </a:p>
        </c:rich>
      </c:tx>
      <c:layout>
        <c:manualLayout>
          <c:xMode val="edge"/>
          <c:yMode val="edge"/>
          <c:x val="1.927843394575678E-2"/>
          <c:y val="1.139612356147789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40772684871344722"/>
          <c:y val="0.15484189201545984"/>
          <c:w val="0.39475678040244966"/>
          <c:h val="0.91097718554411455"/>
        </c:manualLayout>
      </c:layout>
      <c:pieChart>
        <c:varyColors val="1"/>
        <c:ser>
          <c:idx val="0"/>
          <c:order val="0"/>
          <c:spPr>
            <a:ln w="6350">
              <a:solidFill>
                <a:schemeClr val="tx1"/>
              </a:solidFill>
            </a:ln>
          </c:spPr>
          <c:dPt>
            <c:idx val="0"/>
            <c:bubble3D val="0"/>
            <c:spPr>
              <a:solidFill>
                <a:schemeClr val="accent1"/>
              </a:solidFill>
              <a:ln w="6350">
                <a:solidFill>
                  <a:schemeClr val="tx1"/>
                </a:solidFill>
              </a:ln>
              <a:effectLst/>
            </c:spPr>
            <c:extLst>
              <c:ext xmlns:c16="http://schemas.microsoft.com/office/drawing/2014/chart" uri="{C3380CC4-5D6E-409C-BE32-E72D297353CC}">
                <c16:uniqueId val="{00000001-2195-47AB-927D-73824F2D6B9A}"/>
              </c:ext>
            </c:extLst>
          </c:dPt>
          <c:dPt>
            <c:idx val="1"/>
            <c:bubble3D val="0"/>
            <c:spPr>
              <a:solidFill>
                <a:schemeClr val="accent2"/>
              </a:solidFill>
              <a:ln w="6350">
                <a:solidFill>
                  <a:schemeClr val="tx1"/>
                </a:solidFill>
              </a:ln>
              <a:effectLst/>
            </c:spPr>
            <c:extLst>
              <c:ext xmlns:c16="http://schemas.microsoft.com/office/drawing/2014/chart" uri="{C3380CC4-5D6E-409C-BE32-E72D297353CC}">
                <c16:uniqueId val="{00000003-2195-47AB-927D-73824F2D6B9A}"/>
              </c:ext>
            </c:extLst>
          </c:dPt>
          <c:dPt>
            <c:idx val="2"/>
            <c:bubble3D val="0"/>
            <c:spPr>
              <a:solidFill>
                <a:schemeClr val="accent3"/>
              </a:solidFill>
              <a:ln w="6350">
                <a:solidFill>
                  <a:schemeClr val="tx1"/>
                </a:solidFill>
              </a:ln>
              <a:effectLst/>
            </c:spPr>
            <c:extLst>
              <c:ext xmlns:c16="http://schemas.microsoft.com/office/drawing/2014/chart" uri="{C3380CC4-5D6E-409C-BE32-E72D297353CC}">
                <c16:uniqueId val="{00000005-2195-47AB-927D-73824F2D6B9A}"/>
              </c:ext>
            </c:extLst>
          </c:dPt>
          <c:dPt>
            <c:idx val="3"/>
            <c:bubble3D val="0"/>
            <c:spPr>
              <a:solidFill>
                <a:schemeClr val="accent4"/>
              </a:solidFill>
              <a:ln w="6350">
                <a:solidFill>
                  <a:schemeClr val="tx1"/>
                </a:solidFill>
              </a:ln>
              <a:effectLst/>
            </c:spPr>
            <c:extLst>
              <c:ext xmlns:c16="http://schemas.microsoft.com/office/drawing/2014/chart" uri="{C3380CC4-5D6E-409C-BE32-E72D297353CC}">
                <c16:uniqueId val="{00000007-2195-47AB-927D-73824F2D6B9A}"/>
              </c:ext>
            </c:extLst>
          </c:dPt>
          <c:dPt>
            <c:idx val="4"/>
            <c:bubble3D val="0"/>
            <c:spPr>
              <a:solidFill>
                <a:schemeClr val="accent5"/>
              </a:solidFill>
              <a:ln w="6350">
                <a:solidFill>
                  <a:schemeClr val="tx1"/>
                </a:solidFill>
              </a:ln>
              <a:effectLst/>
            </c:spPr>
            <c:extLst>
              <c:ext xmlns:c16="http://schemas.microsoft.com/office/drawing/2014/chart" uri="{C3380CC4-5D6E-409C-BE32-E72D297353CC}">
                <c16:uniqueId val="{00000009-2195-47AB-927D-73824F2D6B9A}"/>
              </c:ext>
            </c:extLst>
          </c:dPt>
          <c:dPt>
            <c:idx val="5"/>
            <c:bubble3D val="0"/>
            <c:spPr>
              <a:solidFill>
                <a:schemeClr val="accent6"/>
              </a:solidFill>
              <a:ln w="6350">
                <a:solidFill>
                  <a:schemeClr val="tx1"/>
                </a:solidFill>
              </a:ln>
              <a:effectLst/>
            </c:spPr>
            <c:extLst>
              <c:ext xmlns:c16="http://schemas.microsoft.com/office/drawing/2014/chart" uri="{C3380CC4-5D6E-409C-BE32-E72D297353CC}">
                <c16:uniqueId val="{0000000B-2195-47AB-927D-73824F2D6B9A}"/>
              </c:ext>
            </c:extLst>
          </c:dPt>
          <c:dPt>
            <c:idx val="6"/>
            <c:bubble3D val="0"/>
            <c:spPr>
              <a:solidFill>
                <a:schemeClr val="accent1">
                  <a:lumMod val="60000"/>
                </a:schemeClr>
              </a:solidFill>
              <a:ln w="6350">
                <a:solidFill>
                  <a:schemeClr val="tx1"/>
                </a:solidFill>
              </a:ln>
              <a:effectLst/>
            </c:spPr>
            <c:extLst>
              <c:ext xmlns:c16="http://schemas.microsoft.com/office/drawing/2014/chart" uri="{C3380CC4-5D6E-409C-BE32-E72D297353CC}">
                <c16:uniqueId val="{0000000D-2195-47AB-927D-73824F2D6B9A}"/>
              </c:ext>
            </c:extLst>
          </c:dPt>
          <c:dLbls>
            <c:dLbl>
              <c:idx val="0"/>
              <c:layout>
                <c:manualLayout>
                  <c:x val="-1.915407925002752E-2"/>
                  <c:y val="1.29707833255845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195-47AB-927D-73824F2D6B9A}"/>
                </c:ext>
              </c:extLst>
            </c:dLbl>
            <c:dLbl>
              <c:idx val="1"/>
              <c:layout>
                <c:manualLayout>
                  <c:x val="-4.3922522929666905E-2"/>
                  <c:y val="3.05891373231349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95-47AB-927D-73824F2D6B9A}"/>
                </c:ext>
              </c:extLst>
            </c:dLbl>
            <c:dLbl>
              <c:idx val="2"/>
              <c:layout>
                <c:manualLayout>
                  <c:x val="-2.2066943618802615E-2"/>
                  <c:y val="-6.16715370425463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95-47AB-927D-73824F2D6B9A}"/>
                </c:ext>
              </c:extLst>
            </c:dLbl>
            <c:dLbl>
              <c:idx val="3"/>
              <c:layout>
                <c:manualLayout>
                  <c:x val="0.11809806886721946"/>
                  <c:y val="0.1966670229832801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195-47AB-927D-73824F2D6B9A}"/>
                </c:ext>
              </c:extLst>
            </c:dLbl>
            <c:dLbl>
              <c:idx val="4"/>
              <c:layout>
                <c:manualLayout>
                  <c:x val="4.6400607208867101E-2"/>
                  <c:y val="-6.846859841786837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195-47AB-927D-73824F2D6B9A}"/>
                </c:ext>
              </c:extLst>
            </c:dLbl>
            <c:dLbl>
              <c:idx val="5"/>
              <c:layout>
                <c:manualLayout>
                  <c:x val="3.586472220773728E-2"/>
                  <c:y val="1.547659064243885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195-47AB-927D-73824F2D6B9A}"/>
                </c:ext>
              </c:extLst>
            </c:dLbl>
            <c:dLbl>
              <c:idx val="6"/>
              <c:layout>
                <c:manualLayout>
                  <c:x val="0.11719467185807073"/>
                  <c:y val="-0.116927657853625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195-47AB-927D-73824F2D6B9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Run!$R$33:$R$39</c:f>
              <c:strCache>
                <c:ptCount val="7"/>
                <c:pt idx="0">
                  <c:v>Tributary sport</c:v>
                </c:pt>
                <c:pt idx="1">
                  <c:v>Zone 6 tribal</c:v>
                </c:pt>
                <c:pt idx="2">
                  <c:v>Upriver sport</c:v>
                </c:pt>
                <c:pt idx="3">
                  <c:v>LCR comm. Terminal</c:v>
                </c:pt>
                <c:pt idx="4">
                  <c:v>LCR comm. </c:v>
                </c:pt>
                <c:pt idx="5">
                  <c:v>LCR sport</c:v>
                </c:pt>
                <c:pt idx="6">
                  <c:v>US Ocean</c:v>
                </c:pt>
              </c:strCache>
            </c:strRef>
          </c:cat>
          <c:val>
            <c:numRef>
              <c:f>Run!$T$33:$T$39</c:f>
              <c:numCache>
                <c:formatCode>0.0</c:formatCode>
                <c:ptCount val="7"/>
                <c:pt idx="0">
                  <c:v>20.740000000000002</c:v>
                </c:pt>
                <c:pt idx="1">
                  <c:v>15.386806572495807</c:v>
                </c:pt>
                <c:pt idx="2" formatCode="General">
                  <c:v>1.5</c:v>
                </c:pt>
                <c:pt idx="3">
                  <c:v>52.089999999999996</c:v>
                </c:pt>
                <c:pt idx="4">
                  <c:v>20.82</c:v>
                </c:pt>
                <c:pt idx="5">
                  <c:v>21.989999999999995</c:v>
                </c:pt>
                <c:pt idx="6">
                  <c:v>71.149691534839988</c:v>
                </c:pt>
              </c:numCache>
            </c:numRef>
          </c:val>
          <c:extLst>
            <c:ext xmlns:c16="http://schemas.microsoft.com/office/drawing/2014/chart" uri="{C3380CC4-5D6E-409C-BE32-E72D297353CC}">
              <c16:uniqueId val="{0000000E-2195-47AB-927D-73824F2D6B9A}"/>
            </c:ext>
          </c:extLst>
        </c:ser>
        <c:dLbls>
          <c:showLegendKey val="0"/>
          <c:showVal val="1"/>
          <c:showCatName val="0"/>
          <c:showSerName val="0"/>
          <c:showPercent val="0"/>
          <c:showBubbleSize val="0"/>
          <c:showLeaderLines val="1"/>
        </c:dLbls>
        <c:firstSliceAng val="218"/>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1.emf"/><Relationship Id="rId7" Type="http://schemas.openxmlformats.org/officeDocument/2006/relationships/image" Target="../media/image45.emf"/><Relationship Id="rId2" Type="http://schemas.openxmlformats.org/officeDocument/2006/relationships/image" Target="../media/image40.emf"/><Relationship Id="rId1" Type="http://schemas.openxmlformats.org/officeDocument/2006/relationships/image" Target="../media/image39.emf"/><Relationship Id="rId6" Type="http://schemas.openxmlformats.org/officeDocument/2006/relationships/image" Target="../media/image44.emf"/><Relationship Id="rId5" Type="http://schemas.openxmlformats.org/officeDocument/2006/relationships/image" Target="../media/image43.emf"/><Relationship Id="rId4" Type="http://schemas.openxmlformats.org/officeDocument/2006/relationships/image" Target="../media/image42.emf"/></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163089</xdr:colOff>
      <xdr:row>27</xdr:row>
      <xdr:rowOff>15875</xdr:rowOff>
    </xdr:from>
    <xdr:to>
      <xdr:col>16</xdr:col>
      <xdr:colOff>63501</xdr:colOff>
      <xdr:row>47</xdr:row>
      <xdr:rowOff>95249</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94511</xdr:colOff>
      <xdr:row>46</xdr:row>
      <xdr:rowOff>55721</xdr:rowOff>
    </xdr:from>
    <xdr:to>
      <xdr:col>7</xdr:col>
      <xdr:colOff>488157</xdr:colOff>
      <xdr:row>65</xdr:row>
      <xdr:rowOff>95250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35718</xdr:colOff>
      <xdr:row>1</xdr:row>
      <xdr:rowOff>87653</xdr:rowOff>
    </xdr:from>
    <xdr:to>
      <xdr:col>16</xdr:col>
      <xdr:colOff>19253</xdr:colOff>
      <xdr:row>26</xdr:row>
      <xdr:rowOff>174784</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38562" y="349591"/>
          <a:ext cx="5328012" cy="4603409"/>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281941</xdr:colOff>
      <xdr:row>39</xdr:row>
      <xdr:rowOff>5186</xdr:rowOff>
    </xdr:from>
    <xdr:to>
      <xdr:col>6</xdr:col>
      <xdr:colOff>507682</xdr:colOff>
      <xdr:row>40</xdr:row>
      <xdr:rowOff>92986</xdr:rowOff>
    </xdr:to>
    <xdr:sp macro="" textlink="">
      <xdr:nvSpPr>
        <xdr:cNvPr id="17" name="TextBox 4">
          <a:extLst>
            <a:ext uri="{FF2B5EF4-FFF2-40B4-BE49-F238E27FC236}">
              <a16:creationId xmlns:a16="http://schemas.microsoft.com/office/drawing/2014/main" id="{00000000-0008-0000-0000-000011000000}"/>
            </a:ext>
          </a:extLst>
        </xdr:cNvPr>
        <xdr:cNvSpPr txBox="1"/>
      </xdr:nvSpPr>
      <xdr:spPr>
        <a:xfrm>
          <a:off x="1008222" y="7101311"/>
          <a:ext cx="2606991" cy="278300"/>
        </a:xfrm>
        <a:prstGeom prst="rect">
          <a:avLst/>
        </a:prstGeom>
        <a:noFill/>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200" b="1">
              <a:solidFill>
                <a:srgbClr val="8D9D38"/>
              </a:solidFill>
            </a:rPr>
            <a:t>Current: 400 thousand ~90% Hatchery</a:t>
          </a:r>
        </a:p>
      </xdr:txBody>
    </xdr:sp>
    <xdr:clientData/>
  </xdr:twoCellAnchor>
  <xdr:twoCellAnchor>
    <xdr:from>
      <xdr:col>2</xdr:col>
      <xdr:colOff>283844</xdr:colOff>
      <xdr:row>40</xdr:row>
      <xdr:rowOff>150971</xdr:rowOff>
    </xdr:from>
    <xdr:to>
      <xdr:col>15</xdr:col>
      <xdr:colOff>431958</xdr:colOff>
      <xdr:row>40</xdr:row>
      <xdr:rowOff>171450</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1010125" y="7437596"/>
          <a:ext cx="7887177" cy="20479"/>
        </a:xfrm>
        <a:prstGeom prst="line">
          <a:avLst/>
        </a:prstGeom>
        <a:ln w="28575">
          <a:solidFill>
            <a:srgbClr val="8D9D3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261938</xdr:colOff>
      <xdr:row>28</xdr:row>
      <xdr:rowOff>38100</xdr:rowOff>
    </xdr:from>
    <xdr:to>
      <xdr:col>15</xdr:col>
      <xdr:colOff>445770</xdr:colOff>
      <xdr:row>28</xdr:row>
      <xdr:rowOff>59531</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flipV="1">
          <a:off x="988219" y="5169694"/>
          <a:ext cx="7922895" cy="21431"/>
        </a:xfrm>
        <a:prstGeom prst="line">
          <a:avLst/>
        </a:prstGeom>
        <a:ln w="28575">
          <a:solidFill>
            <a:srgbClr val="5B66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285274</xdr:colOff>
      <xdr:row>28</xdr:row>
      <xdr:rowOff>57413</xdr:rowOff>
    </xdr:from>
    <xdr:to>
      <xdr:col>6</xdr:col>
      <xdr:colOff>202883</xdr:colOff>
      <xdr:row>29</xdr:row>
      <xdr:rowOff>159024</xdr:rowOff>
    </xdr:to>
    <xdr:sp macro="" textlink="">
      <xdr:nvSpPr>
        <xdr:cNvPr id="14" name="TextBox 4">
          <a:extLst>
            <a:ext uri="{FF2B5EF4-FFF2-40B4-BE49-F238E27FC236}">
              <a16:creationId xmlns:a16="http://schemas.microsoft.com/office/drawing/2014/main" id="{00000000-0008-0000-0000-00000E000000}"/>
            </a:ext>
          </a:extLst>
        </xdr:cNvPr>
        <xdr:cNvSpPr txBox="1"/>
      </xdr:nvSpPr>
      <xdr:spPr>
        <a:xfrm>
          <a:off x="1011555" y="5189007"/>
          <a:ext cx="2298859" cy="280205"/>
        </a:xfrm>
        <a:prstGeom prst="rect">
          <a:avLst/>
        </a:prstGeom>
        <a:noFill/>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a:solidFill>
                <a:srgbClr val="5B6624"/>
              </a:solidFill>
            </a:rPr>
            <a:t>High</a:t>
          </a:r>
          <a:r>
            <a:rPr lang="en-US" sz="1200" b="1" baseline="0">
              <a:solidFill>
                <a:srgbClr val="5B6624"/>
              </a:solidFill>
            </a:rPr>
            <a:t> Historic Range: 1.8 million</a:t>
          </a:r>
          <a:endParaRPr lang="en-US" sz="1200" b="1">
            <a:solidFill>
              <a:srgbClr val="5B6624"/>
            </a:solidFill>
          </a:endParaRPr>
        </a:p>
      </xdr:txBody>
    </xdr:sp>
    <xdr:clientData/>
  </xdr:twoCellAnchor>
  <xdr:twoCellAnchor>
    <xdr:from>
      <xdr:col>2</xdr:col>
      <xdr:colOff>285750</xdr:colOff>
      <xdr:row>37</xdr:row>
      <xdr:rowOff>-1</xdr:rowOff>
    </xdr:from>
    <xdr:to>
      <xdr:col>15</xdr:col>
      <xdr:colOff>407670</xdr:colOff>
      <xdr:row>37</xdr:row>
      <xdr:rowOff>26670</xdr:rowOff>
    </xdr:to>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a:off x="1012031" y="6738937"/>
          <a:ext cx="7860983" cy="26671"/>
        </a:xfrm>
        <a:prstGeom prst="line">
          <a:avLst/>
        </a:prstGeom>
        <a:ln w="28575">
          <a:solidFill>
            <a:srgbClr val="5B66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352424</xdr:colOff>
      <xdr:row>35</xdr:row>
      <xdr:rowOff>17621</xdr:rowOff>
    </xdr:from>
    <xdr:to>
      <xdr:col>6</xdr:col>
      <xdr:colOff>391241</xdr:colOff>
      <xdr:row>36</xdr:row>
      <xdr:rowOff>104775</xdr:rowOff>
    </xdr:to>
    <xdr:sp macro="" textlink="">
      <xdr:nvSpPr>
        <xdr:cNvPr id="18" name="TextBox 4">
          <a:extLst>
            <a:ext uri="{FF2B5EF4-FFF2-40B4-BE49-F238E27FC236}">
              <a16:creationId xmlns:a16="http://schemas.microsoft.com/office/drawing/2014/main" id="{00000000-0008-0000-0000-000012000000}"/>
            </a:ext>
          </a:extLst>
        </xdr:cNvPr>
        <xdr:cNvSpPr txBox="1"/>
      </xdr:nvSpPr>
      <xdr:spPr>
        <a:xfrm>
          <a:off x="1078705" y="6399371"/>
          <a:ext cx="2420067" cy="265748"/>
        </a:xfrm>
        <a:prstGeom prst="rect">
          <a:avLst/>
        </a:prstGeom>
        <a:solidFill>
          <a:schemeClr val="bg1"/>
        </a:solidFill>
        <a:effectLst/>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200" b="1" baseline="0">
              <a:solidFill>
                <a:srgbClr val="5B6624"/>
              </a:solidFill>
            </a:rPr>
            <a:t>Low Historic Range: 600 thousand</a:t>
          </a:r>
          <a:endParaRPr lang="en-US" sz="1200" b="1">
            <a:solidFill>
              <a:srgbClr val="5B6624"/>
            </a:solidFill>
          </a:endParaRPr>
        </a:p>
      </xdr:txBody>
    </xdr:sp>
    <xdr:clientData/>
  </xdr:twoCellAnchor>
  <xdr:twoCellAnchor>
    <xdr:from>
      <xdr:col>8</xdr:col>
      <xdr:colOff>312208</xdr:colOff>
      <xdr:row>48</xdr:row>
      <xdr:rowOff>54239</xdr:rowOff>
    </xdr:from>
    <xdr:to>
      <xdr:col>16</xdr:col>
      <xdr:colOff>10583</xdr:colOff>
      <xdr:row>65</xdr:row>
      <xdr:rowOff>58208</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69532</xdr:colOff>
      <xdr:row>12</xdr:row>
      <xdr:rowOff>166687</xdr:rowOff>
    </xdr:from>
    <xdr:to>
      <xdr:col>6</xdr:col>
      <xdr:colOff>438151</xdr:colOff>
      <xdr:row>27</xdr:row>
      <xdr:rowOff>94615</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31910</xdr:colOff>
      <xdr:row>46</xdr:row>
      <xdr:rowOff>67628</xdr:rowOff>
    </xdr:from>
    <xdr:to>
      <xdr:col>15</xdr:col>
      <xdr:colOff>561923</xdr:colOff>
      <xdr:row>65</xdr:row>
      <xdr:rowOff>106151</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98634</xdr:colOff>
      <xdr:row>1</xdr:row>
      <xdr:rowOff>58420</xdr:rowOff>
    </xdr:from>
    <xdr:to>
      <xdr:col>7</xdr:col>
      <xdr:colOff>0</xdr:colOff>
      <xdr:row>12</xdr:row>
      <xdr:rowOff>154781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8634" y="320358"/>
          <a:ext cx="3604210" cy="21085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spcAft>
              <a:spcPts val="300"/>
            </a:spcAft>
            <a:buFont typeface="Arial" panose="020B0604020202020204" pitchFamily="34" charset="0"/>
            <a:buChar char="•"/>
          </a:pPr>
          <a:r>
            <a:rPr lang="en-US" sz="1600" i="0" baseline="0"/>
            <a:t>Currently inhabits low to moderate elevation streams throughout the accessible portion of the lower Columbia.</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t>ESA-listed coho occur from the Columbia River gorge downstream</a:t>
          </a:r>
          <a:r>
            <a:rPr lang="en-US" sz="1600" i="0" baseline="0">
              <a:solidFill>
                <a:schemeClr val="dk1"/>
              </a:solidFill>
              <a:effectLst/>
              <a:latin typeface="+mn-lt"/>
              <a:ea typeface="+mn-ea"/>
              <a:cs typeface="+mn-cs"/>
            </a:rPr>
            <a:t>.</a:t>
          </a:r>
          <a:endParaRPr lang="en-US" sz="1600" i="0">
            <a:effectLst/>
          </a:endParaRPr>
        </a:p>
        <a:p>
          <a:pPr marL="171450" indent="-171450">
            <a:spcAft>
              <a:spcPts val="300"/>
            </a:spcAft>
            <a:buFont typeface="Arial" panose="020B0604020202020204" pitchFamily="34" charset="0"/>
            <a:buChar char="•"/>
          </a:pPr>
          <a:r>
            <a:rPr lang="en-US" sz="1600" i="0" baseline="0"/>
            <a:t>Current runs are mostly hatchery origin.</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a:effectLst/>
            </a:rPr>
            <a:t>Significant</a:t>
          </a:r>
          <a:r>
            <a:rPr lang="en-US" sz="1600" i="0" baseline="0">
              <a:effectLst/>
            </a:rPr>
            <a:t> natural populations occur in some streams.</a:t>
          </a:r>
          <a:endParaRPr lang="en-US" sz="1600" i="0">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33</xdr:col>
      <xdr:colOff>430530</xdr:colOff>
      <xdr:row>4</xdr:row>
      <xdr:rowOff>80010</xdr:rowOff>
    </xdr:from>
    <xdr:ext cx="2597762" cy="1476375"/>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9613880" y="1289685"/>
          <a:ext cx="2597762" cy="1476375"/>
        </a:xfrm>
        <a:prstGeom prst="rect">
          <a:avLst/>
        </a:prstGeom>
        <a:solidFill>
          <a:schemeClr val="accent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Rule</a:t>
          </a:r>
          <a:r>
            <a:rPr lang="en-US" sz="1100" baseline="0"/>
            <a:t> set for goals:</a:t>
          </a:r>
        </a:p>
        <a:p>
          <a:r>
            <a:rPr lang="en-US" sz="1100" baseline="0"/>
            <a:t>Low = recovery plan goals where available</a:t>
          </a:r>
        </a:p>
        <a:p>
          <a:r>
            <a:rPr lang="en-US" sz="1100" baseline="0"/>
            <a:t>            current avg for stabilizing if no goal</a:t>
          </a:r>
        </a:p>
        <a:p>
          <a:r>
            <a:rPr lang="en-US" sz="1100" baseline="0"/>
            <a:t>Med = intermediate between low &amp; high</a:t>
          </a:r>
        </a:p>
        <a:p>
          <a:r>
            <a:rPr lang="en-US" sz="1100" baseline="0"/>
            <a:t>High = PFC+ for WA primary pop</a:t>
          </a:r>
        </a:p>
        <a:p>
          <a:r>
            <a:rPr lang="en-US" sz="1100" b="0" i="0" u="none" strike="noStrike" baseline="0">
              <a:solidFill>
                <a:schemeClr val="tx1"/>
              </a:solidFill>
              <a:effectLst/>
              <a:latin typeface="+mn-lt"/>
              <a:ea typeface="+mn-ea"/>
              <a:cs typeface="+mn-cs"/>
            </a:rPr>
            <a:t>             2x upper goal for primary if no PFC+</a:t>
          </a:r>
        </a:p>
        <a:p>
          <a:r>
            <a:rPr lang="en-US" sz="1100" b="0" i="0" u="none" strike="noStrike" baseline="0">
              <a:solidFill>
                <a:schemeClr val="tx1"/>
              </a:solidFill>
              <a:effectLst/>
              <a:latin typeface="+mn-lt"/>
              <a:ea typeface="+mn-ea"/>
              <a:cs typeface="+mn-cs"/>
            </a:rPr>
            <a:t>             2x lower goal for contributing</a:t>
          </a:r>
        </a:p>
        <a:p>
          <a:r>
            <a:rPr lang="en-US" sz="1100" b="0" i="0" u="none" strike="noStrike" baseline="0">
              <a:solidFill>
                <a:schemeClr val="tx1"/>
              </a:solidFill>
              <a:effectLst/>
              <a:latin typeface="+mn-lt"/>
              <a:ea typeface="+mn-ea"/>
              <a:cs typeface="+mn-cs"/>
            </a:rPr>
            <a:t>             2x lower goal for stabilizing</a:t>
          </a:r>
          <a:endParaRPr lang="en-US" sz="1100"/>
        </a:p>
      </xdr:txBody>
    </xdr:sp>
    <xdr:clientData/>
  </xdr:oneCellAnchor>
  <xdr:twoCellAnchor editAs="oneCell">
    <xdr:from>
      <xdr:col>39</xdr:col>
      <xdr:colOff>123825</xdr:colOff>
      <xdr:row>40</xdr:row>
      <xdr:rowOff>161925</xdr:rowOff>
    </xdr:from>
    <xdr:to>
      <xdr:col>50</xdr:col>
      <xdr:colOff>212510</xdr:colOff>
      <xdr:row>73</xdr:row>
      <xdr:rowOff>18280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23088600" y="8229600"/>
          <a:ext cx="6800000" cy="6161905"/>
        </a:xfrm>
        <a:prstGeom prst="rect">
          <a:avLst/>
        </a:prstGeom>
      </xdr:spPr>
    </xdr:pic>
    <xdr:clientData/>
  </xdr:twoCellAnchor>
  <xdr:twoCellAnchor editAs="oneCell">
    <xdr:from>
      <xdr:col>39</xdr:col>
      <xdr:colOff>0</xdr:colOff>
      <xdr:row>4</xdr:row>
      <xdr:rowOff>0</xdr:rowOff>
    </xdr:from>
    <xdr:to>
      <xdr:col>48</xdr:col>
      <xdr:colOff>342172</xdr:colOff>
      <xdr:row>38</xdr:row>
      <xdr:rowOff>113477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22840950" y="1209675"/>
          <a:ext cx="5828572" cy="6590477"/>
        </a:xfrm>
        <a:prstGeom prst="rect">
          <a:avLst/>
        </a:prstGeom>
      </xdr:spPr>
    </xdr:pic>
    <xdr:clientData/>
  </xdr:twoCellAnchor>
  <xdr:twoCellAnchor editAs="oneCell">
    <xdr:from>
      <xdr:col>74</xdr:col>
      <xdr:colOff>209550</xdr:colOff>
      <xdr:row>127</xdr:row>
      <xdr:rowOff>133350</xdr:rowOff>
    </xdr:from>
    <xdr:to>
      <xdr:col>95</xdr:col>
      <xdr:colOff>379379</xdr:colOff>
      <xdr:row>149</xdr:row>
      <xdr:rowOff>60170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54559200" y="24793575"/>
          <a:ext cx="12971429" cy="6323810"/>
        </a:xfrm>
        <a:prstGeom prst="rect">
          <a:avLst/>
        </a:prstGeom>
      </xdr:spPr>
    </xdr:pic>
    <xdr:clientData/>
  </xdr:twoCellAnchor>
  <xdr:twoCellAnchor editAs="oneCell">
    <xdr:from>
      <xdr:col>74</xdr:col>
      <xdr:colOff>85725</xdr:colOff>
      <xdr:row>92</xdr:row>
      <xdr:rowOff>57150</xdr:rowOff>
    </xdr:from>
    <xdr:to>
      <xdr:col>84</xdr:col>
      <xdr:colOff>591632</xdr:colOff>
      <xdr:row>109</xdr:row>
      <xdr:rowOff>171031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54435375" y="18049875"/>
          <a:ext cx="6590477" cy="3352381"/>
        </a:xfrm>
        <a:prstGeom prst="rect">
          <a:avLst/>
        </a:prstGeom>
      </xdr:spPr>
    </xdr:pic>
    <xdr:clientData/>
  </xdr:twoCellAnchor>
  <xdr:twoCellAnchor editAs="oneCell">
    <xdr:from>
      <xdr:col>74</xdr:col>
      <xdr:colOff>238125</xdr:colOff>
      <xdr:row>9</xdr:row>
      <xdr:rowOff>47625</xdr:rowOff>
    </xdr:from>
    <xdr:to>
      <xdr:col>84</xdr:col>
      <xdr:colOff>517363</xdr:colOff>
      <xdr:row>17</xdr:row>
      <xdr:rowOff>152197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a:stretch>
          <a:fillRect/>
        </a:stretch>
      </xdr:blipFill>
      <xdr:spPr>
        <a:xfrm>
          <a:off x="54721125" y="2209800"/>
          <a:ext cx="6380953" cy="1628572"/>
        </a:xfrm>
        <a:prstGeom prst="rect">
          <a:avLst/>
        </a:prstGeom>
      </xdr:spPr>
    </xdr:pic>
    <xdr:clientData/>
  </xdr:twoCellAnchor>
  <xdr:twoCellAnchor editAs="oneCell">
    <xdr:from>
      <xdr:col>74</xdr:col>
      <xdr:colOff>171450</xdr:colOff>
      <xdr:row>21</xdr:row>
      <xdr:rowOff>66675</xdr:rowOff>
    </xdr:from>
    <xdr:to>
      <xdr:col>84</xdr:col>
      <xdr:colOff>418308</xdr:colOff>
      <xdr:row>56</xdr:row>
      <xdr:rowOff>134413</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stretch>
          <a:fillRect/>
        </a:stretch>
      </xdr:blipFill>
      <xdr:spPr>
        <a:xfrm>
          <a:off x="54654450" y="4514850"/>
          <a:ext cx="6342858" cy="6742858"/>
        </a:xfrm>
        <a:prstGeom prst="rect">
          <a:avLst/>
        </a:prstGeom>
      </xdr:spPr>
    </xdr:pic>
    <xdr:clientData/>
  </xdr:twoCellAnchor>
  <xdr:twoCellAnchor editAs="oneCell">
    <xdr:from>
      <xdr:col>74</xdr:col>
      <xdr:colOff>104775</xdr:colOff>
      <xdr:row>57</xdr:row>
      <xdr:rowOff>142875</xdr:rowOff>
    </xdr:from>
    <xdr:to>
      <xdr:col>84</xdr:col>
      <xdr:colOff>399252</xdr:colOff>
      <xdr:row>77</xdr:row>
      <xdr:rowOff>136684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54454425" y="11468100"/>
          <a:ext cx="6390477" cy="3809524"/>
        </a:xfrm>
        <a:prstGeom prst="rect">
          <a:avLst/>
        </a:prstGeom>
      </xdr:spPr>
    </xdr:pic>
    <xdr:clientData/>
  </xdr:twoCellAnchor>
  <xdr:twoCellAnchor editAs="oneCell">
    <xdr:from>
      <xdr:col>38</xdr:col>
      <xdr:colOff>542925</xdr:colOff>
      <xdr:row>75</xdr:row>
      <xdr:rowOff>9525</xdr:rowOff>
    </xdr:from>
    <xdr:to>
      <xdr:col>49</xdr:col>
      <xdr:colOff>437325</xdr:colOff>
      <xdr:row>93</xdr:row>
      <xdr:rowOff>136715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8"/>
        <a:stretch>
          <a:fillRect/>
        </a:stretch>
      </xdr:blipFill>
      <xdr:spPr>
        <a:xfrm>
          <a:off x="22898100" y="14763750"/>
          <a:ext cx="6600000" cy="3561905"/>
        </a:xfrm>
        <a:prstGeom prst="rect">
          <a:avLst/>
        </a:prstGeom>
      </xdr:spPr>
    </xdr:pic>
    <xdr:clientData/>
  </xdr:twoCellAnchor>
  <xdr:twoCellAnchor editAs="oneCell">
    <xdr:from>
      <xdr:col>39</xdr:col>
      <xdr:colOff>123825</xdr:colOff>
      <xdr:row>95</xdr:row>
      <xdr:rowOff>0</xdr:rowOff>
    </xdr:from>
    <xdr:to>
      <xdr:col>49</xdr:col>
      <xdr:colOff>134494</xdr:colOff>
      <xdr:row>105</xdr:row>
      <xdr:rowOff>56905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9"/>
        <a:stretch>
          <a:fillRect/>
        </a:stretch>
      </xdr:blipFill>
      <xdr:spPr>
        <a:xfrm>
          <a:off x="23088600" y="18564225"/>
          <a:ext cx="6095239" cy="1961905"/>
        </a:xfrm>
        <a:prstGeom prst="rect">
          <a:avLst/>
        </a:prstGeom>
      </xdr:spPr>
    </xdr:pic>
    <xdr:clientData/>
  </xdr:twoCellAnchor>
  <xdr:twoCellAnchor editAs="oneCell">
    <xdr:from>
      <xdr:col>39</xdr:col>
      <xdr:colOff>66675</xdr:colOff>
      <xdr:row>106</xdr:row>
      <xdr:rowOff>0</xdr:rowOff>
    </xdr:from>
    <xdr:to>
      <xdr:col>49</xdr:col>
      <xdr:colOff>134486</xdr:colOff>
      <xdr:row>116</xdr:row>
      <xdr:rowOff>60714</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23031450" y="20659725"/>
          <a:ext cx="6152381" cy="1971429"/>
        </a:xfrm>
        <a:prstGeom prst="rect">
          <a:avLst/>
        </a:prstGeom>
      </xdr:spPr>
    </xdr:pic>
    <xdr:clientData/>
  </xdr:twoCellAnchor>
  <xdr:twoCellAnchor editAs="oneCell">
    <xdr:from>
      <xdr:col>74</xdr:col>
      <xdr:colOff>76200</xdr:colOff>
      <xdr:row>80</xdr:row>
      <xdr:rowOff>76200</xdr:rowOff>
    </xdr:from>
    <xdr:to>
      <xdr:col>84</xdr:col>
      <xdr:colOff>174485</xdr:colOff>
      <xdr:row>90</xdr:row>
      <xdr:rowOff>56914</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a:stretch>
          <a:fillRect/>
        </a:stretch>
      </xdr:blipFill>
      <xdr:spPr>
        <a:xfrm>
          <a:off x="54425850" y="15782925"/>
          <a:ext cx="6200000" cy="1885714"/>
        </a:xfrm>
        <a:prstGeom prst="rect">
          <a:avLst/>
        </a:prstGeom>
      </xdr:spPr>
    </xdr:pic>
    <xdr:clientData/>
  </xdr:twoCellAnchor>
  <xdr:twoCellAnchor editAs="oneCell">
    <xdr:from>
      <xdr:col>63</xdr:col>
      <xdr:colOff>180976</xdr:colOff>
      <xdr:row>46</xdr:row>
      <xdr:rowOff>57151</xdr:rowOff>
    </xdr:from>
    <xdr:to>
      <xdr:col>73</xdr:col>
      <xdr:colOff>586925</xdr:colOff>
      <xdr:row>77</xdr:row>
      <xdr:rowOff>53340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2"/>
        <a:stretch>
          <a:fillRect/>
        </a:stretch>
      </xdr:blipFill>
      <xdr:spPr>
        <a:xfrm>
          <a:off x="42367201" y="9267826"/>
          <a:ext cx="11967394" cy="5915024"/>
        </a:xfrm>
        <a:prstGeom prst="rect">
          <a:avLst/>
        </a:prstGeom>
      </xdr:spPr>
    </xdr:pic>
    <xdr:clientData/>
  </xdr:twoCellAnchor>
  <xdr:twoCellAnchor editAs="oneCell">
    <xdr:from>
      <xdr:col>74</xdr:col>
      <xdr:colOff>428625</xdr:colOff>
      <xdr:row>112</xdr:row>
      <xdr:rowOff>114300</xdr:rowOff>
    </xdr:from>
    <xdr:to>
      <xdr:col>84</xdr:col>
      <xdr:colOff>304054</xdr:colOff>
      <xdr:row>122</xdr:row>
      <xdr:rowOff>22565</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3"/>
        <a:stretch>
          <a:fillRect/>
        </a:stretch>
      </xdr:blipFill>
      <xdr:spPr>
        <a:xfrm>
          <a:off x="54778275" y="21917025"/>
          <a:ext cx="5971429" cy="2361905"/>
        </a:xfrm>
        <a:prstGeom prst="rect">
          <a:avLst/>
        </a:prstGeom>
      </xdr:spPr>
    </xdr:pic>
    <xdr:clientData/>
  </xdr:twoCellAnchor>
  <xdr:twoCellAnchor editAs="oneCell">
    <xdr:from>
      <xdr:col>86</xdr:col>
      <xdr:colOff>0</xdr:colOff>
      <xdr:row>9</xdr:row>
      <xdr:rowOff>0</xdr:rowOff>
    </xdr:from>
    <xdr:to>
      <xdr:col>94</xdr:col>
      <xdr:colOff>133350</xdr:colOff>
      <xdr:row>46</xdr:row>
      <xdr:rowOff>60704</xdr:rowOff>
    </xdr:to>
    <xdr:pic>
      <xdr:nvPicPr>
        <xdr:cNvPr id="10" name="Picture 9">
          <a:extLst>
            <a:ext uri="{FF2B5EF4-FFF2-40B4-BE49-F238E27FC236}">
              <a16:creationId xmlns:a16="http://schemas.microsoft.com/office/drawing/2014/main" id="{FD120661-19B6-4E10-AE13-4B09562B2E21}"/>
            </a:ext>
          </a:extLst>
        </xdr:cNvPr>
        <xdr:cNvPicPr>
          <a:picLocks noChangeAspect="1"/>
        </xdr:cNvPicPr>
      </xdr:nvPicPr>
      <xdr:blipFill>
        <a:blip xmlns:r="http://schemas.openxmlformats.org/officeDocument/2006/relationships" r:embed="rId14"/>
        <a:stretch>
          <a:fillRect/>
        </a:stretch>
      </xdr:blipFill>
      <xdr:spPr>
        <a:xfrm>
          <a:off x="61798200" y="2162175"/>
          <a:ext cx="5010150" cy="7109204"/>
        </a:xfrm>
        <a:prstGeom prst="rect">
          <a:avLst/>
        </a:prstGeom>
      </xdr:spPr>
    </xdr:pic>
    <xdr:clientData/>
  </xdr:twoCellAnchor>
  <xdr:twoCellAnchor editAs="oneCell">
    <xdr:from>
      <xdr:col>86</xdr:col>
      <xdr:colOff>0</xdr:colOff>
      <xdr:row>48</xdr:row>
      <xdr:rowOff>0</xdr:rowOff>
    </xdr:from>
    <xdr:to>
      <xdr:col>99</xdr:col>
      <xdr:colOff>436245</xdr:colOff>
      <xdr:row>61</xdr:row>
      <xdr:rowOff>94515</xdr:rowOff>
    </xdr:to>
    <xdr:pic>
      <xdr:nvPicPr>
        <xdr:cNvPr id="18" name="Picture 17">
          <a:extLst>
            <a:ext uri="{FF2B5EF4-FFF2-40B4-BE49-F238E27FC236}">
              <a16:creationId xmlns:a16="http://schemas.microsoft.com/office/drawing/2014/main" id="{54EC4D9D-7022-4E7A-AEAC-4D7BA5710B81}"/>
            </a:ext>
          </a:extLst>
        </xdr:cNvPr>
        <xdr:cNvPicPr>
          <a:picLocks noChangeAspect="1"/>
        </xdr:cNvPicPr>
      </xdr:nvPicPr>
      <xdr:blipFill>
        <a:blip xmlns:r="http://schemas.openxmlformats.org/officeDocument/2006/relationships" r:embed="rId15"/>
        <a:stretch>
          <a:fillRect/>
        </a:stretch>
      </xdr:blipFill>
      <xdr:spPr>
        <a:xfrm>
          <a:off x="61798200" y="9629775"/>
          <a:ext cx="8372475" cy="25595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529335</xdr:colOff>
      <xdr:row>48</xdr:row>
      <xdr:rowOff>179917</xdr:rowOff>
    </xdr:from>
    <xdr:to>
      <xdr:col>13</xdr:col>
      <xdr:colOff>173068</xdr:colOff>
      <xdr:row>64</xdr:row>
      <xdr:rowOff>132452</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335" y="9771592"/>
          <a:ext cx="8902033" cy="303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82550</xdr:colOff>
      <xdr:row>25</xdr:row>
      <xdr:rowOff>102024</xdr:rowOff>
    </xdr:from>
    <xdr:to>
      <xdr:col>10</xdr:col>
      <xdr:colOff>212893</xdr:colOff>
      <xdr:row>47</xdr:row>
      <xdr:rowOff>97737</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150" y="5312199"/>
          <a:ext cx="6967388" cy="422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558376</xdr:colOff>
      <xdr:row>69</xdr:row>
      <xdr:rowOff>148168</xdr:rowOff>
    </xdr:from>
    <xdr:to>
      <xdr:col>8</xdr:col>
      <xdr:colOff>228599</xdr:colOff>
      <xdr:row>88</xdr:row>
      <xdr:rowOff>135045</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376" y="13787968"/>
          <a:ext cx="5804323" cy="3686387"/>
        </a:xfrm>
        <a:prstGeom prst="rect">
          <a:avLst/>
        </a:prstGeom>
        <a:noFill/>
      </xdr:spPr>
    </xdr:pic>
    <xdr:clientData/>
  </xdr:twoCellAnchor>
  <xdr:twoCellAnchor editAs="oneCell">
    <xdr:from>
      <xdr:col>26</xdr:col>
      <xdr:colOff>502709</xdr:colOff>
      <xdr:row>38</xdr:row>
      <xdr:rowOff>166106</xdr:rowOff>
    </xdr:from>
    <xdr:to>
      <xdr:col>40</xdr:col>
      <xdr:colOff>172801</xdr:colOff>
      <xdr:row>71</xdr:row>
      <xdr:rowOff>92453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7826303" y="7702762"/>
          <a:ext cx="8161629" cy="5931383"/>
        </a:xfrm>
        <a:prstGeom prst="rect">
          <a:avLst/>
        </a:prstGeom>
      </xdr:spPr>
    </xdr:pic>
    <xdr:clientData/>
  </xdr:twoCellAnchor>
  <xdr:twoCellAnchor editAs="oneCell">
    <xdr:from>
      <xdr:col>27</xdr:col>
      <xdr:colOff>0</xdr:colOff>
      <xdr:row>73</xdr:row>
      <xdr:rowOff>31750</xdr:rowOff>
    </xdr:from>
    <xdr:to>
      <xdr:col>37</xdr:col>
      <xdr:colOff>436906</xdr:colOff>
      <xdr:row>109</xdr:row>
      <xdr:rowOff>131834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17802225" y="14433550"/>
          <a:ext cx="6529096" cy="7047619"/>
        </a:xfrm>
        <a:prstGeom prst="rect">
          <a:avLst/>
        </a:prstGeom>
      </xdr:spPr>
    </xdr:pic>
    <xdr:clientData/>
  </xdr:twoCellAnchor>
  <xdr:twoCellAnchor editAs="oneCell">
    <xdr:from>
      <xdr:col>27</xdr:col>
      <xdr:colOff>0</xdr:colOff>
      <xdr:row>1</xdr:row>
      <xdr:rowOff>0</xdr:rowOff>
    </xdr:from>
    <xdr:to>
      <xdr:col>34</xdr:col>
      <xdr:colOff>396501</xdr:colOff>
      <xdr:row>36</xdr:row>
      <xdr:rowOff>65987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7802225" y="209550"/>
          <a:ext cx="4656081" cy="7164016"/>
        </a:xfrm>
        <a:prstGeom prst="rect">
          <a:avLst/>
        </a:prstGeom>
      </xdr:spPr>
    </xdr:pic>
    <xdr:clientData/>
  </xdr:twoCellAnchor>
  <xdr:twoCellAnchor editAs="oneCell">
    <xdr:from>
      <xdr:col>15</xdr:col>
      <xdr:colOff>42333</xdr:colOff>
      <xdr:row>34</xdr:row>
      <xdr:rowOff>10584</xdr:rowOff>
    </xdr:from>
    <xdr:to>
      <xdr:col>25</xdr:col>
      <xdr:colOff>244954</xdr:colOff>
      <xdr:row>65</xdr:row>
      <xdr:rowOff>135079</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10529358" y="6935259"/>
          <a:ext cx="6291001" cy="6066667"/>
        </a:xfrm>
        <a:prstGeom prst="rect">
          <a:avLst/>
        </a:prstGeom>
      </xdr:spPr>
    </xdr:pic>
    <xdr:clientData/>
  </xdr:twoCellAnchor>
  <xdr:twoCellAnchor editAs="oneCell">
    <xdr:from>
      <xdr:col>15</xdr:col>
      <xdr:colOff>190500</xdr:colOff>
      <xdr:row>2</xdr:row>
      <xdr:rowOff>275167</xdr:rowOff>
    </xdr:from>
    <xdr:to>
      <xdr:col>25</xdr:col>
      <xdr:colOff>17882</xdr:colOff>
      <xdr:row>32</xdr:row>
      <xdr:rowOff>162808</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stretch>
          <a:fillRect/>
        </a:stretch>
      </xdr:blipFill>
      <xdr:spPr>
        <a:xfrm>
          <a:off x="10677525" y="684742"/>
          <a:ext cx="5919572" cy="6031741"/>
        </a:xfrm>
        <a:prstGeom prst="rect">
          <a:avLst/>
        </a:prstGeom>
      </xdr:spPr>
    </xdr:pic>
    <xdr:clientData/>
  </xdr:twoCellAnchor>
  <xdr:twoCellAnchor editAs="oneCell">
    <xdr:from>
      <xdr:col>15</xdr:col>
      <xdr:colOff>0</xdr:colOff>
      <xdr:row>67</xdr:row>
      <xdr:rowOff>0</xdr:rowOff>
    </xdr:from>
    <xdr:to>
      <xdr:col>25</xdr:col>
      <xdr:colOff>322620</xdr:colOff>
      <xdr:row>108</xdr:row>
      <xdr:rowOff>136156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stretch>
          <a:fillRect/>
        </a:stretch>
      </xdr:blipFill>
      <xdr:spPr>
        <a:xfrm>
          <a:off x="10487025" y="13239750"/>
          <a:ext cx="6414810" cy="8038096"/>
        </a:xfrm>
        <a:prstGeom prst="rect">
          <a:avLst/>
        </a:prstGeom>
      </xdr:spPr>
    </xdr:pic>
    <xdr:clientData/>
  </xdr:twoCellAnchor>
  <xdr:twoCellAnchor editAs="oneCell">
    <xdr:from>
      <xdr:col>15</xdr:col>
      <xdr:colOff>266700</xdr:colOff>
      <xdr:row>110</xdr:row>
      <xdr:rowOff>47625</xdr:rowOff>
    </xdr:from>
    <xdr:to>
      <xdr:col>25</xdr:col>
      <xdr:colOff>288796</xdr:colOff>
      <xdr:row>130</xdr:row>
      <xdr:rowOff>60483</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stretch>
          <a:fillRect/>
        </a:stretch>
      </xdr:blipFill>
      <xdr:spPr>
        <a:xfrm>
          <a:off x="10753725" y="21507450"/>
          <a:ext cx="6114286" cy="3819048"/>
        </a:xfrm>
        <a:prstGeom prst="rect">
          <a:avLst/>
        </a:prstGeom>
      </xdr:spPr>
    </xdr:pic>
    <xdr:clientData/>
  </xdr:twoCellAnchor>
  <xdr:twoCellAnchor editAs="oneCell">
    <xdr:from>
      <xdr:col>1</xdr:col>
      <xdr:colOff>0</xdr:colOff>
      <xdr:row>91</xdr:row>
      <xdr:rowOff>0</xdr:rowOff>
    </xdr:from>
    <xdr:to>
      <xdr:col>9</xdr:col>
      <xdr:colOff>364938</xdr:colOff>
      <xdr:row>117</xdr:row>
      <xdr:rowOff>98430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1"/>
        <a:stretch>
          <a:fillRect/>
        </a:stretch>
      </xdr:blipFill>
      <xdr:spPr>
        <a:xfrm>
          <a:off x="609600" y="17840325"/>
          <a:ext cx="6580953" cy="5047619"/>
        </a:xfrm>
        <a:prstGeom prst="rect">
          <a:avLst/>
        </a:prstGeom>
      </xdr:spPr>
    </xdr:pic>
    <xdr:clientData/>
  </xdr:twoCellAnchor>
  <xdr:twoCellAnchor editAs="oneCell">
    <xdr:from>
      <xdr:col>190</xdr:col>
      <xdr:colOff>409575</xdr:colOff>
      <xdr:row>23</xdr:row>
      <xdr:rowOff>76200</xdr:rowOff>
    </xdr:from>
    <xdr:to>
      <xdr:col>201</xdr:col>
      <xdr:colOff>552450</xdr:colOff>
      <xdr:row>46</xdr:row>
      <xdr:rowOff>127158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0"/>
        <a:stretch>
          <a:fillRect/>
        </a:stretch>
      </xdr:blipFill>
      <xdr:spPr>
        <a:xfrm>
          <a:off x="167439975" y="4905375"/>
          <a:ext cx="6838950" cy="4467225"/>
        </a:xfrm>
        <a:prstGeom prst="rect">
          <a:avLst/>
        </a:prstGeom>
      </xdr:spPr>
    </xdr:pic>
    <xdr:clientData/>
  </xdr:twoCellAnchor>
  <xdr:twoCellAnchor editAs="oneCell">
    <xdr:from>
      <xdr:col>221</xdr:col>
      <xdr:colOff>114300</xdr:colOff>
      <xdr:row>42</xdr:row>
      <xdr:rowOff>95250</xdr:rowOff>
    </xdr:from>
    <xdr:to>
      <xdr:col>229</xdr:col>
      <xdr:colOff>94486</xdr:colOff>
      <xdr:row>62</xdr:row>
      <xdr:rowOff>75724</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a:stretch>
          <a:fillRect/>
        </a:stretch>
      </xdr:blipFill>
      <xdr:spPr>
        <a:xfrm>
          <a:off x="188318775" y="7972425"/>
          <a:ext cx="6114286" cy="3819048"/>
        </a:xfrm>
        <a:prstGeom prst="rect">
          <a:avLst/>
        </a:prstGeom>
      </xdr:spPr>
    </xdr:pic>
    <xdr:clientData/>
  </xdr:twoCellAnchor>
  <xdr:twoCellAnchor editAs="oneCell">
    <xdr:from>
      <xdr:col>124</xdr:col>
      <xdr:colOff>571501</xdr:colOff>
      <xdr:row>62</xdr:row>
      <xdr:rowOff>35719</xdr:rowOff>
    </xdr:from>
    <xdr:to>
      <xdr:col>133</xdr:col>
      <xdr:colOff>244029</xdr:colOff>
      <xdr:row>81</xdr:row>
      <xdr:rowOff>94773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0"/>
        <a:stretch>
          <a:fillRect/>
        </a:stretch>
      </xdr:blipFill>
      <xdr:spPr>
        <a:xfrm>
          <a:off x="78855095" y="12382500"/>
          <a:ext cx="6090473" cy="3819048"/>
        </a:xfrm>
        <a:prstGeom prst="rect">
          <a:avLst/>
        </a:prstGeom>
      </xdr:spPr>
    </xdr:pic>
    <xdr:clientData/>
  </xdr:twoCellAnchor>
  <xdr:twoCellAnchor editAs="oneCell">
    <xdr:from>
      <xdr:col>16</xdr:col>
      <xdr:colOff>0</xdr:colOff>
      <xdr:row>131</xdr:row>
      <xdr:rowOff>0</xdr:rowOff>
    </xdr:from>
    <xdr:to>
      <xdr:col>26</xdr:col>
      <xdr:colOff>205909</xdr:colOff>
      <xdr:row>163</xdr:row>
      <xdr:rowOff>174477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2"/>
        <a:stretch>
          <a:fillRect/>
        </a:stretch>
      </xdr:blipFill>
      <xdr:spPr>
        <a:xfrm>
          <a:off x="11060906" y="25622250"/>
          <a:ext cx="6266667" cy="6266667"/>
        </a:xfrm>
        <a:prstGeom prst="rect">
          <a:avLst/>
        </a:prstGeom>
      </xdr:spPr>
    </xdr:pic>
    <xdr:clientData/>
  </xdr:twoCellAnchor>
  <xdr:twoCellAnchor editAs="oneCell">
    <xdr:from>
      <xdr:col>28</xdr:col>
      <xdr:colOff>0</xdr:colOff>
      <xdr:row>111</xdr:row>
      <xdr:rowOff>0</xdr:rowOff>
    </xdr:from>
    <xdr:to>
      <xdr:col>38</xdr:col>
      <xdr:colOff>131622</xdr:colOff>
      <xdr:row>148</xdr:row>
      <xdr:rowOff>151501</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3"/>
        <a:stretch>
          <a:fillRect/>
        </a:stretch>
      </xdr:blipFill>
      <xdr:spPr>
        <a:xfrm>
          <a:off x="18347531" y="21812250"/>
          <a:ext cx="6200000" cy="7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35</xdr:col>
      <xdr:colOff>582083</xdr:colOff>
      <xdr:row>25</xdr:row>
      <xdr:rowOff>127000</xdr:rowOff>
    </xdr:from>
    <xdr:to>
      <xdr:col>46</xdr:col>
      <xdr:colOff>172775</xdr:colOff>
      <xdr:row>52</xdr:row>
      <xdr:rowOff>122095</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27103916" y="4995333"/>
          <a:ext cx="6342858" cy="5286762"/>
        </a:xfrm>
        <a:prstGeom prst="rect">
          <a:avLst/>
        </a:prstGeom>
      </xdr:spPr>
    </xdr:pic>
    <xdr:clientData/>
  </xdr:twoCellAnchor>
  <xdr:twoCellAnchor editAs="oneCell">
    <xdr:from>
      <xdr:col>37</xdr:col>
      <xdr:colOff>243417</xdr:colOff>
      <xdr:row>80</xdr:row>
      <xdr:rowOff>31749</xdr:rowOff>
    </xdr:from>
    <xdr:to>
      <xdr:col>47</xdr:col>
      <xdr:colOff>295560</xdr:colOff>
      <xdr:row>107</xdr:row>
      <xdr:rowOff>83988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27992917" y="17081499"/>
          <a:ext cx="6190477" cy="5428572"/>
        </a:xfrm>
        <a:prstGeom prst="rect">
          <a:avLst/>
        </a:prstGeom>
      </xdr:spPr>
    </xdr:pic>
    <xdr:clientData/>
  </xdr:twoCellAnchor>
  <xdr:twoCellAnchor editAs="oneCell">
    <xdr:from>
      <xdr:col>37</xdr:col>
      <xdr:colOff>497416</xdr:colOff>
      <xdr:row>119</xdr:row>
      <xdr:rowOff>42334</xdr:rowOff>
    </xdr:from>
    <xdr:to>
      <xdr:col>48</xdr:col>
      <xdr:colOff>116678</xdr:colOff>
      <xdr:row>128</xdr:row>
      <xdr:rowOff>150048</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28246916" y="24860251"/>
          <a:ext cx="6371429" cy="1885714"/>
        </a:xfrm>
        <a:prstGeom prst="rect">
          <a:avLst/>
        </a:prstGeom>
      </xdr:spPr>
    </xdr:pic>
    <xdr:clientData/>
  </xdr:twoCellAnchor>
  <xdr:twoCellAnchor editAs="oneCell">
    <xdr:from>
      <xdr:col>38</xdr:col>
      <xdr:colOff>243416</xdr:colOff>
      <xdr:row>131</xdr:row>
      <xdr:rowOff>126999</xdr:rowOff>
    </xdr:from>
    <xdr:to>
      <xdr:col>48</xdr:col>
      <xdr:colOff>514607</xdr:colOff>
      <xdr:row>161</xdr:row>
      <xdr:rowOff>72309</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a:stretch>
          <a:fillRect/>
        </a:stretch>
      </xdr:blipFill>
      <xdr:spPr>
        <a:xfrm>
          <a:off x="28606749" y="27326166"/>
          <a:ext cx="6409524" cy="5723810"/>
        </a:xfrm>
        <a:prstGeom prst="rect">
          <a:avLst/>
        </a:prstGeom>
      </xdr:spPr>
    </xdr:pic>
    <xdr:clientData/>
  </xdr:twoCellAnchor>
  <xdr:twoCellAnchor editAs="oneCell">
    <xdr:from>
      <xdr:col>38</xdr:col>
      <xdr:colOff>381001</xdr:colOff>
      <xdr:row>162</xdr:row>
      <xdr:rowOff>148166</xdr:rowOff>
    </xdr:from>
    <xdr:to>
      <xdr:col>49</xdr:col>
      <xdr:colOff>9788</xdr:colOff>
      <xdr:row>178</xdr:row>
      <xdr:rowOff>90642</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a:stretch>
          <a:fillRect/>
        </a:stretch>
      </xdr:blipFill>
      <xdr:spPr>
        <a:xfrm>
          <a:off x="28744334" y="33316333"/>
          <a:ext cx="6380953" cy="2990476"/>
        </a:xfrm>
        <a:prstGeom prst="rect">
          <a:avLst/>
        </a:prstGeom>
      </xdr:spPr>
    </xdr:pic>
    <xdr:clientData/>
  </xdr:twoCellAnchor>
  <xdr:twoCellAnchor editAs="oneCell">
    <xdr:from>
      <xdr:col>37</xdr:col>
      <xdr:colOff>232834</xdr:colOff>
      <xdr:row>108</xdr:row>
      <xdr:rowOff>169335</xdr:rowOff>
    </xdr:from>
    <xdr:to>
      <xdr:col>47</xdr:col>
      <xdr:colOff>399262</xdr:colOff>
      <xdr:row>117</xdr:row>
      <xdr:rowOff>65407</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a:stretch>
          <a:fillRect/>
        </a:stretch>
      </xdr:blipFill>
      <xdr:spPr>
        <a:xfrm>
          <a:off x="27982334" y="22796502"/>
          <a:ext cx="6304762" cy="1695238"/>
        </a:xfrm>
        <a:prstGeom prst="rect">
          <a:avLst/>
        </a:prstGeom>
      </xdr:spPr>
    </xdr:pic>
    <xdr:clientData/>
  </xdr:twoCellAnchor>
  <xdr:twoCellAnchor editAs="oneCell">
    <xdr:from>
      <xdr:col>36</xdr:col>
      <xdr:colOff>380999</xdr:colOff>
      <xdr:row>56</xdr:row>
      <xdr:rowOff>116416</xdr:rowOff>
    </xdr:from>
    <xdr:to>
      <xdr:col>47</xdr:col>
      <xdr:colOff>47880</xdr:colOff>
      <xdr:row>74</xdr:row>
      <xdr:rowOff>191119</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stretch>
          <a:fillRect/>
        </a:stretch>
      </xdr:blipFill>
      <xdr:spPr>
        <a:xfrm>
          <a:off x="27516666" y="11038416"/>
          <a:ext cx="6419048" cy="3514286"/>
        </a:xfrm>
        <a:prstGeom prst="rect">
          <a:avLst/>
        </a:prstGeom>
      </xdr:spPr>
    </xdr:pic>
    <xdr:clientData/>
  </xdr:twoCellAnchor>
  <xdr:twoCellAnchor editAs="oneCell">
    <xdr:from>
      <xdr:col>35</xdr:col>
      <xdr:colOff>264583</xdr:colOff>
      <xdr:row>7</xdr:row>
      <xdr:rowOff>52916</xdr:rowOff>
    </xdr:from>
    <xdr:to>
      <xdr:col>51</xdr:col>
      <xdr:colOff>548013</xdr:colOff>
      <xdr:row>23</xdr:row>
      <xdr:rowOff>74735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8"/>
        <a:stretch>
          <a:fillRect/>
        </a:stretch>
      </xdr:blipFill>
      <xdr:spPr>
        <a:xfrm>
          <a:off x="23082250" y="1449916"/>
          <a:ext cx="10104763" cy="3247619"/>
        </a:xfrm>
        <a:prstGeom prst="rect">
          <a:avLst/>
        </a:prstGeom>
      </xdr:spPr>
    </xdr:pic>
    <xdr:clientData/>
  </xdr:twoCellAnchor>
  <xdr:twoCellAnchor editAs="oneCell">
    <xdr:from>
      <xdr:col>36</xdr:col>
      <xdr:colOff>508000</xdr:colOff>
      <xdr:row>75</xdr:row>
      <xdr:rowOff>190499</xdr:rowOff>
    </xdr:from>
    <xdr:to>
      <xdr:col>47</xdr:col>
      <xdr:colOff>41548</xdr:colOff>
      <xdr:row>78</xdr:row>
      <xdr:rowOff>298249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9"/>
        <a:stretch>
          <a:fillRect/>
        </a:stretch>
      </xdr:blipFill>
      <xdr:spPr>
        <a:xfrm>
          <a:off x="27643667" y="14753166"/>
          <a:ext cx="6285715" cy="16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466725</xdr:colOff>
      <xdr:row>0</xdr:row>
      <xdr:rowOff>0</xdr:rowOff>
    </xdr:from>
    <xdr:to>
      <xdr:col>24</xdr:col>
      <xdr:colOff>276225</xdr:colOff>
      <xdr:row>32</xdr:row>
      <xdr:rowOff>76200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1925" y="0"/>
          <a:ext cx="71247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285750</xdr:colOff>
      <xdr:row>34</xdr:row>
      <xdr:rowOff>3810</xdr:rowOff>
    </xdr:from>
    <xdr:to>
      <xdr:col>24</xdr:col>
      <xdr:colOff>95250</xdr:colOff>
      <xdr:row>45</xdr:row>
      <xdr:rowOff>186690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00950" y="6480810"/>
          <a:ext cx="7124700" cy="2278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19050</xdr:colOff>
      <xdr:row>0</xdr:row>
      <xdr:rowOff>125730</xdr:rowOff>
    </xdr:from>
    <xdr:to>
      <xdr:col>35</xdr:col>
      <xdr:colOff>102870</xdr:colOff>
      <xdr:row>33</xdr:row>
      <xdr:rowOff>102870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59050" y="125730"/>
          <a:ext cx="6179820" cy="6263640"/>
        </a:xfrm>
        <a:prstGeom prst="rect">
          <a:avLst/>
        </a:prstGeom>
        <a:solidFill>
          <a:schemeClr val="bg1"/>
        </a:solidFill>
      </xdr:spPr>
    </xdr:pic>
    <xdr:clientData/>
  </xdr:twoCellAnchor>
  <xdr:twoCellAnchor editAs="oneCell">
    <xdr:from>
      <xdr:col>0</xdr:col>
      <xdr:colOff>352425</xdr:colOff>
      <xdr:row>4</xdr:row>
      <xdr:rowOff>104775</xdr:rowOff>
    </xdr:from>
    <xdr:to>
      <xdr:col>9</xdr:col>
      <xdr:colOff>375285</xdr:colOff>
      <xdr:row>21</xdr:row>
      <xdr:rowOff>165735</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866775"/>
          <a:ext cx="5509260" cy="3299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142874</xdr:colOff>
      <xdr:row>2</xdr:row>
      <xdr:rowOff>182880</xdr:rowOff>
    </xdr:from>
    <xdr:to>
      <xdr:col>43</xdr:col>
      <xdr:colOff>66939</xdr:colOff>
      <xdr:row>9</xdr:row>
      <xdr:rowOff>83820</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98074" y="563880"/>
          <a:ext cx="4191265" cy="123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146685</xdr:colOff>
      <xdr:row>10</xdr:row>
      <xdr:rowOff>76200</xdr:rowOff>
    </xdr:from>
    <xdr:to>
      <xdr:col>43</xdr:col>
      <xdr:colOff>105959</xdr:colOff>
      <xdr:row>27</xdr:row>
      <xdr:rowOff>160020</xdr:rowOff>
    </xdr:to>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92285" y="1981200"/>
          <a:ext cx="4226474" cy="3322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26</xdr:row>
      <xdr:rowOff>104775</xdr:rowOff>
    </xdr:from>
    <xdr:to>
      <xdr:col>11</xdr:col>
      <xdr:colOff>466725</xdr:colOff>
      <xdr:row>73</xdr:row>
      <xdr:rowOff>85725</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1450" y="5057775"/>
          <a:ext cx="7000875" cy="89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4762</xdr:colOff>
      <xdr:row>2</xdr:row>
      <xdr:rowOff>61912</xdr:rowOff>
    </xdr:from>
    <xdr:to>
      <xdr:col>14</xdr:col>
      <xdr:colOff>309562</xdr:colOff>
      <xdr:row>13</xdr:row>
      <xdr:rowOff>138112</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20</xdr:row>
      <xdr:rowOff>0</xdr:rowOff>
    </xdr:from>
    <xdr:to>
      <xdr:col>14</xdr:col>
      <xdr:colOff>47625</xdr:colOff>
      <xdr:row>32</xdr:row>
      <xdr:rowOff>43389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35</xdr:col>
      <xdr:colOff>30480</xdr:colOff>
      <xdr:row>13</xdr:row>
      <xdr:rowOff>114300</xdr:rowOff>
    </xdr:from>
    <xdr:to>
      <xdr:col>44</xdr:col>
      <xdr:colOff>596453</xdr:colOff>
      <xdr:row>33</xdr:row>
      <xdr:rowOff>106203</xdr:rowOff>
    </xdr:to>
    <xdr:pic>
      <xdr:nvPicPr>
        <xdr:cNvPr id="6" name="Picture 5">
          <a:extLst>
            <a:ext uri="{FF2B5EF4-FFF2-40B4-BE49-F238E27FC236}">
              <a16:creationId xmlns:a16="http://schemas.microsoft.com/office/drawing/2014/main" id="{6A9C09BE-09D3-4D7B-AFFE-B8A23D35F215}"/>
            </a:ext>
          </a:extLst>
        </xdr:cNvPr>
        <xdr:cNvPicPr>
          <a:picLocks noChangeAspect="1"/>
        </xdr:cNvPicPr>
      </xdr:nvPicPr>
      <xdr:blipFill>
        <a:blip xmlns:r="http://schemas.openxmlformats.org/officeDocument/2006/relationships" r:embed="rId3"/>
        <a:stretch>
          <a:fillRect/>
        </a:stretch>
      </xdr:blipFill>
      <xdr:spPr>
        <a:xfrm>
          <a:off x="20623530" y="2657475"/>
          <a:ext cx="6166673" cy="36590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westcoast.fisheries.noaa.gov/columbia_river/index.html" TargetMode="External"/><Relationship Id="rId117" Type="http://schemas.openxmlformats.org/officeDocument/2006/relationships/hyperlink" Target="https://www.lcfrb.gen.wa.us/librarysalmonrecovery" TargetMode="External"/><Relationship Id="rId21" Type="http://schemas.openxmlformats.org/officeDocument/2006/relationships/hyperlink" Target="https://www.dfw.state.or.us/fish/crp/conservation_recovery_plans.asp" TargetMode="External"/><Relationship Id="rId42" Type="http://schemas.openxmlformats.org/officeDocument/2006/relationships/hyperlink" Target="https://www.westcoast.fisheries.noaa.gov/columbia_river/index.html" TargetMode="External"/><Relationship Id="rId47" Type="http://schemas.openxmlformats.org/officeDocument/2006/relationships/hyperlink" Target="https://www.nwcouncil.org/sites/default/files/TechFoundationVolumeII.pdf" TargetMode="External"/><Relationship Id="rId63" Type="http://schemas.openxmlformats.org/officeDocument/2006/relationships/hyperlink" Target="https://www.westcoast.fisheries.noaa.gov/hatcheries/mitchell_act/ma_programs.html" TargetMode="External"/><Relationship Id="rId68" Type="http://schemas.openxmlformats.org/officeDocument/2006/relationships/hyperlink" Target="https://www.westcoast.fisheries.noaa.gov/hatcheries/mitchell_act/ma_programs.html" TargetMode="External"/><Relationship Id="rId84" Type="http://schemas.openxmlformats.org/officeDocument/2006/relationships/hyperlink" Target="https://www.westcoast.fisheries.noaa.gov/hatcheries/mitchell_act/ma_programs.html" TargetMode="External"/><Relationship Id="rId89" Type="http://schemas.openxmlformats.org/officeDocument/2006/relationships/hyperlink" Target="https://www.westcoast.fisheries.noaa.gov/columbia_river/index.html" TargetMode="External"/><Relationship Id="rId112" Type="http://schemas.openxmlformats.org/officeDocument/2006/relationships/hyperlink" Target="https://www.lcfrb.gen.wa.us/librarysalmonrecovery" TargetMode="External"/><Relationship Id="rId16" Type="http://schemas.openxmlformats.org/officeDocument/2006/relationships/hyperlink" Target="https://www.nwfsc.noaa.gov/publications/scipubs/displayinclude.cfm?incfile=technicalmemorandum2018.inc" TargetMode="External"/><Relationship Id="rId107" Type="http://schemas.openxmlformats.org/officeDocument/2006/relationships/hyperlink" Target="https://www.dfw.state.or.us/fish/crp/conservation_recovery_plans.asp" TargetMode="External"/><Relationship Id="rId11" Type="http://schemas.openxmlformats.org/officeDocument/2006/relationships/hyperlink" Target="https://www.dfw.state.or.us/fish/crp/conservation_recovery_plans.asp" TargetMode="External"/><Relationship Id="rId32" Type="http://schemas.openxmlformats.org/officeDocument/2006/relationships/hyperlink" Target="https://www.westcoast.fisheries.noaa.gov/columbia_river/index.html" TargetMode="External"/><Relationship Id="rId37" Type="http://schemas.openxmlformats.org/officeDocument/2006/relationships/hyperlink" Target="https://www.westcoast.fisheries.noaa.gov/columbia_river/index.html" TargetMode="External"/><Relationship Id="rId53" Type="http://schemas.openxmlformats.org/officeDocument/2006/relationships/hyperlink" Target="https://www.nwcouncil.org/sites/default/files/TechFoundationVolumeII.pdf" TargetMode="External"/><Relationship Id="rId58" Type="http://schemas.openxmlformats.org/officeDocument/2006/relationships/hyperlink" Target="https://www.nwcouncil.org/sites/default/files/TechFoundationVolumeII.pdf" TargetMode="External"/><Relationship Id="rId74" Type="http://schemas.openxmlformats.org/officeDocument/2006/relationships/hyperlink" Target="https://www.westcoast.fisheries.noaa.gov/hatcheries/mitchell_act/ma_programs.html" TargetMode="External"/><Relationship Id="rId79" Type="http://schemas.openxmlformats.org/officeDocument/2006/relationships/hyperlink" Target="https://www.westcoast.fisheries.noaa.gov/hatcheries/mitchell_act/ma_programs.html" TargetMode="External"/><Relationship Id="rId102" Type="http://schemas.openxmlformats.org/officeDocument/2006/relationships/hyperlink" Target="https://wdfw.wa.gov/search.php?q=columbia+river+compact&amp;x=0&amp;y=0" TargetMode="External"/><Relationship Id="rId5" Type="http://schemas.openxmlformats.org/officeDocument/2006/relationships/hyperlink" Target="http://www.odfwrecoverytracker.org/" TargetMode="External"/><Relationship Id="rId61" Type="http://schemas.openxmlformats.org/officeDocument/2006/relationships/hyperlink" Target="https://www.nwcouncil.org/sites/default/files/TechFoundationVolumeII.pdf" TargetMode="External"/><Relationship Id="rId82" Type="http://schemas.openxmlformats.org/officeDocument/2006/relationships/hyperlink" Target="https://www.westcoast.fisheries.noaa.gov/hatcheries/mitchell_act/ma_programs.html" TargetMode="External"/><Relationship Id="rId90" Type="http://schemas.openxmlformats.org/officeDocument/2006/relationships/hyperlink" Target="https://www.dfw.state.or.us/fish/fish_counts/willamette%20falls.asp" TargetMode="External"/><Relationship Id="rId95" Type="http://schemas.openxmlformats.org/officeDocument/2006/relationships/hyperlink" Target="https://www.dfw.state.or.us/fish/crp/conservation_recovery_plans.asp" TargetMode="External"/><Relationship Id="rId19" Type="http://schemas.openxmlformats.org/officeDocument/2006/relationships/hyperlink" Target="https://www.dfw.state.or.us/fish/crp/conservation_recovery_plans.asp" TargetMode="External"/><Relationship Id="rId14" Type="http://schemas.openxmlformats.org/officeDocument/2006/relationships/hyperlink" Target="https://www.dfw.state.or.us/fish/crp/conservation_recovery_plans.asp" TargetMode="External"/><Relationship Id="rId22" Type="http://schemas.openxmlformats.org/officeDocument/2006/relationships/hyperlink" Target="https://www.dfw.state.or.us/fish/crp/conservation_recovery_plans.asp" TargetMode="External"/><Relationship Id="rId27" Type="http://schemas.openxmlformats.org/officeDocument/2006/relationships/hyperlink" Target="https://www.westcoast.fisheries.noaa.gov/columbia_river/index.html" TargetMode="External"/><Relationship Id="rId30" Type="http://schemas.openxmlformats.org/officeDocument/2006/relationships/hyperlink" Target="https://www.westcoast.fisheries.noaa.gov/columbia_river/index.html" TargetMode="External"/><Relationship Id="rId35" Type="http://schemas.openxmlformats.org/officeDocument/2006/relationships/hyperlink" Target="https://www.westcoast.fisheries.noaa.gov/columbia_river/index.html" TargetMode="External"/><Relationship Id="rId43" Type="http://schemas.openxmlformats.org/officeDocument/2006/relationships/hyperlink" Target="https://www.westcoast.fisheries.noaa.gov/columbia_river/index.html" TargetMode="External"/><Relationship Id="rId48" Type="http://schemas.openxmlformats.org/officeDocument/2006/relationships/hyperlink" Target="https://www.nwcouncil.org/sites/default/files/TechFoundationVolumeII.pdf" TargetMode="External"/><Relationship Id="rId56" Type="http://schemas.openxmlformats.org/officeDocument/2006/relationships/hyperlink" Target="https://www.nwcouncil.org/sites/default/files/TechFoundationVolumeII.pdf" TargetMode="External"/><Relationship Id="rId64" Type="http://schemas.openxmlformats.org/officeDocument/2006/relationships/hyperlink" Target="https://www.westcoast.fisheries.noaa.gov/hatcheries/mitchell_act/ma_programs.html" TargetMode="External"/><Relationship Id="rId69" Type="http://schemas.openxmlformats.org/officeDocument/2006/relationships/hyperlink" Target="https://www.westcoast.fisheries.noaa.gov/hatcheries/mitchell_act/ma_programs.html" TargetMode="External"/><Relationship Id="rId77" Type="http://schemas.openxmlformats.org/officeDocument/2006/relationships/hyperlink" Target="https://www.westcoast.fisheries.noaa.gov/hatcheries/mitchell_act/ma_programs.html" TargetMode="External"/><Relationship Id="rId100" Type="http://schemas.openxmlformats.org/officeDocument/2006/relationships/hyperlink" Target="https://www.westcoast.fisheries.noaa.gov/columbia_river/index.html" TargetMode="External"/><Relationship Id="rId105" Type="http://schemas.openxmlformats.org/officeDocument/2006/relationships/hyperlink" Target="https://wdfw.wa.gov/search.php?q=columbia+river+compact&amp;x=0&amp;y=0" TargetMode="External"/><Relationship Id="rId113" Type="http://schemas.openxmlformats.org/officeDocument/2006/relationships/hyperlink" Target="https://www.lcfrb.gen.wa.us/librarysalmonrecovery" TargetMode="External"/><Relationship Id="rId118" Type="http://schemas.openxmlformats.org/officeDocument/2006/relationships/hyperlink" Target="https://www.lcfrb.gen.wa.us/librarysalmonrecovery" TargetMode="External"/><Relationship Id="rId8" Type="http://schemas.openxmlformats.org/officeDocument/2006/relationships/hyperlink" Target="http://www.odfwrecoverytracker.org/" TargetMode="External"/><Relationship Id="rId51" Type="http://schemas.openxmlformats.org/officeDocument/2006/relationships/hyperlink" Target="https://www.nwcouncil.org/sites/default/files/TechFoundationVolumeII.pdf" TargetMode="External"/><Relationship Id="rId72" Type="http://schemas.openxmlformats.org/officeDocument/2006/relationships/hyperlink" Target="https://www.westcoast.fisheries.noaa.gov/hatcheries/mitchell_act/ma_programs.html" TargetMode="External"/><Relationship Id="rId80" Type="http://schemas.openxmlformats.org/officeDocument/2006/relationships/hyperlink" Target="https://www.westcoast.fisheries.noaa.gov/hatcheries/mitchell_act/ma_programs.html" TargetMode="External"/><Relationship Id="rId85" Type="http://schemas.openxmlformats.org/officeDocument/2006/relationships/hyperlink" Target="https://www.westcoast.fisheries.noaa.gov/hatcheries/mitchell_act/ma_programs.html" TargetMode="External"/><Relationship Id="rId93" Type="http://schemas.openxmlformats.org/officeDocument/2006/relationships/hyperlink" Target="https://www.dfw.state.or.us/fish/crp/conservation_recovery_plans.asp" TargetMode="External"/><Relationship Id="rId98" Type="http://schemas.openxmlformats.org/officeDocument/2006/relationships/hyperlink" Target="https://www.dfw.state.or.us/fish/crp/conservation_recovery_plans.asp" TargetMode="External"/><Relationship Id="rId121" Type="http://schemas.openxmlformats.org/officeDocument/2006/relationships/vmlDrawing" Target="../drawings/vmlDrawing7.vml"/><Relationship Id="rId3" Type="http://schemas.openxmlformats.org/officeDocument/2006/relationships/hyperlink" Target="http://www.odfwrecoverytracker.org/" TargetMode="External"/><Relationship Id="rId12" Type="http://schemas.openxmlformats.org/officeDocument/2006/relationships/hyperlink" Target="https://www.dfw.state.or.us/fish/crp/conservation_recovery_plans.asp" TargetMode="External"/><Relationship Id="rId17" Type="http://schemas.openxmlformats.org/officeDocument/2006/relationships/hyperlink" Target="https://www.dfw.state.or.us/fish/crp/conservation_recovery_plans.asp" TargetMode="External"/><Relationship Id="rId25" Type="http://schemas.openxmlformats.org/officeDocument/2006/relationships/hyperlink" Target="https://www.dfw.state.or.us/fish/fish_counts/willamette%20falls.asp" TargetMode="External"/><Relationship Id="rId33" Type="http://schemas.openxmlformats.org/officeDocument/2006/relationships/hyperlink" Target="https://www.westcoast.fisheries.noaa.gov/columbia_river/index.html" TargetMode="External"/><Relationship Id="rId38" Type="http://schemas.openxmlformats.org/officeDocument/2006/relationships/hyperlink" Target="https://www.westcoast.fisheries.noaa.gov/columbia_river/index.html" TargetMode="External"/><Relationship Id="rId46" Type="http://schemas.openxmlformats.org/officeDocument/2006/relationships/hyperlink" Target="https://www.westcoast.fisheries.noaa.gov/columbia_river/index.html" TargetMode="External"/><Relationship Id="rId59" Type="http://schemas.openxmlformats.org/officeDocument/2006/relationships/hyperlink" Target="https://www.nwcouncil.org/sites/default/files/TechFoundationVolumeII.pdf" TargetMode="External"/><Relationship Id="rId67" Type="http://schemas.openxmlformats.org/officeDocument/2006/relationships/hyperlink" Target="https://www.westcoast.fisheries.noaa.gov/hatcheries/mitchell_act/ma_programs.html" TargetMode="External"/><Relationship Id="rId103" Type="http://schemas.openxmlformats.org/officeDocument/2006/relationships/hyperlink" Target="https://wdfw.wa.gov/search.php?q=columbia+river+compact&amp;x=0&amp;y=0" TargetMode="External"/><Relationship Id="rId108" Type="http://schemas.openxmlformats.org/officeDocument/2006/relationships/hyperlink" Target="https://www.dfw.state.or.us/fish/crp/conservation_recovery_plans.asp" TargetMode="External"/><Relationship Id="rId116" Type="http://schemas.openxmlformats.org/officeDocument/2006/relationships/hyperlink" Target="https://www.lcfrb.gen.wa.us/librarysalmonrecovery" TargetMode="External"/><Relationship Id="rId20" Type="http://schemas.openxmlformats.org/officeDocument/2006/relationships/hyperlink" Target="https://www.dfw.state.or.us/fish/crp/conservation_recovery_plans.asp" TargetMode="External"/><Relationship Id="rId41" Type="http://schemas.openxmlformats.org/officeDocument/2006/relationships/hyperlink" Target="https://www.westcoast.fisheries.noaa.gov/columbia_river/index.html" TargetMode="External"/><Relationship Id="rId54" Type="http://schemas.openxmlformats.org/officeDocument/2006/relationships/hyperlink" Target="https://www.nwcouncil.org/sites/default/files/TechFoundationVolumeII.pdf" TargetMode="External"/><Relationship Id="rId62" Type="http://schemas.openxmlformats.org/officeDocument/2006/relationships/hyperlink" Target="https://www.dfw.state.or.us/fish/fish_counts/willamette%20falls.asp" TargetMode="External"/><Relationship Id="rId70" Type="http://schemas.openxmlformats.org/officeDocument/2006/relationships/hyperlink" Target="https://www.westcoast.fisheries.noaa.gov/hatcheries/mitchell_act/ma_programs.html" TargetMode="External"/><Relationship Id="rId75" Type="http://schemas.openxmlformats.org/officeDocument/2006/relationships/hyperlink" Target="https://www.westcoast.fisheries.noaa.gov/hatcheries/mitchell_act/ma_programs.html" TargetMode="External"/><Relationship Id="rId83" Type="http://schemas.openxmlformats.org/officeDocument/2006/relationships/hyperlink" Target="https://www.westcoast.fisheries.noaa.gov/hatcheries/mitchell_act/ma_programs.html" TargetMode="External"/><Relationship Id="rId88" Type="http://schemas.openxmlformats.org/officeDocument/2006/relationships/hyperlink" Target="https://www.nwcouncil.org/sites/default/files/TechFoundationVolumeII.pdf" TargetMode="External"/><Relationship Id="rId91" Type="http://schemas.openxmlformats.org/officeDocument/2006/relationships/hyperlink" Target="https://www.westcoast.fisheries.noaa.gov/columbia_river/index.html" TargetMode="External"/><Relationship Id="rId96" Type="http://schemas.openxmlformats.org/officeDocument/2006/relationships/hyperlink" Target="https://www.dfw.state.or.us/fish/crp/conservation_recovery_plans.asp" TargetMode="External"/><Relationship Id="rId111" Type="http://schemas.openxmlformats.org/officeDocument/2006/relationships/hyperlink" Target="https://www.lcfrb.gen.wa.us/librarysalmonrecovery" TargetMode="External"/><Relationship Id="rId1" Type="http://schemas.openxmlformats.org/officeDocument/2006/relationships/hyperlink" Target="http://www.odfwrecoverytracker.org/" TargetMode="External"/><Relationship Id="rId6" Type="http://schemas.openxmlformats.org/officeDocument/2006/relationships/hyperlink" Target="http://www.odfwrecoverytracker.org/" TargetMode="External"/><Relationship Id="rId15" Type="http://schemas.openxmlformats.org/officeDocument/2006/relationships/hyperlink" Target="https://www.dfw.state.or.us/fish/crp/conservation_recovery_plans.asp" TargetMode="External"/><Relationship Id="rId23" Type="http://schemas.openxmlformats.org/officeDocument/2006/relationships/hyperlink" Target="https://www.dfw.state.or.us/fish/crp/conservation_recovery_plans.asp" TargetMode="External"/><Relationship Id="rId28" Type="http://schemas.openxmlformats.org/officeDocument/2006/relationships/hyperlink" Target="https://www.westcoast.fisheries.noaa.gov/columbia_river/index.html" TargetMode="External"/><Relationship Id="rId36" Type="http://schemas.openxmlformats.org/officeDocument/2006/relationships/hyperlink" Target="https://www.westcoast.fisheries.noaa.gov/columbia_river/index.html" TargetMode="External"/><Relationship Id="rId49" Type="http://schemas.openxmlformats.org/officeDocument/2006/relationships/hyperlink" Target="https://www.nwcouncil.org/sites/default/files/TechFoundationVolumeII.pdf" TargetMode="External"/><Relationship Id="rId57" Type="http://schemas.openxmlformats.org/officeDocument/2006/relationships/hyperlink" Target="https://www.nwcouncil.org/sites/default/files/TechFoundationVolumeII.pdf" TargetMode="External"/><Relationship Id="rId106" Type="http://schemas.openxmlformats.org/officeDocument/2006/relationships/hyperlink" Target="https://wdfw.wa.gov/search.php?q=columbia+river+compact&amp;x=0&amp;y=0" TargetMode="External"/><Relationship Id="rId114" Type="http://schemas.openxmlformats.org/officeDocument/2006/relationships/hyperlink" Target="https://www.lcfrb.gen.wa.us/librarysalmonrecovery" TargetMode="External"/><Relationship Id="rId119" Type="http://schemas.openxmlformats.org/officeDocument/2006/relationships/hyperlink" Target="https://www.lcfrb.gen.wa.us/librarysalmonrecovery" TargetMode="External"/><Relationship Id="rId10" Type="http://schemas.openxmlformats.org/officeDocument/2006/relationships/hyperlink" Target="https://www.dfw.state.or.us/fish/crp/conservation_recovery_plans.asp" TargetMode="External"/><Relationship Id="rId31" Type="http://schemas.openxmlformats.org/officeDocument/2006/relationships/hyperlink" Target="https://www.westcoast.fisheries.noaa.gov/columbia_river/index.html" TargetMode="External"/><Relationship Id="rId44" Type="http://schemas.openxmlformats.org/officeDocument/2006/relationships/hyperlink" Target="https://www.westcoast.fisheries.noaa.gov/columbia_river/index.html" TargetMode="External"/><Relationship Id="rId52" Type="http://schemas.openxmlformats.org/officeDocument/2006/relationships/hyperlink" Target="https://www.nwcouncil.org/sites/default/files/TechFoundationVolumeII.pdf" TargetMode="External"/><Relationship Id="rId60" Type="http://schemas.openxmlformats.org/officeDocument/2006/relationships/hyperlink" Target="https://www.nwcouncil.org/sites/default/files/TechFoundationVolumeII.pdf" TargetMode="External"/><Relationship Id="rId65" Type="http://schemas.openxmlformats.org/officeDocument/2006/relationships/hyperlink" Target="https://www.westcoast.fisheries.noaa.gov/hatcheries/mitchell_act/ma_programs.html" TargetMode="External"/><Relationship Id="rId73" Type="http://schemas.openxmlformats.org/officeDocument/2006/relationships/hyperlink" Target="https://www.westcoast.fisheries.noaa.gov/hatcheries/mitchell_act/ma_programs.html" TargetMode="External"/><Relationship Id="rId78" Type="http://schemas.openxmlformats.org/officeDocument/2006/relationships/hyperlink" Target="https://www.westcoast.fisheries.noaa.gov/hatcheries/mitchell_act/ma_programs.html" TargetMode="External"/><Relationship Id="rId81" Type="http://schemas.openxmlformats.org/officeDocument/2006/relationships/hyperlink" Target="https://www.westcoast.fisheries.noaa.gov/hatcheries/mitchell_act/ma_programs.html" TargetMode="External"/><Relationship Id="rId86" Type="http://schemas.openxmlformats.org/officeDocument/2006/relationships/hyperlink" Target="https://www.westcoast.fisheries.noaa.gov/hatcheries/mitchell_act/ma_programs.html" TargetMode="External"/><Relationship Id="rId94" Type="http://schemas.openxmlformats.org/officeDocument/2006/relationships/hyperlink" Target="https://www.westcoast.fisheries.noaa.gov/columbia_river/index.html" TargetMode="External"/><Relationship Id="rId99" Type="http://schemas.openxmlformats.org/officeDocument/2006/relationships/hyperlink" Target="https://www.dfw.state.or.us/fish/crp/conservation_recovery_plans.asp" TargetMode="External"/><Relationship Id="rId101" Type="http://schemas.openxmlformats.org/officeDocument/2006/relationships/hyperlink" Target="https://www.westcoast.fisheries.noaa.gov/columbia_river/index.html" TargetMode="External"/><Relationship Id="rId122" Type="http://schemas.openxmlformats.org/officeDocument/2006/relationships/comments" Target="../comments7.xml"/><Relationship Id="rId4" Type="http://schemas.openxmlformats.org/officeDocument/2006/relationships/hyperlink" Target="http://www.odfwrecoverytracker.org/" TargetMode="External"/><Relationship Id="rId9" Type="http://schemas.openxmlformats.org/officeDocument/2006/relationships/hyperlink" Target="https://www.dfw.state.or.us/fish/fish_counts/willamette%20falls.asp" TargetMode="External"/><Relationship Id="rId13" Type="http://schemas.openxmlformats.org/officeDocument/2006/relationships/hyperlink" Target="https://www.dfw.state.or.us/fish/crp/conservation_recovery_plans.asp" TargetMode="External"/><Relationship Id="rId18" Type="http://schemas.openxmlformats.org/officeDocument/2006/relationships/hyperlink" Target="https://www.dfw.state.or.us/fish/crp/conservation_recovery_plans.asp" TargetMode="External"/><Relationship Id="rId39" Type="http://schemas.openxmlformats.org/officeDocument/2006/relationships/hyperlink" Target="https://www.westcoast.fisheries.noaa.gov/columbia_river/index.html" TargetMode="External"/><Relationship Id="rId109" Type="http://schemas.openxmlformats.org/officeDocument/2006/relationships/hyperlink" Target="https://www.nwcouncil.org/sites/default/files/TechFoundationVolumeII.pdf" TargetMode="External"/><Relationship Id="rId34" Type="http://schemas.openxmlformats.org/officeDocument/2006/relationships/hyperlink" Target="https://www.westcoast.fisheries.noaa.gov/columbia_river/index.html" TargetMode="External"/><Relationship Id="rId50" Type="http://schemas.openxmlformats.org/officeDocument/2006/relationships/hyperlink" Target="https://www.nwcouncil.org/sites/default/files/TechFoundationVolumeII.pdf" TargetMode="External"/><Relationship Id="rId55" Type="http://schemas.openxmlformats.org/officeDocument/2006/relationships/hyperlink" Target="https://www.nwcouncil.org/sites/default/files/TechFoundationVolumeII.pdf" TargetMode="External"/><Relationship Id="rId76" Type="http://schemas.openxmlformats.org/officeDocument/2006/relationships/hyperlink" Target="https://www.westcoast.fisheries.noaa.gov/hatcheries/mitchell_act/ma_programs.html" TargetMode="External"/><Relationship Id="rId97" Type="http://schemas.openxmlformats.org/officeDocument/2006/relationships/hyperlink" Target="https://www.dfw.state.or.us/fish/crp/conservation_recovery_plans.asp" TargetMode="External"/><Relationship Id="rId104" Type="http://schemas.openxmlformats.org/officeDocument/2006/relationships/hyperlink" Target="https://www.westcoast.fisheries.noaa.gov/columbia_river/index.html" TargetMode="External"/><Relationship Id="rId120" Type="http://schemas.openxmlformats.org/officeDocument/2006/relationships/printerSettings" Target="../printerSettings/printerSettings6.bin"/><Relationship Id="rId7" Type="http://schemas.openxmlformats.org/officeDocument/2006/relationships/hyperlink" Target="http://www.odfwrecoverytracker.org/" TargetMode="External"/><Relationship Id="rId71" Type="http://schemas.openxmlformats.org/officeDocument/2006/relationships/hyperlink" Target="https://www.westcoast.fisheries.noaa.gov/hatcheries/mitchell_act/ma_programs.html" TargetMode="External"/><Relationship Id="rId92" Type="http://schemas.openxmlformats.org/officeDocument/2006/relationships/hyperlink" Target="https://www.dfw.state.or.us/fish/crp/conservation_recovery_plans.asp" TargetMode="External"/><Relationship Id="rId2" Type="http://schemas.openxmlformats.org/officeDocument/2006/relationships/hyperlink" Target="http://www.odfwrecoverytracker.org/" TargetMode="External"/><Relationship Id="rId29" Type="http://schemas.openxmlformats.org/officeDocument/2006/relationships/hyperlink" Target="https://www.westcoast.fisheries.noaa.gov/columbia_river/index.html" TargetMode="External"/><Relationship Id="rId24" Type="http://schemas.openxmlformats.org/officeDocument/2006/relationships/hyperlink" Target="https://www.dfw.state.or.us/fish/crp/conservation_recovery_plans.asp" TargetMode="External"/><Relationship Id="rId40" Type="http://schemas.openxmlformats.org/officeDocument/2006/relationships/hyperlink" Target="https://www.westcoast.fisheries.noaa.gov/columbia_river/index.html" TargetMode="External"/><Relationship Id="rId45" Type="http://schemas.openxmlformats.org/officeDocument/2006/relationships/hyperlink" Target="https://www.westcoast.fisheries.noaa.gov/columbia_river/index.html" TargetMode="External"/><Relationship Id="rId66" Type="http://schemas.openxmlformats.org/officeDocument/2006/relationships/hyperlink" Target="http://www.fpc.org/hatchery/Hatchery_Queries_v2.php" TargetMode="External"/><Relationship Id="rId87" Type="http://schemas.openxmlformats.org/officeDocument/2006/relationships/hyperlink" Target="https://www.westcoast.fisheries.noaa.gov/hatcheries/mitchell_act/ma_programs.html" TargetMode="External"/><Relationship Id="rId110" Type="http://schemas.openxmlformats.org/officeDocument/2006/relationships/hyperlink" Target="https://www.lcfrb.gen.wa.us/librarysalmonrecovery" TargetMode="External"/><Relationship Id="rId115" Type="http://schemas.openxmlformats.org/officeDocument/2006/relationships/hyperlink" Target="https://www.lcfrb.gen.wa.us/librarysalmonrecovery"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73"/>
  <sheetViews>
    <sheetView topLeftCell="A31" zoomScaleNormal="100" workbookViewId="0">
      <selection activeCell="U61" sqref="U61"/>
    </sheetView>
  </sheetViews>
  <sheetFormatPr defaultRowHeight="15" x14ac:dyDescent="0.25"/>
  <cols>
    <col min="1" max="1" width="1.85546875" style="37" customWidth="1"/>
    <col min="2" max="8" width="8.7109375" style="38" customWidth="1"/>
    <col min="9" max="9" width="8.7109375" style="37" customWidth="1"/>
    <col min="10" max="12" width="8.7109375" style="38" customWidth="1"/>
    <col min="13" max="16" width="8.7109375" customWidth="1"/>
    <col min="17" max="17" width="2.28515625" customWidth="1"/>
    <col min="18" max="18" width="2.7109375" style="29" customWidth="1"/>
    <col min="19" max="19" width="8" customWidth="1"/>
    <col min="20" max="20" width="17.7109375" customWidth="1"/>
    <col min="21" max="21" width="11" customWidth="1"/>
    <col min="22" max="22" width="13.140625" customWidth="1"/>
    <col min="23" max="23" width="12.85546875" customWidth="1"/>
    <col min="24" max="24" width="11.7109375" customWidth="1"/>
    <col min="25" max="25" width="12.7109375" customWidth="1"/>
    <col min="26" max="26" width="9.42578125" customWidth="1"/>
    <col min="27" max="27" width="3.5703125" customWidth="1"/>
    <col min="28" max="28" width="7.7109375" customWidth="1"/>
    <col min="29" max="29" width="14.140625" customWidth="1"/>
    <col min="30" max="30" width="13.7109375" customWidth="1"/>
    <col min="31" max="32" width="12.5703125" customWidth="1"/>
    <col min="33" max="33" width="12" style="29" customWidth="1"/>
    <col min="34" max="34" width="1.85546875" style="29" customWidth="1"/>
  </cols>
  <sheetData>
    <row r="1" spans="1:36" ht="21" customHeight="1" x14ac:dyDescent="0.25">
      <c r="A1" s="516" t="s">
        <v>364</v>
      </c>
      <c r="B1" s="517"/>
      <c r="C1" s="517"/>
      <c r="D1" s="518"/>
      <c r="E1" s="519"/>
      <c r="F1" s="518" t="s">
        <v>195</v>
      </c>
      <c r="G1" s="518"/>
      <c r="H1" s="518"/>
      <c r="I1" s="519"/>
      <c r="J1" s="518" t="s">
        <v>269</v>
      </c>
      <c r="K1" s="519"/>
      <c r="L1" s="519"/>
      <c r="M1" s="518"/>
      <c r="N1" s="519"/>
      <c r="O1" s="518"/>
      <c r="P1" s="519"/>
      <c r="Q1" s="519"/>
      <c r="S1" s="29"/>
      <c r="T1" s="29"/>
      <c r="U1" s="29"/>
      <c r="V1" s="29"/>
      <c r="W1" s="29"/>
      <c r="X1" s="29"/>
      <c r="Y1" s="29"/>
      <c r="Z1" s="29"/>
      <c r="AA1" s="29"/>
      <c r="AB1" s="29"/>
      <c r="AC1" s="29"/>
      <c r="AD1" s="29"/>
      <c r="AE1" s="29"/>
      <c r="AF1" s="29"/>
    </row>
    <row r="2" spans="1:36" s="29" customFormat="1" ht="18.75" x14ac:dyDescent="0.25">
      <c r="A2" s="34"/>
      <c r="B2" s="35"/>
      <c r="C2" s="35"/>
      <c r="D2" s="36"/>
      <c r="E2" s="37"/>
      <c r="F2" s="37"/>
      <c r="G2" s="37"/>
      <c r="H2" s="37"/>
      <c r="I2" s="37"/>
      <c r="J2" s="37"/>
      <c r="K2" s="37"/>
      <c r="L2" s="37"/>
    </row>
    <row r="3" spans="1:36" x14ac:dyDescent="0.25">
      <c r="B3" s="37"/>
      <c r="C3" s="37"/>
      <c r="D3" s="37"/>
      <c r="E3" s="37"/>
      <c r="F3" s="37"/>
      <c r="G3" s="37"/>
      <c r="H3" s="37"/>
      <c r="J3" s="37"/>
      <c r="K3" s="37"/>
      <c r="L3" s="29"/>
      <c r="M3" s="29"/>
      <c r="N3" s="29"/>
      <c r="O3" s="29"/>
      <c r="P3" s="29"/>
      <c r="Q3" s="29"/>
      <c r="S3" s="520" t="s">
        <v>196</v>
      </c>
      <c r="T3" s="521"/>
      <c r="U3" s="522" t="s">
        <v>137</v>
      </c>
      <c r="V3" s="523"/>
      <c r="W3" s="524" t="s">
        <v>197</v>
      </c>
      <c r="X3" s="525"/>
      <c r="Y3" s="526"/>
      <c r="Z3" s="37"/>
      <c r="AA3" s="37"/>
      <c r="AB3" s="173" t="s">
        <v>349</v>
      </c>
      <c r="AC3" s="174"/>
      <c r="AD3" s="220" t="s">
        <v>350</v>
      </c>
      <c r="AE3" s="221"/>
      <c r="AF3" s="221" t="s">
        <v>42</v>
      </c>
      <c r="AG3" s="243" t="s">
        <v>538</v>
      </c>
      <c r="AI3" s="29"/>
    </row>
    <row r="4" spans="1:36" x14ac:dyDescent="0.25">
      <c r="B4" s="37"/>
      <c r="C4" s="37"/>
      <c r="D4" s="37"/>
      <c r="E4" s="37"/>
      <c r="F4" s="37"/>
      <c r="G4" s="37"/>
      <c r="H4" s="37"/>
      <c r="J4" s="37"/>
      <c r="K4" s="37"/>
      <c r="L4" s="29"/>
      <c r="M4" s="29"/>
      <c r="N4" s="29"/>
      <c r="O4" s="29"/>
      <c r="P4" s="29"/>
      <c r="Q4" s="29"/>
      <c r="S4" s="531" t="s">
        <v>198</v>
      </c>
      <c r="T4" s="532" t="s">
        <v>199</v>
      </c>
      <c r="U4" s="527" t="s">
        <v>262</v>
      </c>
      <c r="V4" s="528" t="s">
        <v>4</v>
      </c>
      <c r="W4" s="529" t="s">
        <v>180</v>
      </c>
      <c r="X4" s="529" t="s">
        <v>200</v>
      </c>
      <c r="Y4" s="530" t="s">
        <v>175</v>
      </c>
      <c r="Z4" s="37"/>
      <c r="AA4" s="37"/>
      <c r="AB4" s="222" t="s">
        <v>201</v>
      </c>
      <c r="AC4" s="223"/>
      <c r="AD4" s="244" t="s">
        <v>202</v>
      </c>
      <c r="AE4" s="244" t="s">
        <v>351</v>
      </c>
      <c r="AF4" s="244" t="s">
        <v>371</v>
      </c>
      <c r="AG4" s="300" t="s">
        <v>539</v>
      </c>
      <c r="AI4" s="29"/>
    </row>
    <row r="5" spans="1:36" x14ac:dyDescent="0.25">
      <c r="B5" s="37"/>
      <c r="C5" s="37"/>
      <c r="D5" s="37"/>
      <c r="E5" s="37"/>
      <c r="F5" s="37"/>
      <c r="G5" s="37"/>
      <c r="H5" s="37"/>
      <c r="J5" s="37"/>
      <c r="K5" s="37"/>
      <c r="L5" s="29"/>
      <c r="M5" s="29"/>
      <c r="N5" s="29"/>
      <c r="O5" s="29"/>
      <c r="P5" s="29"/>
      <c r="Q5" s="29"/>
      <c r="S5" s="605" t="s">
        <v>14</v>
      </c>
      <c r="T5" s="110" t="s">
        <v>11</v>
      </c>
      <c r="U5" s="344">
        <f>Spnrs!BG14</f>
        <v>398.8249413419685</v>
      </c>
      <c r="V5" s="109">
        <f>Spnrs!H4</f>
        <v>3800</v>
      </c>
      <c r="W5" s="308">
        <f>Spnrs!AA4</f>
        <v>2400</v>
      </c>
      <c r="X5" s="308">
        <f>Spnrs!AB4</f>
        <v>3100</v>
      </c>
      <c r="Y5" s="314">
        <f>Spnrs!AC4</f>
        <v>3800</v>
      </c>
      <c r="Z5" s="37"/>
      <c r="AA5" s="37"/>
      <c r="AB5" s="615" t="s">
        <v>290</v>
      </c>
      <c r="AC5" s="616"/>
      <c r="AD5" s="226"/>
      <c r="AE5" s="226">
        <v>0</v>
      </c>
      <c r="AF5" s="227"/>
      <c r="AG5" s="121">
        <f>AE5</f>
        <v>0</v>
      </c>
      <c r="AI5" s="29"/>
    </row>
    <row r="6" spans="1:36" x14ac:dyDescent="0.25">
      <c r="B6" s="37"/>
      <c r="C6" s="37"/>
      <c r="D6" s="37"/>
      <c r="E6" s="37"/>
      <c r="F6" s="37"/>
      <c r="G6" s="37"/>
      <c r="H6" s="37"/>
      <c r="J6" s="37"/>
      <c r="K6" s="37"/>
      <c r="L6" s="29"/>
      <c r="M6" s="29"/>
      <c r="N6" s="29"/>
      <c r="O6" s="29"/>
      <c r="P6" s="29"/>
      <c r="Q6" s="29"/>
      <c r="S6" s="612"/>
      <c r="T6" s="114" t="s">
        <v>258</v>
      </c>
      <c r="U6" s="345">
        <f>Spnrs!BG22</f>
        <v>438.86694693791668</v>
      </c>
      <c r="V6" s="121">
        <f>Spnrs!H6</f>
        <v>6500</v>
      </c>
      <c r="W6" s="301">
        <f>Spnrs!AA6</f>
        <v>2400</v>
      </c>
      <c r="X6" s="301">
        <f>Spnrs!AB6</f>
        <v>4100</v>
      </c>
      <c r="Y6" s="315">
        <f>Spnrs!AC6</f>
        <v>5800</v>
      </c>
      <c r="Z6" s="37"/>
      <c r="AA6" s="37"/>
      <c r="AB6" s="621" t="s">
        <v>291</v>
      </c>
      <c r="AC6" s="622"/>
      <c r="AD6" s="47"/>
      <c r="AE6" s="47">
        <v>700000</v>
      </c>
      <c r="AF6" s="224"/>
      <c r="AG6" s="121">
        <f>Hatchery!AI10</f>
        <v>700000</v>
      </c>
      <c r="AI6" s="29"/>
    </row>
    <row r="7" spans="1:36" x14ac:dyDescent="0.25">
      <c r="B7" s="37"/>
      <c r="C7" s="37"/>
      <c r="D7" s="37"/>
      <c r="E7" s="37"/>
      <c r="F7" s="37"/>
      <c r="G7" s="37"/>
      <c r="H7" s="37"/>
      <c r="J7" s="37"/>
      <c r="K7" s="37"/>
      <c r="L7" s="29"/>
      <c r="M7" s="29"/>
      <c r="N7" s="29"/>
      <c r="O7" s="29"/>
      <c r="P7" s="29"/>
      <c r="Q7" s="29"/>
      <c r="S7" s="612"/>
      <c r="T7" s="114" t="s">
        <v>263</v>
      </c>
      <c r="U7" s="318">
        <f>Spnrs!BG30</f>
        <v>604.71908928841435</v>
      </c>
      <c r="V7" s="111">
        <f>Spnrs!H8</f>
        <v>2800</v>
      </c>
      <c r="W7" s="262">
        <f>Spnrs!AA8</f>
        <v>1800</v>
      </c>
      <c r="X7" s="262">
        <f>Spnrs!AB8</f>
        <v>2400</v>
      </c>
      <c r="Y7" s="316">
        <f>Spnrs!AC8</f>
        <v>3000</v>
      </c>
      <c r="Z7" s="37"/>
      <c r="AA7" s="37"/>
      <c r="AB7" s="621" t="s">
        <v>12</v>
      </c>
      <c r="AC7" s="622"/>
      <c r="AD7" s="47"/>
      <c r="AE7" s="47">
        <f>Hatchery!AH11</f>
        <v>0</v>
      </c>
      <c r="AF7" s="224"/>
      <c r="AG7" s="121">
        <f>Hatchery!AI11</f>
        <v>150000</v>
      </c>
      <c r="AI7" s="29"/>
    </row>
    <row r="8" spans="1:36" x14ac:dyDescent="0.25">
      <c r="B8" s="37"/>
      <c r="C8" s="37"/>
      <c r="D8" s="37"/>
      <c r="E8" s="37"/>
      <c r="F8" s="37"/>
      <c r="G8" s="37"/>
      <c r="H8" s="37"/>
      <c r="J8" s="37"/>
      <c r="K8" s="37"/>
      <c r="L8" s="29"/>
      <c r="M8" s="29"/>
      <c r="N8" s="29"/>
      <c r="O8" s="29"/>
      <c r="P8" s="29"/>
      <c r="Q8" s="29"/>
      <c r="S8" s="612"/>
      <c r="T8" s="114" t="s">
        <v>264</v>
      </c>
      <c r="U8" s="318">
        <f>ROUND(Spnrs!BL35,0)</f>
        <v>79</v>
      </c>
      <c r="V8" s="111">
        <f>ROUND(Spnrs!H10,-2)</f>
        <v>18600</v>
      </c>
      <c r="W8" s="318">
        <f>Spnrs!AA10</f>
        <v>75</v>
      </c>
      <c r="X8" s="318">
        <v>6000</v>
      </c>
      <c r="Y8" s="319">
        <v>11900</v>
      </c>
      <c r="Z8" s="37"/>
      <c r="AA8" s="37"/>
      <c r="AB8" s="621" t="s">
        <v>292</v>
      </c>
      <c r="AC8" s="622"/>
      <c r="AD8" s="188"/>
      <c r="AE8" s="47">
        <v>5060000</v>
      </c>
      <c r="AF8" s="224"/>
      <c r="AG8" s="121">
        <f>AE8</f>
        <v>5060000</v>
      </c>
      <c r="AI8" s="29"/>
    </row>
    <row r="9" spans="1:36" x14ac:dyDescent="0.25">
      <c r="B9" s="37"/>
      <c r="C9" s="37"/>
      <c r="D9" s="37"/>
      <c r="E9" s="37"/>
      <c r="F9" s="37"/>
      <c r="G9" s="37"/>
      <c r="H9" s="37"/>
      <c r="J9" s="37"/>
      <c r="K9" s="37"/>
      <c r="L9" s="29"/>
      <c r="M9" s="29"/>
      <c r="N9" s="29"/>
      <c r="O9" s="29"/>
      <c r="P9" s="29"/>
      <c r="Q9" s="29"/>
      <c r="S9" s="612"/>
      <c r="T9" s="114" t="s">
        <v>265</v>
      </c>
      <c r="U9" s="318">
        <f>ROUND(Spnrs!BM35,0)</f>
        <v>349</v>
      </c>
      <c r="V9" s="111">
        <f>ROUND(Spnrs!H12,-2)</f>
        <v>10800</v>
      </c>
      <c r="W9" s="318">
        <f>Spnrs!AA12</f>
        <v>350</v>
      </c>
      <c r="X9" s="318">
        <v>3300</v>
      </c>
      <c r="Y9" s="319">
        <v>6300</v>
      </c>
      <c r="Z9" s="37"/>
      <c r="AA9" s="37"/>
      <c r="AB9" s="621" t="s">
        <v>643</v>
      </c>
      <c r="AC9" s="622"/>
      <c r="AD9" s="188"/>
      <c r="AE9" s="47">
        <f>ROUND(Hatchery!W84,-2)</f>
        <v>8600</v>
      </c>
      <c r="AF9" s="224"/>
      <c r="AG9" s="121">
        <f>Hatchery!AI13</f>
        <v>9000</v>
      </c>
      <c r="AI9" s="29"/>
      <c r="AJ9" s="148"/>
    </row>
    <row r="10" spans="1:36" x14ac:dyDescent="0.25">
      <c r="B10" s="37"/>
      <c r="C10" s="37"/>
      <c r="D10" s="37"/>
      <c r="E10" s="37"/>
      <c r="F10" s="37"/>
      <c r="G10" s="37"/>
      <c r="H10" s="37"/>
      <c r="J10" s="37"/>
      <c r="K10" s="37"/>
      <c r="L10" s="29"/>
      <c r="M10" s="29"/>
      <c r="N10" s="29"/>
      <c r="O10" s="29"/>
      <c r="P10" s="29"/>
      <c r="Q10" s="29"/>
      <c r="S10" s="612"/>
      <c r="T10" s="114" t="s">
        <v>62</v>
      </c>
      <c r="U10" s="318">
        <f>ROUND(Spnrs!BN37,0)</f>
        <v>867</v>
      </c>
      <c r="V10" s="111">
        <f>ROUND(Spnrs!H15,-2)</f>
        <v>16800</v>
      </c>
      <c r="W10" s="316">
        <f>Spnrs!AA15</f>
        <v>3200</v>
      </c>
      <c r="X10" s="262">
        <v>6400</v>
      </c>
      <c r="Y10" s="316">
        <v>9600</v>
      </c>
      <c r="Z10" s="37"/>
      <c r="AA10" s="37"/>
      <c r="AB10" s="621" t="s">
        <v>293</v>
      </c>
      <c r="AC10" s="622"/>
      <c r="AD10" s="47"/>
      <c r="AE10" s="47">
        <f>ROUND(Hatchery!AH14,-4)</f>
        <v>540000</v>
      </c>
      <c r="AF10" s="224"/>
      <c r="AG10" s="121">
        <f>ROUND(Hatchery!AI14,-5)</f>
        <v>700000</v>
      </c>
      <c r="AI10" s="29"/>
      <c r="AJ10" s="148"/>
    </row>
    <row r="11" spans="1:36" x14ac:dyDescent="0.25">
      <c r="B11" s="37"/>
      <c r="C11" s="37"/>
      <c r="D11" s="37"/>
      <c r="E11" s="37"/>
      <c r="F11" s="37"/>
      <c r="G11" s="37"/>
      <c r="H11" s="37"/>
      <c r="J11" s="37"/>
      <c r="K11" s="37"/>
      <c r="L11" s="29"/>
      <c r="M11" s="29"/>
      <c r="N11" s="29"/>
      <c r="O11" s="29"/>
      <c r="P11" s="29"/>
      <c r="Q11" s="29"/>
      <c r="S11" s="613"/>
      <c r="T11" s="113" t="s">
        <v>245</v>
      </c>
      <c r="U11" s="501">
        <f>ROUND(Spnrs!BO37,0)</f>
        <v>629</v>
      </c>
      <c r="V11" s="112">
        <f>ROUND(Spnrs!H17,-2)</f>
        <v>22200</v>
      </c>
      <c r="W11" s="313">
        <f>Spnrs!AA17</f>
        <v>3200</v>
      </c>
      <c r="X11" s="313">
        <v>3700</v>
      </c>
      <c r="Y11" s="317">
        <v>4200</v>
      </c>
      <c r="Z11" s="37"/>
      <c r="AA11" s="37"/>
      <c r="AB11" s="621" t="s">
        <v>294</v>
      </c>
      <c r="AC11" s="622"/>
      <c r="AD11" s="47"/>
      <c r="AE11" s="47">
        <v>1000000</v>
      </c>
      <c r="AF11" s="224"/>
      <c r="AG11" s="121">
        <f>ROUND(Hatchery!AI15,-5)</f>
        <v>1000000</v>
      </c>
      <c r="AI11" s="29"/>
      <c r="AJ11" s="148"/>
    </row>
    <row r="12" spans="1:36" x14ac:dyDescent="0.25">
      <c r="B12" s="37"/>
      <c r="C12" s="37"/>
      <c r="D12" s="37"/>
      <c r="E12" s="37"/>
      <c r="F12" s="37"/>
      <c r="G12" s="37"/>
      <c r="H12" s="37"/>
      <c r="J12" s="37"/>
      <c r="K12" s="37"/>
      <c r="L12" s="29"/>
      <c r="M12" s="29"/>
      <c r="N12" s="29"/>
      <c r="O12" s="29"/>
      <c r="P12" s="29"/>
      <c r="Q12" s="29"/>
      <c r="S12" s="605" t="s">
        <v>15</v>
      </c>
      <c r="T12" s="110" t="s">
        <v>63</v>
      </c>
      <c r="U12" s="318">
        <f>ROUND(Spnrs!BG38,0)</f>
        <v>4423</v>
      </c>
      <c r="V12" s="111">
        <f>Spnrs!H21</f>
        <v>18000</v>
      </c>
      <c r="W12" s="262">
        <f>Spnrs!AA21</f>
        <v>3700</v>
      </c>
      <c r="X12" s="262">
        <f>Spnrs!AB21</f>
        <v>9700</v>
      </c>
      <c r="Y12" s="314">
        <f>Spnrs!AC21</f>
        <v>15700</v>
      </c>
      <c r="Z12" s="37"/>
      <c r="AA12" s="37"/>
      <c r="AB12" s="621" t="s">
        <v>295</v>
      </c>
      <c r="AC12" s="622"/>
      <c r="AD12" s="47"/>
      <c r="AE12" s="47">
        <v>1300000</v>
      </c>
      <c r="AF12" s="224"/>
      <c r="AG12" s="121">
        <f>Hatchery!AI16</f>
        <v>1200000</v>
      </c>
      <c r="AI12" s="29"/>
      <c r="AJ12" s="148"/>
    </row>
    <row r="13" spans="1:36" x14ac:dyDescent="0.25">
      <c r="B13" s="37"/>
      <c r="C13" s="37"/>
      <c r="D13" s="37"/>
      <c r="E13" s="37"/>
      <c r="F13" s="37"/>
      <c r="G13" s="37"/>
      <c r="H13" s="37"/>
      <c r="J13" s="37"/>
      <c r="K13" s="37"/>
      <c r="L13" s="37"/>
      <c r="M13" s="29"/>
      <c r="N13" s="29"/>
      <c r="O13" s="29"/>
      <c r="P13" s="29"/>
      <c r="Q13" s="29"/>
      <c r="S13" s="606"/>
      <c r="T13" s="114" t="s">
        <v>64</v>
      </c>
      <c r="U13" s="318">
        <f>Spnrs!BG78</f>
        <v>2046.2076282416047</v>
      </c>
      <c r="V13" s="111">
        <f>Spnrs!H24</f>
        <v>5000</v>
      </c>
      <c r="W13" s="262">
        <f>Spnrs!AA24</f>
        <v>1200</v>
      </c>
      <c r="X13" s="262">
        <f>Spnrs!AB24</f>
        <v>3700</v>
      </c>
      <c r="Y13" s="316">
        <f>Spnrs!AC24</f>
        <v>6200</v>
      </c>
      <c r="Z13" s="37"/>
      <c r="AA13" s="37"/>
      <c r="AB13" s="621" t="s">
        <v>66</v>
      </c>
      <c r="AC13" s="622"/>
      <c r="AD13" s="47"/>
      <c r="AE13" s="47">
        <v>120000</v>
      </c>
      <c r="AF13" s="224"/>
      <c r="AG13" s="121">
        <f>AE13</f>
        <v>120000</v>
      </c>
      <c r="AI13" s="29"/>
    </row>
    <row r="14" spans="1:36" x14ac:dyDescent="0.25">
      <c r="B14" s="37"/>
      <c r="C14" s="37"/>
      <c r="D14" s="37"/>
      <c r="E14" s="37"/>
      <c r="F14" s="37"/>
      <c r="G14" s="37"/>
      <c r="H14" s="37"/>
      <c r="J14" s="37"/>
      <c r="K14" s="37"/>
      <c r="L14" s="37"/>
      <c r="M14" s="29"/>
      <c r="N14" s="29"/>
      <c r="O14" s="29"/>
      <c r="P14" s="29"/>
      <c r="Q14" s="29"/>
      <c r="S14" s="606"/>
      <c r="T14" s="114" t="s">
        <v>65</v>
      </c>
      <c r="U14" s="318">
        <f>Spnrs!BG62</f>
        <v>1791.9663108764062</v>
      </c>
      <c r="V14" s="611">
        <f>Spnrs!H26</f>
        <v>27000</v>
      </c>
      <c r="W14" s="262">
        <f>Spnrs!AA26</f>
        <v>1900</v>
      </c>
      <c r="X14" s="262">
        <f>Spnrs!AB26</f>
        <v>3000</v>
      </c>
      <c r="Y14" s="316">
        <f>Spnrs!AC26</f>
        <v>4100</v>
      </c>
      <c r="Z14" s="37"/>
      <c r="AA14" s="37"/>
      <c r="AB14" s="621" t="s">
        <v>16</v>
      </c>
      <c r="AC14" s="622"/>
      <c r="AD14" s="47"/>
      <c r="AE14" s="47">
        <v>350000</v>
      </c>
      <c r="AF14" s="224"/>
      <c r="AG14" s="121">
        <f>AE14</f>
        <v>350000</v>
      </c>
      <c r="AI14" s="29"/>
    </row>
    <row r="15" spans="1:36" x14ac:dyDescent="0.25">
      <c r="B15" s="37"/>
      <c r="C15" s="37"/>
      <c r="D15" s="37"/>
      <c r="E15" s="37"/>
      <c r="F15" s="37"/>
      <c r="G15" s="37"/>
      <c r="H15" s="37"/>
      <c r="J15" s="37"/>
      <c r="K15" s="37"/>
      <c r="L15" s="37"/>
      <c r="M15" s="29"/>
      <c r="N15" s="29"/>
      <c r="O15" s="29"/>
      <c r="P15" s="29"/>
      <c r="Q15" s="29"/>
      <c r="S15" s="606"/>
      <c r="T15" s="114" t="s">
        <v>66</v>
      </c>
      <c r="U15" s="318">
        <f>Spnrs!BG70</f>
        <v>1482.6641377148919</v>
      </c>
      <c r="V15" s="611"/>
      <c r="W15" s="262">
        <f>Spnrs!AA28</f>
        <v>1900</v>
      </c>
      <c r="X15" s="262">
        <f>Spnrs!AB28</f>
        <v>3000</v>
      </c>
      <c r="Y15" s="316">
        <f>Spnrs!AC28</f>
        <v>4100</v>
      </c>
      <c r="Z15" s="37"/>
      <c r="AA15" s="37"/>
      <c r="AB15" s="621" t="s">
        <v>297</v>
      </c>
      <c r="AC15" s="622"/>
      <c r="AD15" s="47"/>
      <c r="AE15" s="47">
        <f>ROUND(Hatchery!AE19,-4)</f>
        <v>1210000</v>
      </c>
      <c r="AF15" s="224"/>
      <c r="AG15" s="121">
        <f>Hatchery!AI19</f>
        <v>1100000</v>
      </c>
      <c r="AI15" s="29"/>
    </row>
    <row r="16" spans="1:36" x14ac:dyDescent="0.25">
      <c r="B16" s="37"/>
      <c r="C16" s="37"/>
      <c r="D16" s="37"/>
      <c r="E16" s="37"/>
      <c r="F16" s="37"/>
      <c r="G16" s="37"/>
      <c r="H16" s="37"/>
      <c r="J16" s="37"/>
      <c r="K16" s="37"/>
      <c r="L16" s="37"/>
      <c r="M16" s="29"/>
      <c r="N16" s="29"/>
      <c r="O16" s="29"/>
      <c r="P16" s="29"/>
      <c r="Q16" s="29"/>
      <c r="S16" s="606"/>
      <c r="T16" s="114" t="s">
        <v>246</v>
      </c>
      <c r="U16" s="608">
        <f>Spnrs!BG46</f>
        <v>867.44498995817685</v>
      </c>
      <c r="V16" s="111">
        <f>Spnrs!H31</f>
        <v>18000</v>
      </c>
      <c r="W16" s="262">
        <f>Spnrs!AA31</f>
        <v>2000</v>
      </c>
      <c r="X16" s="262">
        <f>Spnrs!AB31</f>
        <v>12800</v>
      </c>
      <c r="Y16" s="316">
        <f>Spnrs!AC31</f>
        <v>23600</v>
      </c>
      <c r="Z16" s="37"/>
      <c r="AA16" s="37"/>
      <c r="AB16" s="621" t="s">
        <v>296</v>
      </c>
      <c r="AC16" s="622"/>
      <c r="AD16" s="47"/>
      <c r="AE16" s="47">
        <f>ROUND(Hatchery!AE20,-4)</f>
        <v>950000</v>
      </c>
      <c r="AF16" s="224"/>
      <c r="AG16" s="121">
        <f>Hatchery!AI20</f>
        <v>900000</v>
      </c>
      <c r="AI16" s="29"/>
    </row>
    <row r="17" spans="2:36" x14ac:dyDescent="0.25">
      <c r="B17" s="37"/>
      <c r="C17" s="37"/>
      <c r="D17" s="37"/>
      <c r="E17" s="37"/>
      <c r="F17" s="37"/>
      <c r="G17" s="37"/>
      <c r="H17" s="37"/>
      <c r="J17" s="37"/>
      <c r="K17" s="37"/>
      <c r="L17" s="37"/>
      <c r="M17" s="29"/>
      <c r="N17" s="29"/>
      <c r="O17" s="29"/>
      <c r="P17" s="29"/>
      <c r="Q17" s="29"/>
      <c r="S17" s="612"/>
      <c r="T17" s="114" t="s">
        <v>68</v>
      </c>
      <c r="U17" s="608"/>
      <c r="V17" s="121">
        <v>8000</v>
      </c>
      <c r="W17" s="301">
        <f>Spnrs!AA33</f>
        <v>2000</v>
      </c>
      <c r="X17" s="301">
        <f>Spnrs!AB33</f>
        <v>3700</v>
      </c>
      <c r="Y17" s="315">
        <f>Spnrs!AC33</f>
        <v>5400</v>
      </c>
      <c r="Z17" s="37"/>
      <c r="AA17" s="37"/>
      <c r="AB17" s="621" t="s">
        <v>53</v>
      </c>
      <c r="AC17" s="622"/>
      <c r="AD17" s="47"/>
      <c r="AE17" s="47">
        <f>ROUND(Hatchery!AH21,-4)</f>
        <v>150000</v>
      </c>
      <c r="AF17" s="224"/>
      <c r="AG17" s="121">
        <f>ROUND(Hatchery!AI21,-5)</f>
        <v>100000</v>
      </c>
      <c r="AI17" s="29"/>
    </row>
    <row r="18" spans="2:36" x14ac:dyDescent="0.25">
      <c r="B18" s="37"/>
      <c r="C18" s="37"/>
      <c r="D18" s="37"/>
      <c r="E18" s="37"/>
      <c r="F18" s="37"/>
      <c r="G18" s="37"/>
      <c r="H18" s="37"/>
      <c r="J18" s="37"/>
      <c r="K18" s="37"/>
      <c r="L18" s="37"/>
      <c r="M18" s="29"/>
      <c r="N18" s="29"/>
      <c r="O18" s="29"/>
      <c r="P18" s="29"/>
      <c r="Q18" s="29"/>
      <c r="S18" s="612"/>
      <c r="T18" s="114" t="s">
        <v>69</v>
      </c>
      <c r="U18" s="318">
        <f>Spnrs!BG54</f>
        <v>2227.9358733099953</v>
      </c>
      <c r="V18" s="111">
        <f>Spnrs!H35</f>
        <v>5600</v>
      </c>
      <c r="W18" s="318">
        <f>Spnrs!AA35</f>
        <v>2200</v>
      </c>
      <c r="X18" s="318">
        <f>Spnrs!AB35</f>
        <v>2700</v>
      </c>
      <c r="Y18" s="319">
        <f>Spnrs!AC35</f>
        <v>3200</v>
      </c>
      <c r="Z18" s="37"/>
      <c r="AA18" s="37"/>
      <c r="AB18" s="621" t="s">
        <v>500</v>
      </c>
      <c r="AC18" s="622"/>
      <c r="AD18" s="47"/>
      <c r="AE18" s="47">
        <f>ROUND(Hatchery!AE22,-4)</f>
        <v>320000</v>
      </c>
      <c r="AF18" s="224"/>
      <c r="AG18" s="121">
        <f>Hatchery!AI22</f>
        <v>350000</v>
      </c>
      <c r="AI18" s="29"/>
    </row>
    <row r="19" spans="2:36" x14ac:dyDescent="0.25">
      <c r="B19" s="37"/>
      <c r="C19" s="37"/>
      <c r="F19" s="37"/>
      <c r="G19" s="37"/>
      <c r="H19" s="37"/>
      <c r="J19" s="37"/>
      <c r="K19" s="37"/>
      <c r="L19" s="37"/>
      <c r="M19" s="29"/>
      <c r="N19" s="29"/>
      <c r="O19" s="29"/>
      <c r="P19" s="29"/>
      <c r="Q19" s="29"/>
      <c r="S19" s="612"/>
      <c r="T19" s="114" t="s">
        <v>16</v>
      </c>
      <c r="U19" s="318">
        <f>Spnrs!BG86</f>
        <v>18.495031581795629</v>
      </c>
      <c r="V19" s="111">
        <f>Spnrs!H37</f>
        <v>800</v>
      </c>
      <c r="W19" s="262">
        <f>Spnrs!AA37</f>
        <v>500</v>
      </c>
      <c r="X19" s="262">
        <f>Spnrs!AB37</f>
        <v>750</v>
      </c>
      <c r="Y19" s="316">
        <f>Spnrs!AC37</f>
        <v>1000</v>
      </c>
      <c r="Z19" s="37"/>
      <c r="AA19" s="37"/>
      <c r="AB19" s="621" t="s">
        <v>72</v>
      </c>
      <c r="AC19" s="622"/>
      <c r="AD19" s="47"/>
      <c r="AE19" s="47">
        <f>ROUND(Hatchery!AE23,-4)</f>
        <v>200000</v>
      </c>
      <c r="AF19" s="224"/>
      <c r="AG19" s="121">
        <f>Hatchery!AI23</f>
        <v>300000</v>
      </c>
      <c r="AI19" s="29"/>
    </row>
    <row r="20" spans="2:36" x14ac:dyDescent="0.25">
      <c r="B20" s="37"/>
      <c r="C20" s="37"/>
      <c r="D20" s="29" t="s">
        <v>3</v>
      </c>
      <c r="E20" s="261">
        <f>U29</f>
        <v>24442.43565015975</v>
      </c>
      <c r="F20" s="37"/>
      <c r="G20" s="37"/>
      <c r="H20" s="37"/>
      <c r="J20" s="37"/>
      <c r="K20" s="37"/>
      <c r="L20" s="37"/>
      <c r="M20" s="29"/>
      <c r="N20" s="29"/>
      <c r="O20" s="29"/>
      <c r="P20" s="29"/>
      <c r="Q20" s="29"/>
      <c r="S20" s="612"/>
      <c r="T20" s="114" t="s">
        <v>70</v>
      </c>
      <c r="U20" s="318">
        <f>Spnrs!BK56</f>
        <v>916.56382017308829</v>
      </c>
      <c r="V20" s="111">
        <f>Spnrs!H40</f>
        <v>40000</v>
      </c>
      <c r="W20" s="262">
        <f>Spnrs!AA40</f>
        <v>500</v>
      </c>
      <c r="X20" s="262">
        <f>Spnrs!AB40</f>
        <v>10750</v>
      </c>
      <c r="Y20" s="319">
        <f>Spnrs!AC40</f>
        <v>21000</v>
      </c>
      <c r="Z20" s="37"/>
      <c r="AA20" s="37"/>
      <c r="AB20" s="623" t="s">
        <v>298</v>
      </c>
      <c r="AC20" s="624"/>
      <c r="AD20" s="47"/>
      <c r="AE20" s="47">
        <v>200000</v>
      </c>
      <c r="AF20" s="224"/>
      <c r="AG20" s="121">
        <f>AE20</f>
        <v>200000</v>
      </c>
      <c r="AI20" s="29"/>
    </row>
    <row r="21" spans="2:36" x14ac:dyDescent="0.25">
      <c r="B21" s="37"/>
      <c r="C21" s="37"/>
      <c r="D21" s="29" t="s">
        <v>384</v>
      </c>
      <c r="E21" s="261">
        <f>W29</f>
        <v>60925</v>
      </c>
      <c r="F21" s="37"/>
      <c r="G21" s="37"/>
      <c r="H21" s="37"/>
      <c r="J21" s="37"/>
      <c r="K21" s="37"/>
      <c r="L21" s="37"/>
      <c r="M21" s="29"/>
      <c r="N21" s="29"/>
      <c r="O21" s="29"/>
      <c r="P21" s="29"/>
      <c r="Q21" s="29"/>
      <c r="S21" s="612"/>
      <c r="T21" s="114" t="s">
        <v>71</v>
      </c>
      <c r="U21" s="318">
        <f>Spnrs!BG102</f>
        <v>911.69763914955763</v>
      </c>
      <c r="V21" s="111">
        <f>Spnrs!H42</f>
        <v>3000</v>
      </c>
      <c r="W21" s="262">
        <f>Spnrs!AA42</f>
        <v>2000</v>
      </c>
      <c r="X21" s="262">
        <f>Spnrs!AB42</f>
        <v>2650</v>
      </c>
      <c r="Y21" s="316">
        <f>Spnrs!AC42</f>
        <v>3300</v>
      </c>
      <c r="Z21" s="37"/>
      <c r="AA21" s="37"/>
      <c r="AB21" s="326" t="s">
        <v>627</v>
      </c>
      <c r="AC21" s="327"/>
      <c r="AD21" s="328"/>
      <c r="AE21" s="328">
        <f>SUM(AE5:AE20)-AE9</f>
        <v>12100000</v>
      </c>
      <c r="AF21" s="329"/>
      <c r="AG21" s="330">
        <f>SUM(AG5:AG20)-AG9</f>
        <v>12230000</v>
      </c>
      <c r="AI21" s="29"/>
    </row>
    <row r="22" spans="2:36" x14ac:dyDescent="0.25">
      <c r="B22" s="37"/>
      <c r="C22" s="37"/>
      <c r="D22" s="29" t="s">
        <v>385</v>
      </c>
      <c r="E22" s="261">
        <f>X29</f>
        <v>122550</v>
      </c>
      <c r="F22" s="37"/>
      <c r="G22" s="37"/>
      <c r="H22" s="37"/>
      <c r="J22" s="37"/>
      <c r="K22" s="37"/>
      <c r="L22" s="37"/>
      <c r="M22" s="29"/>
      <c r="N22" s="29"/>
      <c r="O22" s="29"/>
      <c r="P22" s="29"/>
      <c r="Q22" s="29"/>
      <c r="S22" s="612"/>
      <c r="T22" s="114" t="s">
        <v>17</v>
      </c>
      <c r="U22" s="318">
        <f>Spnrs!BG110</f>
        <v>1244.4003768613484</v>
      </c>
      <c r="V22" s="502">
        <f>Spnrs!H44</f>
        <v>5300</v>
      </c>
      <c r="W22" s="318">
        <f>ROUND(Spnrs!AA44,-2)</f>
        <v>1200</v>
      </c>
      <c r="X22" s="318">
        <f>ROUND(Spnrs!AB44,-2)</f>
        <v>2900</v>
      </c>
      <c r="Y22" s="319">
        <f>ROUND(Spnrs!M44,-2)</f>
        <v>4600</v>
      </c>
      <c r="Z22" s="37"/>
      <c r="AA22" s="37"/>
      <c r="AB22" s="326" t="s">
        <v>628</v>
      </c>
      <c r="AC22" s="327"/>
      <c r="AD22" s="328"/>
      <c r="AE22" s="328">
        <f>AE9</f>
        <v>8600</v>
      </c>
      <c r="AF22" s="329"/>
      <c r="AG22" s="330">
        <f>AG9</f>
        <v>9000</v>
      </c>
      <c r="AI22" s="29"/>
    </row>
    <row r="23" spans="2:36" x14ac:dyDescent="0.25">
      <c r="B23" s="37"/>
      <c r="C23" s="37"/>
      <c r="D23" s="29" t="s">
        <v>383</v>
      </c>
      <c r="E23" s="261">
        <f>Y29</f>
        <v>184400</v>
      </c>
      <c r="F23" s="37"/>
      <c r="G23" s="37"/>
      <c r="H23" s="37"/>
      <c r="J23" s="37"/>
      <c r="K23" s="37"/>
      <c r="L23" s="37"/>
      <c r="M23" s="29"/>
      <c r="N23" s="29"/>
      <c r="O23" s="29"/>
      <c r="P23" s="29"/>
      <c r="Q23" s="29"/>
      <c r="S23" s="612"/>
      <c r="T23" s="114" t="s">
        <v>53</v>
      </c>
      <c r="U23" s="318">
        <f>Spnrs!BG118</f>
        <v>330.64886472458727</v>
      </c>
      <c r="V23" s="111">
        <f>Spnrs!H47</f>
        <v>3000</v>
      </c>
      <c r="W23" s="262">
        <f>Spnrs!AA47</f>
        <v>1500</v>
      </c>
      <c r="X23" s="262">
        <f>Spnrs!AB47</f>
        <v>2450</v>
      </c>
      <c r="Y23" s="316">
        <f>Spnrs!AC47</f>
        <v>3400</v>
      </c>
      <c r="Z23" s="37"/>
      <c r="AA23" s="37"/>
      <c r="AB23" s="29"/>
      <c r="AC23" s="29"/>
      <c r="AD23" s="29"/>
      <c r="AE23" s="29"/>
      <c r="AF23" s="29"/>
      <c r="AI23" s="29"/>
    </row>
    <row r="24" spans="2:36" x14ac:dyDescent="0.25">
      <c r="B24" s="37"/>
      <c r="C24" s="37"/>
      <c r="D24" s="29" t="s">
        <v>4</v>
      </c>
      <c r="E24" s="261">
        <f>V29</f>
        <v>301900</v>
      </c>
      <c r="F24" s="37"/>
      <c r="G24" s="37"/>
      <c r="H24" s="37"/>
      <c r="J24" s="37"/>
      <c r="K24" s="37"/>
      <c r="L24" s="37"/>
      <c r="M24" s="29"/>
      <c r="N24" s="29"/>
      <c r="O24" s="29"/>
      <c r="P24" s="29"/>
      <c r="Q24" s="29"/>
      <c r="S24" s="612"/>
      <c r="T24" s="114" t="s">
        <v>72</v>
      </c>
      <c r="U24" s="318">
        <f>ROUND(Spnrs!BQ37,0)</f>
        <v>1393</v>
      </c>
      <c r="V24" s="111">
        <f>ROUND(Spnrs!H49,-2)</f>
        <v>19600</v>
      </c>
      <c r="W24" s="262">
        <f>Spnrs!AA49</f>
        <v>5700</v>
      </c>
      <c r="X24" s="262">
        <v>6100</v>
      </c>
      <c r="Y24" s="316">
        <v>6500</v>
      </c>
      <c r="Z24" s="37"/>
      <c r="AA24" s="37"/>
      <c r="AB24" s="617" t="s">
        <v>358</v>
      </c>
      <c r="AC24" s="618"/>
      <c r="AD24" s="505" t="s">
        <v>137</v>
      </c>
      <c r="AE24" s="506" t="s">
        <v>357</v>
      </c>
      <c r="AF24" s="507"/>
      <c r="AG24" s="508"/>
      <c r="AI24" s="29"/>
    </row>
    <row r="25" spans="2:36" x14ac:dyDescent="0.25">
      <c r="B25" s="37"/>
      <c r="C25" s="37"/>
      <c r="D25" s="37"/>
      <c r="E25" s="37"/>
      <c r="F25" s="37"/>
      <c r="G25" s="37"/>
      <c r="H25" s="37"/>
      <c r="J25" s="37"/>
      <c r="K25" s="37"/>
      <c r="L25" s="37"/>
      <c r="M25" s="29"/>
      <c r="N25" s="29"/>
      <c r="O25" s="29"/>
      <c r="P25" s="29"/>
      <c r="Q25" s="29"/>
      <c r="S25" s="613"/>
      <c r="T25" s="113" t="s">
        <v>73</v>
      </c>
      <c r="U25" s="501">
        <f>ROUND(Spnrs!BP37,0)</f>
        <v>3023</v>
      </c>
      <c r="V25" s="112">
        <f>ROUND(Spnrs!H51,-2)</f>
        <v>52600</v>
      </c>
      <c r="W25" s="313">
        <f>Spnrs!AA51</f>
        <v>11200</v>
      </c>
      <c r="X25" s="317">
        <v>14450</v>
      </c>
      <c r="Y25" s="317">
        <v>17700</v>
      </c>
      <c r="Z25" s="29"/>
      <c r="AA25" s="37"/>
      <c r="AB25" s="619"/>
      <c r="AC25" s="620"/>
      <c r="AD25" s="119" t="s">
        <v>373</v>
      </c>
      <c r="AE25" s="509" t="s">
        <v>180</v>
      </c>
      <c r="AF25" s="509" t="s">
        <v>200</v>
      </c>
      <c r="AG25" s="120" t="s">
        <v>175</v>
      </c>
      <c r="AI25" s="29"/>
    </row>
    <row r="26" spans="2:36" x14ac:dyDescent="0.25">
      <c r="B26" s="37"/>
      <c r="C26" s="37"/>
      <c r="D26" s="37"/>
      <c r="E26" s="37"/>
      <c r="F26" s="37"/>
      <c r="G26" s="37"/>
      <c r="H26" s="37"/>
      <c r="J26" s="37"/>
      <c r="K26" s="37"/>
      <c r="L26" s="37"/>
      <c r="M26" s="29"/>
      <c r="N26" s="29"/>
      <c r="O26" s="29"/>
      <c r="P26" s="29"/>
      <c r="Q26" s="29"/>
      <c r="S26" s="610" t="s">
        <v>18</v>
      </c>
      <c r="T26" s="110" t="s">
        <v>54</v>
      </c>
      <c r="U26" s="344">
        <f>ROUND(Spnrs!BN43,0)</f>
        <v>259</v>
      </c>
      <c r="V26" s="503">
        <f>ROUND(Spnrs!CM66,-2)</f>
        <v>4700</v>
      </c>
      <c r="W26" s="347">
        <f>ROUND(Spnrs!BQ43,-2)</f>
        <v>2900</v>
      </c>
      <c r="X26" s="347">
        <f>ROUND(Spnrs!BU43,-2)</f>
        <v>5800</v>
      </c>
      <c r="Y26" s="504">
        <f>ROUND(Spnrs!BT43,-2)</f>
        <v>8800</v>
      </c>
      <c r="Z26" s="29"/>
      <c r="AA26" s="37"/>
      <c r="AB26" s="240" t="s">
        <v>356</v>
      </c>
      <c r="AC26" s="225"/>
      <c r="AD26" s="432">
        <f>ROUND(SUM(AD27:AD28),-3)</f>
        <v>408000</v>
      </c>
      <c r="AE26" s="485">
        <f>AE27+AE28</f>
        <v>457000</v>
      </c>
      <c r="AF26" s="485">
        <f>AF27+AF28</f>
        <v>586000</v>
      </c>
      <c r="AG26" s="486">
        <f>AG27+AG28</f>
        <v>806000</v>
      </c>
      <c r="AI26" s="29"/>
    </row>
    <row r="27" spans="2:36" x14ac:dyDescent="0.25">
      <c r="B27" s="37"/>
      <c r="C27" s="37"/>
      <c r="D27" s="37"/>
      <c r="E27" s="37"/>
      <c r="F27" s="37"/>
      <c r="G27" s="37"/>
      <c r="H27" s="37"/>
      <c r="J27" s="37"/>
      <c r="K27" s="37"/>
      <c r="L27" s="37"/>
      <c r="M27" s="29"/>
      <c r="N27" s="29"/>
      <c r="O27" s="29"/>
      <c r="P27" s="29"/>
      <c r="Q27" s="29"/>
      <c r="S27" s="610"/>
      <c r="T27" s="114" t="s">
        <v>57</v>
      </c>
      <c r="U27" s="608">
        <f>ROUND(Spnrs!BN44,0)</f>
        <v>140</v>
      </c>
      <c r="V27" s="611">
        <f>ROUND(Spnrs!CM67,-2)</f>
        <v>9800</v>
      </c>
      <c r="W27" s="639">
        <f>ROUND(Spnrs!BQ44,-2)</f>
        <v>7100</v>
      </c>
      <c r="X27" s="639">
        <f>ROUND(Spnrs!BU44,-2)</f>
        <v>9100</v>
      </c>
      <c r="Y27" s="639">
        <f>ROUND(Spnrs!BT44,-2)</f>
        <v>11200</v>
      </c>
      <c r="Z27" s="37"/>
      <c r="AA27" s="37"/>
      <c r="AB27" s="114"/>
      <c r="AC27" t="s">
        <v>386</v>
      </c>
      <c r="AD27" s="98">
        <f>ROUND(Run!AY22,-3)</f>
        <v>34000</v>
      </c>
      <c r="AE27" s="491">
        <f>ROUND('Conv - Tot'!H7,-3)</f>
        <v>83000</v>
      </c>
      <c r="AF27" s="491">
        <f>ROUND('Conv - Tot'!H8,-3)</f>
        <v>212000</v>
      </c>
      <c r="AG27" s="492">
        <f>ROUND('Conv - Tot'!H9,-3)</f>
        <v>432000</v>
      </c>
      <c r="AI27" s="29"/>
    </row>
    <row r="28" spans="2:36" x14ac:dyDescent="0.25">
      <c r="B28" s="37"/>
      <c r="C28" s="37"/>
      <c r="D28" s="37"/>
      <c r="E28" s="37"/>
      <c r="F28" s="37"/>
      <c r="G28" s="37"/>
      <c r="H28" s="37"/>
      <c r="J28" s="37"/>
      <c r="K28" s="37"/>
      <c r="L28" s="37"/>
      <c r="M28" s="29"/>
      <c r="N28" s="29"/>
      <c r="O28" s="29"/>
      <c r="P28" s="29"/>
      <c r="Q28" s="29"/>
      <c r="S28" s="610"/>
      <c r="T28" s="114" t="s">
        <v>74</v>
      </c>
      <c r="U28" s="609"/>
      <c r="V28" s="614"/>
      <c r="W28" s="640"/>
      <c r="X28" s="640"/>
      <c r="Y28" s="640"/>
      <c r="Z28" s="37"/>
      <c r="AA28" s="29"/>
      <c r="AB28" s="114"/>
      <c r="AC28" t="s">
        <v>44</v>
      </c>
      <c r="AD28" s="98">
        <f>ROUND(Run!AX75,-3)</f>
        <v>374000</v>
      </c>
      <c r="AE28" s="491">
        <f>ROUND('Conv - Tot'!I16,-3)</f>
        <v>374000</v>
      </c>
      <c r="AF28" s="491">
        <f>ROUND('Conv - Tot'!I17,-3)</f>
        <v>374000</v>
      </c>
      <c r="AG28" s="492">
        <f>ROUND('Conv - Tot'!I18,-3)</f>
        <v>374000</v>
      </c>
      <c r="AI28" s="29"/>
      <c r="AJ28" s="38"/>
    </row>
    <row r="29" spans="2:36" x14ac:dyDescent="0.25">
      <c r="B29" s="37"/>
      <c r="C29" s="37"/>
      <c r="D29" s="37"/>
      <c r="E29" s="37"/>
      <c r="F29" s="37"/>
      <c r="G29" s="37"/>
      <c r="H29" s="37"/>
      <c r="J29" s="37"/>
      <c r="K29" s="37"/>
      <c r="L29" s="37"/>
      <c r="M29" s="29"/>
      <c r="N29" s="29"/>
      <c r="O29" s="29"/>
      <c r="P29" s="29"/>
      <c r="Q29" s="29"/>
      <c r="S29" s="533"/>
      <c r="T29" s="534" t="s">
        <v>372</v>
      </c>
      <c r="U29" s="535">
        <f>SUM(U5:U28)</f>
        <v>24442.43565015975</v>
      </c>
      <c r="V29" s="536">
        <f>SUM(V5:V28)</f>
        <v>301900</v>
      </c>
      <c r="W29" s="537">
        <f>SUM(W5:W28)</f>
        <v>60925</v>
      </c>
      <c r="X29" s="537">
        <f>SUM(X5:X28)</f>
        <v>122550</v>
      </c>
      <c r="Y29" s="538">
        <f>SUM(Y5:Y28)</f>
        <v>184400</v>
      </c>
      <c r="Z29" s="37"/>
      <c r="AA29" s="29"/>
      <c r="AB29" s="113"/>
      <c r="AC29" s="25" t="s">
        <v>355</v>
      </c>
      <c r="AD29" s="433">
        <f>ROUND(AD28/AD26,3)</f>
        <v>0.91700000000000004</v>
      </c>
      <c r="AE29" s="495">
        <f>AE28/AE26</f>
        <v>0.8183807439824945</v>
      </c>
      <c r="AF29" s="495">
        <f>ROUND(AF28/AF26,-3)</f>
        <v>0</v>
      </c>
      <c r="AG29" s="496">
        <f>AG28/AG26</f>
        <v>0.4640198511166253</v>
      </c>
      <c r="AI29" s="29"/>
    </row>
    <row r="30" spans="2:36" x14ac:dyDescent="0.25">
      <c r="B30" s="37"/>
      <c r="C30" s="37"/>
      <c r="D30" s="37"/>
      <c r="E30" s="37"/>
      <c r="F30" s="37"/>
      <c r="G30" s="37"/>
      <c r="H30" s="37"/>
      <c r="J30" s="37"/>
      <c r="K30" s="37"/>
      <c r="L30" s="37"/>
      <c r="M30" s="29"/>
      <c r="N30" s="29"/>
      <c r="O30" s="29"/>
      <c r="P30" s="29"/>
      <c r="Q30" s="29"/>
      <c r="S30" s="321" t="s">
        <v>365</v>
      </c>
      <c r="T30" s="322" t="s">
        <v>366</v>
      </c>
      <c r="U30" s="323">
        <f>Run!AO83</f>
        <v>7081.5269406586249</v>
      </c>
      <c r="V30" s="324">
        <v>0</v>
      </c>
      <c r="W30" s="350">
        <f>ROUND($U30,-3)</f>
        <v>7000</v>
      </c>
      <c r="X30" s="351">
        <f>ROUND($U30,-3)</f>
        <v>7000</v>
      </c>
      <c r="Y30" s="352">
        <f>ROUND($U30,-3)</f>
        <v>7000</v>
      </c>
      <c r="Z30" s="37"/>
      <c r="AA30" s="37"/>
      <c r="AB30" s="239" t="s">
        <v>1013</v>
      </c>
      <c r="AC30" s="225"/>
      <c r="AD30" s="432">
        <f>ROUND(SUM(AD31:AD32),-3)</f>
        <v>230000</v>
      </c>
      <c r="AE30" s="485">
        <f>AE31+AE32</f>
        <v>259000</v>
      </c>
      <c r="AF30" s="485">
        <f>AF31+AF32</f>
        <v>360000</v>
      </c>
      <c r="AG30" s="486">
        <f>AG31+AG32</f>
        <v>562000</v>
      </c>
      <c r="AI30" s="29"/>
      <c r="AJ30" s="38"/>
    </row>
    <row r="31" spans="2:36" x14ac:dyDescent="0.25">
      <c r="B31" s="37"/>
      <c r="C31" s="37"/>
      <c r="D31" s="37"/>
      <c r="E31" s="37"/>
      <c r="F31" s="37"/>
      <c r="G31" s="37"/>
      <c r="H31" s="37"/>
      <c r="J31" s="37"/>
      <c r="K31" s="37"/>
      <c r="L31" s="37"/>
      <c r="M31" s="29"/>
      <c r="N31" s="29"/>
      <c r="O31" s="29"/>
      <c r="P31" s="29"/>
      <c r="Q31" s="29"/>
      <c r="S31" s="539" t="s">
        <v>10</v>
      </c>
      <c r="T31" s="540"/>
      <c r="U31" s="541">
        <f>SUM(U29:U30)</f>
        <v>31523.962590818373</v>
      </c>
      <c r="V31" s="536">
        <f t="shared" ref="V31:Y31" si="0">SUM(V29:V30)</f>
        <v>301900</v>
      </c>
      <c r="W31" s="542">
        <f t="shared" si="0"/>
        <v>67925</v>
      </c>
      <c r="X31" s="542">
        <f t="shared" si="0"/>
        <v>129550</v>
      </c>
      <c r="Y31" s="543">
        <f t="shared" si="0"/>
        <v>191400</v>
      </c>
      <c r="Z31" s="37"/>
      <c r="AA31" s="37"/>
      <c r="AB31" s="114"/>
      <c r="AC31" t="s">
        <v>386</v>
      </c>
      <c r="AD31" s="491">
        <f>ROUND(Run!AV22+Run!AZ22,-3)</f>
        <v>5000</v>
      </c>
      <c r="AE31" s="491">
        <f>ROUND('Conv - Tot'!M7,-3)</f>
        <v>13000</v>
      </c>
      <c r="AF31" s="491">
        <f>ROUND('Conv - Tot'!M8,-3)</f>
        <v>75000</v>
      </c>
      <c r="AG31" s="492">
        <f>ROUND('Conv - Tot'!M9,-3)</f>
        <v>238000</v>
      </c>
      <c r="AI31" s="29"/>
    </row>
    <row r="32" spans="2:36" x14ac:dyDescent="0.25">
      <c r="B32" s="37"/>
      <c r="C32" s="37"/>
      <c r="D32" s="37"/>
      <c r="E32" s="37"/>
      <c r="F32" s="37"/>
      <c r="G32" s="37"/>
      <c r="H32" s="37"/>
      <c r="J32" s="37"/>
      <c r="K32" s="37"/>
      <c r="L32" s="37"/>
      <c r="M32" s="29"/>
      <c r="N32" s="29"/>
      <c r="O32" s="29"/>
      <c r="P32" s="29"/>
      <c r="Q32" s="29"/>
      <c r="S32" s="246" t="s">
        <v>367</v>
      </c>
      <c r="T32" s="29"/>
      <c r="U32" s="29"/>
      <c r="V32" s="29"/>
      <c r="W32" s="29"/>
      <c r="X32" s="29"/>
      <c r="Y32" s="29"/>
      <c r="Z32" s="37"/>
      <c r="AA32" s="37"/>
      <c r="AB32" s="114"/>
      <c r="AC32" t="s">
        <v>44</v>
      </c>
      <c r="AD32" s="491">
        <f>ROUND(Run!AV75+Run!AY75,-3)</f>
        <v>225000</v>
      </c>
      <c r="AE32" s="491">
        <f>ROUND('Conv - Tot'!O16,-3)</f>
        <v>246000</v>
      </c>
      <c r="AF32" s="491">
        <f>ROUND('Conv - Tot'!O17,-3)</f>
        <v>285000</v>
      </c>
      <c r="AG32" s="492">
        <f>ROUND('Conv - Tot'!O18,-3)</f>
        <v>324000</v>
      </c>
      <c r="AI32" s="29"/>
    </row>
    <row r="33" spans="2:35" ht="14.45" customHeight="1" x14ac:dyDescent="0.25">
      <c r="B33" s="37"/>
      <c r="C33" s="37"/>
      <c r="D33" s="37"/>
      <c r="E33" s="37"/>
      <c r="F33" s="37"/>
      <c r="G33" s="37"/>
      <c r="H33" s="37"/>
      <c r="J33" s="37"/>
      <c r="K33" s="37"/>
      <c r="L33" s="37"/>
      <c r="M33" s="29"/>
      <c r="N33" s="29"/>
      <c r="O33" s="29"/>
      <c r="P33" s="29"/>
      <c r="Q33" s="29"/>
      <c r="S33" s="246"/>
      <c r="T33" s="29"/>
      <c r="U33" s="29"/>
      <c r="V33" s="29"/>
      <c r="W33" s="29"/>
      <c r="X33" s="29"/>
      <c r="Y33" s="29"/>
      <c r="Z33" s="37"/>
      <c r="AA33" s="37"/>
      <c r="AB33" s="113"/>
      <c r="AC33" s="25" t="s">
        <v>355</v>
      </c>
      <c r="AD33" s="493">
        <f>ROUND(AD32/AD30,3)</f>
        <v>0.97799999999999998</v>
      </c>
      <c r="AE33" s="493">
        <f>AE32/AE30</f>
        <v>0.9498069498069498</v>
      </c>
      <c r="AF33" s="493">
        <f>AF32/AF30</f>
        <v>0.79166666666666663</v>
      </c>
      <c r="AG33" s="494">
        <f>AG32/AG30</f>
        <v>0.57651245551601427</v>
      </c>
      <c r="AI33" s="29"/>
    </row>
    <row r="34" spans="2:35" ht="14.45" customHeight="1" x14ac:dyDescent="0.25">
      <c r="B34" s="37"/>
      <c r="C34" s="37"/>
      <c r="D34" s="37"/>
      <c r="E34" s="37"/>
      <c r="F34" s="37"/>
      <c r="G34" s="37"/>
      <c r="H34" s="37"/>
      <c r="J34" s="37"/>
      <c r="K34" s="37"/>
      <c r="L34" s="37"/>
      <c r="M34" s="29"/>
      <c r="N34" s="29"/>
      <c r="O34" s="29"/>
      <c r="P34" s="29"/>
      <c r="Q34" s="29"/>
      <c r="S34" s="228" t="s">
        <v>203</v>
      </c>
      <c r="T34" s="331"/>
      <c r="U34" s="336" t="s">
        <v>352</v>
      </c>
      <c r="V34" s="229"/>
      <c r="W34" s="229"/>
      <c r="X34" s="332"/>
      <c r="Y34" s="229" t="s">
        <v>353</v>
      </c>
      <c r="Z34" s="230"/>
      <c r="AA34" s="37"/>
      <c r="AB34" s="29"/>
      <c r="AC34" s="29"/>
      <c r="AD34" s="29"/>
      <c r="AE34" s="29"/>
      <c r="AF34" s="29"/>
      <c r="AI34" s="29"/>
    </row>
    <row r="35" spans="2:35" ht="14.45" customHeight="1" x14ac:dyDescent="0.25">
      <c r="B35" s="37"/>
      <c r="C35" s="37"/>
      <c r="D35" s="37"/>
      <c r="E35" s="37"/>
      <c r="F35" s="37"/>
      <c r="G35" s="37"/>
      <c r="H35" s="37"/>
      <c r="J35" s="37"/>
      <c r="K35" s="37"/>
      <c r="L35" s="37"/>
      <c r="M35" s="29"/>
      <c r="N35" s="29"/>
      <c r="O35" s="29"/>
      <c r="P35" s="29"/>
      <c r="Q35" s="29"/>
      <c r="S35" s="231"/>
      <c r="T35" s="232" t="s">
        <v>205</v>
      </c>
      <c r="U35" s="333" t="s">
        <v>1137</v>
      </c>
      <c r="V35" s="233" t="s">
        <v>1138</v>
      </c>
      <c r="W35" s="233" t="s">
        <v>382</v>
      </c>
      <c r="X35" s="234" t="s">
        <v>210</v>
      </c>
      <c r="Y35" s="233" t="s">
        <v>359</v>
      </c>
      <c r="Z35" s="234" t="s">
        <v>210</v>
      </c>
      <c r="AA35" s="37"/>
      <c r="AB35" s="617" t="s">
        <v>374</v>
      </c>
      <c r="AC35" s="618"/>
      <c r="AD35" s="505" t="s">
        <v>137</v>
      </c>
      <c r="AE35" s="506" t="s">
        <v>357</v>
      </c>
      <c r="AF35" s="507"/>
      <c r="AG35" s="508"/>
      <c r="AI35" s="29"/>
    </row>
    <row r="36" spans="2:35" x14ac:dyDescent="0.25">
      <c r="B36" s="37"/>
      <c r="C36" s="37"/>
      <c r="D36" s="37"/>
      <c r="E36" s="37"/>
      <c r="F36" s="37"/>
      <c r="G36" s="37"/>
      <c r="H36" s="37"/>
      <c r="J36" s="37"/>
      <c r="K36" s="37"/>
      <c r="L36" s="37"/>
      <c r="M36" s="29"/>
      <c r="N36" s="29"/>
      <c r="O36" s="29"/>
      <c r="P36" s="29"/>
      <c r="Q36" s="29"/>
      <c r="S36" s="605" t="s">
        <v>386</v>
      </c>
      <c r="T36" s="260" t="s">
        <v>207</v>
      </c>
      <c r="U36" s="511">
        <f>ROUND(Run!BE22,3)</f>
        <v>1.7000000000000001E-2</v>
      </c>
      <c r="V36" s="52" t="s">
        <v>208</v>
      </c>
      <c r="W36" s="633" t="s">
        <v>108</v>
      </c>
      <c r="X36" s="636" t="s">
        <v>313</v>
      </c>
      <c r="Y36" s="512">
        <f>ROUND(Run!BF22,-2)</f>
        <v>500</v>
      </c>
      <c r="Z36" s="631">
        <f>ROUND(' Conv - LCR'!J9,-3)</f>
        <v>32000</v>
      </c>
      <c r="AA36" s="37"/>
      <c r="AB36" s="619"/>
      <c r="AC36" s="620"/>
      <c r="AD36" s="510" t="s">
        <v>373</v>
      </c>
      <c r="AE36" s="31" t="s">
        <v>180</v>
      </c>
      <c r="AF36" s="31" t="s">
        <v>200</v>
      </c>
      <c r="AG36" s="30" t="s">
        <v>175</v>
      </c>
      <c r="AI36" s="29"/>
    </row>
    <row r="37" spans="2:35" x14ac:dyDescent="0.25">
      <c r="B37" s="37"/>
      <c r="C37" s="37"/>
      <c r="D37" s="37"/>
      <c r="E37" s="37"/>
      <c r="F37" s="37"/>
      <c r="G37" s="37"/>
      <c r="H37" s="37"/>
      <c r="J37" s="37"/>
      <c r="K37" s="37"/>
      <c r="L37" s="37"/>
      <c r="M37" s="29"/>
      <c r="N37" s="29"/>
      <c r="O37" s="29"/>
      <c r="P37" s="29"/>
      <c r="Q37" s="29"/>
      <c r="S37" s="606"/>
      <c r="T37" s="194" t="s">
        <v>209</v>
      </c>
      <c r="U37" s="513">
        <f>ROUND(Run!BH12,3)</f>
        <v>0.10199999999999999</v>
      </c>
      <c r="V37" s="52" t="s">
        <v>208</v>
      </c>
      <c r="W37" s="634"/>
      <c r="X37" s="637"/>
      <c r="Y37" s="98">
        <f>ROUND(Run!BI22,-3)</f>
        <v>3000</v>
      </c>
      <c r="Z37" s="632"/>
      <c r="AA37" s="29"/>
      <c r="AB37" s="240" t="s">
        <v>356</v>
      </c>
      <c r="AC37" s="225"/>
      <c r="AD37" s="432">
        <f>AD38+AD39</f>
        <v>280000</v>
      </c>
      <c r="AE37" s="487">
        <f>AE38+AE39</f>
        <v>329000</v>
      </c>
      <c r="AF37" s="487">
        <f>AF38+AF39</f>
        <v>431000</v>
      </c>
      <c r="AG37" s="488">
        <f>AG38+AG39</f>
        <v>555000</v>
      </c>
    </row>
    <row r="38" spans="2:35" x14ac:dyDescent="0.25">
      <c r="B38" s="37"/>
      <c r="C38" s="37"/>
      <c r="D38" s="37"/>
      <c r="E38" s="37"/>
      <c r="F38" s="37"/>
      <c r="G38" s="37"/>
      <c r="H38" s="37"/>
      <c r="J38" s="37"/>
      <c r="K38" s="37"/>
      <c r="L38" s="37"/>
      <c r="M38" s="29"/>
      <c r="N38" s="29"/>
      <c r="O38" s="29"/>
      <c r="P38" s="29"/>
      <c r="Q38" s="29"/>
      <c r="S38" s="606"/>
      <c r="T38" s="194" t="s">
        <v>354</v>
      </c>
      <c r="U38" s="513">
        <f>ROUND(Run!AX22,3)</f>
        <v>5.0999999999999997E-2</v>
      </c>
      <c r="V38" s="514">
        <f>ROUND(Run!AW22,3)</f>
        <v>5.7000000000000002E-2</v>
      </c>
      <c r="W38" s="635"/>
      <c r="X38" s="638"/>
      <c r="Y38" s="98">
        <f>ROUND(Run!AV22,-3)</f>
        <v>2000</v>
      </c>
      <c r="Z38" s="497">
        <f>ROUND(' Conv - LCR'!F9,-3)</f>
        <v>70000</v>
      </c>
      <c r="AA38" s="37"/>
      <c r="AB38" s="114"/>
      <c r="AC38" t="s">
        <v>386</v>
      </c>
      <c r="AD38" s="555">
        <f>ROUND(Run!AY22,-3)</f>
        <v>34000</v>
      </c>
      <c r="AE38" s="491">
        <f>ROUND(' Conv - LCR'!H7,-3)</f>
        <v>83000</v>
      </c>
      <c r="AF38" s="491">
        <f>ROUND(' Conv - LCR'!H8,-3)</f>
        <v>185000</v>
      </c>
      <c r="AG38" s="492">
        <f>ROUND(' Conv - LCR'!H9,-3)</f>
        <v>309000</v>
      </c>
      <c r="AI38" s="29"/>
    </row>
    <row r="39" spans="2:35" x14ac:dyDescent="0.25">
      <c r="B39" s="37"/>
      <c r="C39" s="37"/>
      <c r="D39" s="37"/>
      <c r="E39" s="37"/>
      <c r="F39" s="37"/>
      <c r="G39" s="37"/>
      <c r="H39" s="37"/>
      <c r="J39" s="37"/>
      <c r="K39" s="37"/>
      <c r="L39" s="37"/>
      <c r="M39" s="29"/>
      <c r="N39" s="29"/>
      <c r="O39" s="29"/>
      <c r="P39" s="29"/>
      <c r="Q39" s="29"/>
      <c r="S39" s="607"/>
      <c r="T39" s="238" t="s">
        <v>10</v>
      </c>
      <c r="U39" s="334">
        <f>SUM(U36:U38)</f>
        <v>0.16999999999999998</v>
      </c>
      <c r="V39" s="449">
        <f>V38</f>
        <v>5.7000000000000002E-2</v>
      </c>
      <c r="W39" s="449" t="str">
        <f>W36</f>
        <v>&lt;10-30%</v>
      </c>
      <c r="X39" s="551" t="str">
        <f>X36</f>
        <v>&lt;10-50%</v>
      </c>
      <c r="Y39" s="325">
        <f>Fishery!CX95</f>
        <v>39109.955735015057</v>
      </c>
      <c r="Z39" s="498">
        <f>SUM(Z36:Z38)</f>
        <v>102000</v>
      </c>
      <c r="AA39" s="37"/>
      <c r="AB39" s="114"/>
      <c r="AC39" t="s">
        <v>44</v>
      </c>
      <c r="AD39" s="555">
        <f>ROUND(Run!BB39,-3)</f>
        <v>246000</v>
      </c>
      <c r="AE39" s="98">
        <f>ROUND(' Conv - LCR'!I16,-3)</f>
        <v>246000</v>
      </c>
      <c r="AF39" s="98">
        <f>ROUND(' Conv - LCR'!I17,-3)</f>
        <v>246000</v>
      </c>
      <c r="AG39" s="497">
        <f>ROUND(' Conv - LCR'!I18,-3)</f>
        <v>246000</v>
      </c>
      <c r="AI39" s="29"/>
    </row>
    <row r="40" spans="2:35" ht="15" customHeight="1" x14ac:dyDescent="0.25">
      <c r="B40" s="37"/>
      <c r="C40" s="37"/>
      <c r="D40" s="37"/>
      <c r="E40" s="37"/>
      <c r="F40" s="37"/>
      <c r="G40" s="37"/>
      <c r="H40" s="37"/>
      <c r="J40" s="37"/>
      <c r="K40" s="37"/>
      <c r="L40" s="37"/>
      <c r="M40" s="29"/>
      <c r="N40" s="29"/>
      <c r="O40" s="29"/>
      <c r="P40" s="29"/>
      <c r="Q40" s="29"/>
      <c r="S40" s="602" t="s">
        <v>44</v>
      </c>
      <c r="T40" s="148" t="s">
        <v>207</v>
      </c>
      <c r="U40" s="511">
        <f>ROUND(Run!BH39,3)</f>
        <v>7.0000000000000001E-3</v>
      </c>
      <c r="V40" s="552" t="s">
        <v>208</v>
      </c>
      <c r="W40" s="625" t="s">
        <v>1150</v>
      </c>
      <c r="X40" s="628" t="s">
        <v>1150</v>
      </c>
      <c r="Y40" s="515">
        <f>ROUND(Run!BG39,-3)</f>
        <v>2000</v>
      </c>
      <c r="Z40" s="631">
        <f>ROUND(' Conv - LCR'!G18,-3)</f>
        <v>25000</v>
      </c>
      <c r="AA40" s="37"/>
      <c r="AB40" s="113"/>
      <c r="AC40" s="25" t="s">
        <v>355</v>
      </c>
      <c r="AD40" s="556">
        <f>ROUND(AD39/AD37,3)</f>
        <v>0.879</v>
      </c>
      <c r="AE40" s="493">
        <f>AE39/AE37</f>
        <v>0.74772036474164139</v>
      </c>
      <c r="AF40" s="493">
        <f>AF39/AF37</f>
        <v>0.57076566125290018</v>
      </c>
      <c r="AG40" s="494">
        <f>AG39/AG37</f>
        <v>0.44324324324324327</v>
      </c>
      <c r="AI40" s="29"/>
    </row>
    <row r="41" spans="2:35" x14ac:dyDescent="0.25">
      <c r="B41" s="37"/>
      <c r="C41" s="37"/>
      <c r="D41" s="37"/>
      <c r="E41" s="37"/>
      <c r="F41" s="37"/>
      <c r="G41" s="37"/>
      <c r="H41" s="37"/>
      <c r="J41" s="37"/>
      <c r="K41" s="37"/>
      <c r="L41" s="37"/>
      <c r="M41" s="29"/>
      <c r="N41" s="29"/>
      <c r="O41" s="29"/>
      <c r="P41" s="29"/>
      <c r="Q41" s="29"/>
      <c r="S41" s="603"/>
      <c r="T41" s="148" t="s">
        <v>209</v>
      </c>
      <c r="U41" s="513">
        <f>ROUND(Run!BK39,3)</f>
        <v>0.184</v>
      </c>
      <c r="V41" s="52" t="s">
        <v>208</v>
      </c>
      <c r="W41" s="626"/>
      <c r="X41" s="629"/>
      <c r="Y41" s="98">
        <f>ROUND(Run!BJ39,-3)</f>
        <v>58000</v>
      </c>
      <c r="Z41" s="632"/>
      <c r="AA41" s="37"/>
      <c r="AB41" s="239" t="s">
        <v>404</v>
      </c>
      <c r="AC41" s="225"/>
      <c r="AD41" s="432">
        <f>ROUND(SUM(AD42:AD43),-3)</f>
        <v>172000</v>
      </c>
      <c r="AE41" s="485">
        <f>AE42+AE43</f>
        <v>206000</v>
      </c>
      <c r="AF41" s="485">
        <f>AF42+AF43</f>
        <v>249000</v>
      </c>
      <c r="AG41" s="486">
        <f>AG42+AG43</f>
        <v>292000</v>
      </c>
      <c r="AI41" s="29"/>
    </row>
    <row r="42" spans="2:35" x14ac:dyDescent="0.25">
      <c r="B42" s="37"/>
      <c r="C42" s="37"/>
      <c r="D42" s="37"/>
      <c r="E42" s="37"/>
      <c r="F42" s="37"/>
      <c r="G42" s="37"/>
      <c r="H42" s="37"/>
      <c r="J42" s="37"/>
      <c r="K42" s="37"/>
      <c r="L42" s="37"/>
      <c r="M42" s="29"/>
      <c r="N42" s="29"/>
      <c r="O42" s="29"/>
      <c r="P42" s="29"/>
      <c r="Q42" s="29"/>
      <c r="S42" s="603"/>
      <c r="T42" s="148" t="s">
        <v>354</v>
      </c>
      <c r="U42" s="553">
        <f>ROUND(Run!BL39,3)</f>
        <v>0.34100000000000003</v>
      </c>
      <c r="V42" s="554">
        <f>ROUND(Run!BA39,3)</f>
        <v>0.42699999999999999</v>
      </c>
      <c r="W42" s="627"/>
      <c r="X42" s="630"/>
      <c r="Y42" s="98">
        <f>ROUND(Run!AZ39,-3)</f>
        <v>106000</v>
      </c>
      <c r="Z42" s="497">
        <f>ROUND(' Conv - LCR'!K18,-3)</f>
        <v>192000</v>
      </c>
      <c r="AA42" s="37"/>
      <c r="AB42" s="114"/>
      <c r="AC42" t="s">
        <v>386</v>
      </c>
      <c r="AD42" s="491">
        <f>ROUND(Run!AU22,-3)</f>
        <v>32000</v>
      </c>
      <c r="AE42" s="491">
        <f>ROUND(' Conv - LCR'!D7,-3)</f>
        <v>79000</v>
      </c>
      <c r="AF42" s="491">
        <f>ROUND(' Conv - LCR'!D8,-3)</f>
        <v>158000</v>
      </c>
      <c r="AG42" s="492">
        <f>ROUND(' Conv - LCR'!D9,-3)</f>
        <v>238000</v>
      </c>
      <c r="AI42" s="499"/>
    </row>
    <row r="43" spans="2:35" ht="15" customHeight="1" x14ac:dyDescent="0.25">
      <c r="S43" s="604"/>
      <c r="T43" s="235" t="s">
        <v>10</v>
      </c>
      <c r="U43" s="335">
        <f>SUM(U40:U42)</f>
        <v>0.53200000000000003</v>
      </c>
      <c r="V43" s="450">
        <f>V42</f>
        <v>0.42699999999999999</v>
      </c>
      <c r="W43" s="236" t="str">
        <f>W40</f>
        <v>≤70%</v>
      </c>
      <c r="X43" s="237" t="str">
        <f>X40</f>
        <v>≤70%</v>
      </c>
      <c r="Y43" s="279">
        <f>SUM(Y40:Y42)</f>
        <v>166000</v>
      </c>
      <c r="Z43" s="498">
        <f>SUM(Z40:Z42)</f>
        <v>217000</v>
      </c>
      <c r="AA43" s="37"/>
      <c r="AB43" s="114"/>
      <c r="AC43" t="s">
        <v>44</v>
      </c>
      <c r="AD43" s="491">
        <f>ROUND(Run!AU39,-3)</f>
        <v>140000</v>
      </c>
      <c r="AE43" s="491">
        <f>ROUND(' Conv - LCR'!M16,-3)</f>
        <v>127000</v>
      </c>
      <c r="AF43" s="491">
        <f>ROUND(' Conv - LCR'!M17,-3)</f>
        <v>91000</v>
      </c>
      <c r="AG43" s="492">
        <f>ROUND(' Conv - LCR'!M18,-3)</f>
        <v>54000</v>
      </c>
      <c r="AI43" s="29"/>
    </row>
    <row r="44" spans="2:35" ht="15" customHeight="1" x14ac:dyDescent="0.25">
      <c r="B44" s="37"/>
      <c r="C44" s="37"/>
      <c r="D44" s="37"/>
      <c r="E44" s="37"/>
      <c r="F44" s="37"/>
      <c r="G44" s="37"/>
      <c r="H44" s="37"/>
      <c r="J44" s="37"/>
      <c r="K44" s="37"/>
      <c r="L44" s="37"/>
      <c r="M44" s="29"/>
      <c r="N44" s="29"/>
      <c r="O44" s="29"/>
      <c r="P44" s="29"/>
      <c r="Q44" s="29"/>
      <c r="S44" s="29"/>
      <c r="T44" s="29"/>
      <c r="U44" s="29"/>
      <c r="V44" s="29"/>
      <c r="W44" s="29"/>
      <c r="X44" s="29"/>
      <c r="Y44" s="29"/>
      <c r="Z44" s="29"/>
      <c r="AA44" s="37"/>
      <c r="AB44" s="113"/>
      <c r="AC44" s="25" t="s">
        <v>355</v>
      </c>
      <c r="AD44" s="493">
        <f>ROUND(AD43/AD41,3)</f>
        <v>0.81399999999999995</v>
      </c>
      <c r="AE44" s="493">
        <f>AE43/AE41</f>
        <v>0.61650485436893199</v>
      </c>
      <c r="AF44" s="493">
        <f>AF43/AF41</f>
        <v>0.36546184738955823</v>
      </c>
      <c r="AG44" s="494">
        <f>AG43/AG41</f>
        <v>0.18493150684931506</v>
      </c>
      <c r="AI44" s="29"/>
    </row>
    <row r="45" spans="2:35" ht="15" customHeight="1" x14ac:dyDescent="0.25">
      <c r="B45" s="37"/>
      <c r="C45" s="37"/>
      <c r="D45" s="37"/>
      <c r="E45" s="37"/>
      <c r="F45" s="37"/>
      <c r="G45" s="37"/>
      <c r="H45" s="37"/>
      <c r="J45" s="37"/>
      <c r="K45" s="37"/>
      <c r="L45" s="37"/>
      <c r="M45" s="29"/>
      <c r="N45" s="29"/>
      <c r="O45" s="29"/>
      <c r="P45" s="29"/>
      <c r="Q45" s="29"/>
      <c r="AA45" s="37"/>
      <c r="AB45" s="239" t="s">
        <v>1014</v>
      </c>
      <c r="AC45" s="225"/>
      <c r="AD45" s="432">
        <f>ROUND(SUM(AD46:AD47),-3)</f>
        <v>108000</v>
      </c>
      <c r="AE45" s="485">
        <f>AE46+AE47</f>
        <v>124000</v>
      </c>
      <c r="AF45" s="485">
        <f>AF46+AF47</f>
        <v>182000</v>
      </c>
      <c r="AG45" s="486">
        <f>AG46+AG47</f>
        <v>262000</v>
      </c>
      <c r="AI45" s="29"/>
    </row>
    <row r="46" spans="2:35" x14ac:dyDescent="0.25">
      <c r="B46" s="37"/>
      <c r="C46" s="37"/>
      <c r="D46" s="37"/>
      <c r="E46" s="37"/>
      <c r="F46" s="37"/>
      <c r="G46" s="37"/>
      <c r="H46" s="37"/>
      <c r="J46" s="37"/>
      <c r="K46" s="37"/>
      <c r="L46" s="37"/>
      <c r="M46" s="29"/>
      <c r="N46" s="29"/>
      <c r="O46" s="29"/>
      <c r="P46" s="29"/>
      <c r="Q46" s="29"/>
      <c r="AA46" s="37"/>
      <c r="AB46" s="114"/>
      <c r="AC46" t="s">
        <v>386</v>
      </c>
      <c r="AD46" s="491">
        <f>ROUND(Run!AV22,-3)</f>
        <v>2000</v>
      </c>
      <c r="AE46" s="491">
        <f>ROUND(' Conv - LCR'!F7,-3)</f>
        <v>5000</v>
      </c>
      <c r="AF46" s="491">
        <f>ROUND(' Conv - LCR'!F8,-3)</f>
        <v>26000</v>
      </c>
      <c r="AG46" s="492">
        <f>ROUND(' Conv - LCR'!F9,-3)</f>
        <v>70000</v>
      </c>
      <c r="AI46" s="29"/>
    </row>
    <row r="47" spans="2:35" x14ac:dyDescent="0.25">
      <c r="B47" s="37"/>
      <c r="C47" s="37"/>
      <c r="D47" s="37"/>
      <c r="E47" s="37"/>
      <c r="F47" s="37"/>
      <c r="G47" s="37"/>
      <c r="H47" s="37"/>
      <c r="J47" s="37"/>
      <c r="K47" s="37"/>
      <c r="L47" s="37"/>
      <c r="M47" s="29"/>
      <c r="N47" s="29"/>
      <c r="O47" s="29"/>
      <c r="P47" s="29"/>
      <c r="Q47" s="29"/>
      <c r="S47" s="29"/>
      <c r="T47" s="29"/>
      <c r="U47" s="29"/>
      <c r="V47" s="29"/>
      <c r="W47" s="29"/>
      <c r="X47" s="29"/>
      <c r="Y47" s="29"/>
      <c r="Z47" s="29"/>
      <c r="AA47" s="37"/>
      <c r="AB47" s="114"/>
      <c r="AC47" t="s">
        <v>44</v>
      </c>
      <c r="AD47" s="491">
        <f>ROUND(Run!AZ39,-3)</f>
        <v>106000</v>
      </c>
      <c r="AE47" s="491">
        <f>ROUND(' Conv - LCR'!K16,-3)</f>
        <v>119000</v>
      </c>
      <c r="AF47" s="491">
        <f>ROUND(' Conv - LCR'!K17,-3)</f>
        <v>156000</v>
      </c>
      <c r="AG47" s="492">
        <f>ROUND(' Conv - LCR'!K18,-3)</f>
        <v>192000</v>
      </c>
      <c r="AI47" s="29"/>
    </row>
    <row r="48" spans="2:35" ht="15.6" customHeight="1" x14ac:dyDescent="0.25">
      <c r="B48" s="37"/>
      <c r="C48" s="37"/>
      <c r="D48" s="37"/>
      <c r="E48" s="37"/>
      <c r="F48" s="37"/>
      <c r="G48" s="37"/>
      <c r="H48" s="37"/>
      <c r="J48" s="37"/>
      <c r="K48" s="37"/>
      <c r="L48" s="37"/>
      <c r="M48" s="29"/>
      <c r="N48" s="29"/>
      <c r="O48" s="29"/>
      <c r="P48" s="29"/>
      <c r="Q48" s="29"/>
      <c r="S48" s="29"/>
      <c r="T48" s="29"/>
      <c r="U48" s="29"/>
      <c r="V48" s="29"/>
      <c r="W48" s="29"/>
      <c r="X48" s="29"/>
      <c r="Y48" s="29"/>
      <c r="Z48" s="29"/>
      <c r="AA48" s="37"/>
      <c r="AB48" s="113"/>
      <c r="AC48" s="25" t="s">
        <v>355</v>
      </c>
      <c r="AD48" s="493">
        <f>ROUND(AD47/AD45,3)</f>
        <v>0.98099999999999998</v>
      </c>
      <c r="AE48" s="493">
        <f>AE47/AE45</f>
        <v>0.95967741935483875</v>
      </c>
      <c r="AF48" s="493">
        <f>AF47/AF45</f>
        <v>0.8571428571428571</v>
      </c>
      <c r="AG48" s="494">
        <f>AG47/AG45</f>
        <v>0.73282442748091603</v>
      </c>
      <c r="AI48" s="29"/>
    </row>
    <row r="49" spans="2:35" x14ac:dyDescent="0.25">
      <c r="B49" s="37"/>
      <c r="C49" s="37"/>
      <c r="D49" s="37"/>
      <c r="E49" s="37"/>
      <c r="F49" s="37"/>
      <c r="G49" s="37"/>
      <c r="H49" s="37"/>
      <c r="J49" s="37"/>
      <c r="K49" s="37"/>
      <c r="L49" s="37"/>
      <c r="M49" s="29"/>
      <c r="N49" s="29"/>
      <c r="O49" s="29"/>
      <c r="P49" s="29"/>
      <c r="Q49" s="29"/>
      <c r="S49" s="29"/>
      <c r="T49" s="29"/>
      <c r="U49" s="29"/>
      <c r="V49" s="29"/>
      <c r="W49" s="29"/>
      <c r="X49" s="29"/>
      <c r="Y49" s="29"/>
      <c r="Z49" s="29"/>
      <c r="AA49" s="37"/>
      <c r="AB49" s="239" t="s">
        <v>1013</v>
      </c>
      <c r="AC49" s="225"/>
      <c r="AD49" s="432">
        <f>ROUND(SUM(AD50:AD51),-3)</f>
        <v>171000</v>
      </c>
      <c r="AE49" s="485">
        <f>AE50+AE51</f>
        <v>157000</v>
      </c>
      <c r="AF49" s="485">
        <f>AF50+AF51</f>
        <v>226000</v>
      </c>
      <c r="AG49" s="486">
        <f>AG50+AG51</f>
        <v>319000</v>
      </c>
      <c r="AI49" s="29"/>
    </row>
    <row r="50" spans="2:35" x14ac:dyDescent="0.25">
      <c r="B50" s="37"/>
      <c r="C50" s="37"/>
      <c r="D50" s="37"/>
      <c r="E50" s="37"/>
      <c r="F50" s="37"/>
      <c r="G50" s="37"/>
      <c r="H50" s="37"/>
      <c r="J50" s="37"/>
      <c r="K50" s="37"/>
      <c r="L50" s="37"/>
      <c r="M50" s="29"/>
      <c r="N50" s="29"/>
      <c r="O50" s="29"/>
      <c r="P50" s="29"/>
      <c r="Q50" s="29"/>
      <c r="S50" s="29"/>
      <c r="T50" s="29"/>
      <c r="U50" s="29"/>
      <c r="V50" s="29"/>
      <c r="W50" s="29"/>
      <c r="X50" s="29"/>
      <c r="Y50" s="29"/>
      <c r="Z50" s="29"/>
      <c r="AA50" s="37"/>
      <c r="AB50" s="114"/>
      <c r="AC50" t="s">
        <v>386</v>
      </c>
      <c r="AD50" s="491">
        <f>ROUND(Run!AV22+Run!AZ22,-3)</f>
        <v>5000</v>
      </c>
      <c r="AE50" s="491">
        <f>ROUND(' Conv - LCR'!M7,-3)</f>
        <v>13000</v>
      </c>
      <c r="AF50" s="491">
        <f>ROUND(' Conv - LCR'!M8,-3)</f>
        <v>45000</v>
      </c>
      <c r="AG50" s="492">
        <f>ROUND(' Conv - LCR'!M9,-3)</f>
        <v>102000</v>
      </c>
      <c r="AI50" s="29"/>
    </row>
    <row r="51" spans="2:35" x14ac:dyDescent="0.25">
      <c r="B51" s="37"/>
      <c r="C51" s="37"/>
      <c r="D51" s="37"/>
      <c r="E51" s="37"/>
      <c r="F51" s="37"/>
      <c r="G51" s="37"/>
      <c r="H51" s="37"/>
      <c r="J51" s="37"/>
      <c r="K51" s="37"/>
      <c r="L51" s="37"/>
      <c r="M51" s="29"/>
      <c r="N51" s="29"/>
      <c r="O51" s="29"/>
      <c r="P51" s="29"/>
      <c r="Q51" s="29"/>
      <c r="S51" s="29"/>
      <c r="T51" s="29"/>
      <c r="U51" s="29"/>
      <c r="V51" s="29"/>
      <c r="W51" s="29"/>
      <c r="X51" s="29"/>
      <c r="Y51" s="29"/>
      <c r="Z51" s="29"/>
      <c r="AA51" s="37"/>
      <c r="AB51" s="114"/>
      <c r="AC51" t="s">
        <v>44</v>
      </c>
      <c r="AD51" s="491">
        <f>ROUND(Run!AZ39+Run!BC39,-3)</f>
        <v>166000</v>
      </c>
      <c r="AE51" s="491">
        <f>ROUND(' Conv - LCR'!O16,-3)</f>
        <v>144000</v>
      </c>
      <c r="AF51" s="491">
        <f>ROUND(' Conv - LCR'!O17,-3)</f>
        <v>181000</v>
      </c>
      <c r="AG51" s="492">
        <f>ROUND(' Conv - LCR'!O18,-3)</f>
        <v>217000</v>
      </c>
      <c r="AI51" s="29"/>
    </row>
    <row r="52" spans="2:35" x14ac:dyDescent="0.25">
      <c r="B52" s="37"/>
      <c r="C52" s="37"/>
      <c r="D52" s="37"/>
      <c r="E52" s="37"/>
      <c r="F52" s="37"/>
      <c r="G52" s="37"/>
      <c r="H52" s="37"/>
      <c r="J52" s="37"/>
      <c r="K52" s="37"/>
      <c r="L52" s="37"/>
      <c r="M52" s="29"/>
      <c r="N52" s="29"/>
      <c r="O52" s="29"/>
      <c r="P52" s="29"/>
      <c r="Q52" s="29"/>
      <c r="S52" s="29"/>
      <c r="T52" s="29"/>
      <c r="U52" s="29"/>
      <c r="V52" s="29"/>
      <c r="W52" s="29"/>
      <c r="X52" s="29"/>
      <c r="Y52" s="29"/>
      <c r="Z52" s="29"/>
      <c r="AA52" s="37"/>
      <c r="AB52" s="113"/>
      <c r="AC52" s="25" t="s">
        <v>355</v>
      </c>
      <c r="AD52" s="493">
        <f>ROUND(AD51/AD49,3)</f>
        <v>0.97099999999999997</v>
      </c>
      <c r="AE52" s="493">
        <f>AE51/AE49</f>
        <v>0.91719745222929938</v>
      </c>
      <c r="AF52" s="493">
        <f>AF51/AF49</f>
        <v>0.80088495575221241</v>
      </c>
      <c r="AG52" s="494">
        <f>AG51/AG49</f>
        <v>0.68025078369905956</v>
      </c>
      <c r="AI52" s="29"/>
    </row>
    <row r="53" spans="2:35" ht="14.45" customHeight="1" x14ac:dyDescent="0.25">
      <c r="B53" s="37"/>
      <c r="C53" s="37"/>
      <c r="D53" s="37"/>
      <c r="E53" s="37"/>
      <c r="F53" s="37"/>
      <c r="G53" s="37"/>
      <c r="H53" s="37"/>
      <c r="J53" s="37"/>
      <c r="K53" s="37"/>
      <c r="L53" s="37"/>
      <c r="M53" s="29"/>
      <c r="N53" s="29"/>
      <c r="O53" s="29"/>
      <c r="P53" s="29"/>
      <c r="Q53" s="29"/>
      <c r="S53" s="29" t="s">
        <v>444</v>
      </c>
      <c r="T53" s="29"/>
      <c r="U53" s="29" t="s">
        <v>445</v>
      </c>
      <c r="Z53" s="37"/>
      <c r="AA53" s="29"/>
      <c r="AB53" s="29"/>
      <c r="AC53" s="29"/>
      <c r="AD53" s="29"/>
      <c r="AE53" s="29"/>
      <c r="AF53" s="29"/>
    </row>
    <row r="54" spans="2:35" x14ac:dyDescent="0.25">
      <c r="B54" s="37"/>
      <c r="C54" s="37"/>
      <c r="D54" s="37"/>
      <c r="E54" s="37"/>
      <c r="F54" s="37"/>
      <c r="G54" s="37"/>
      <c r="H54" s="37"/>
      <c r="J54" s="37"/>
      <c r="K54" s="37"/>
      <c r="L54" s="37"/>
      <c r="M54" s="29"/>
      <c r="N54" s="29"/>
      <c r="O54" s="29"/>
      <c r="P54" s="29"/>
      <c r="Q54" s="29"/>
      <c r="U54" t="s">
        <v>446</v>
      </c>
      <c r="Z54" s="37"/>
    </row>
    <row r="55" spans="2:35" x14ac:dyDescent="0.25">
      <c r="B55" s="37"/>
      <c r="C55" s="37"/>
      <c r="D55" s="37"/>
      <c r="E55" s="37"/>
      <c r="F55" s="37"/>
      <c r="G55" s="37"/>
      <c r="H55" s="37"/>
      <c r="J55" s="37"/>
      <c r="K55" s="37"/>
      <c r="L55" s="37"/>
      <c r="M55" s="29"/>
      <c r="N55" s="29"/>
      <c r="O55" s="29"/>
      <c r="P55" s="29"/>
      <c r="Q55" s="29"/>
      <c r="S55" t="s">
        <v>533</v>
      </c>
      <c r="Z55" s="37"/>
      <c r="AD55" s="98">
        <f>AD28-AD39</f>
        <v>128000</v>
      </c>
    </row>
    <row r="56" spans="2:35" x14ac:dyDescent="0.25">
      <c r="B56" s="37"/>
      <c r="C56" s="37"/>
      <c r="D56" s="37"/>
      <c r="E56" s="37"/>
      <c r="F56" s="37"/>
      <c r="G56" s="37"/>
      <c r="H56" s="37"/>
      <c r="J56" s="37"/>
      <c r="K56" s="37"/>
      <c r="L56" s="37"/>
      <c r="M56" s="29"/>
      <c r="N56" s="29"/>
      <c r="O56" s="29"/>
      <c r="P56" s="29"/>
      <c r="Q56" s="29"/>
      <c r="Z56" s="37"/>
      <c r="AB56" s="29"/>
      <c r="AC56" s="29"/>
      <c r="AD56" s="29"/>
      <c r="AE56" s="29"/>
      <c r="AF56" s="29"/>
    </row>
    <row r="57" spans="2:35" x14ac:dyDescent="0.25">
      <c r="B57" s="37"/>
      <c r="C57" s="37"/>
      <c r="D57" s="37"/>
      <c r="E57" s="37"/>
      <c r="F57" s="37"/>
      <c r="G57" s="37"/>
      <c r="H57" s="37"/>
      <c r="J57" s="37"/>
      <c r="K57" s="37"/>
      <c r="L57" s="37"/>
      <c r="M57" s="29"/>
      <c r="N57" s="29"/>
      <c r="O57" s="29"/>
      <c r="P57" s="29"/>
      <c r="Q57" s="29"/>
      <c r="Z57" s="37"/>
    </row>
    <row r="58" spans="2:35" ht="14.45" customHeight="1" x14ac:dyDescent="0.25">
      <c r="B58" s="37"/>
      <c r="C58" s="37"/>
      <c r="D58" s="37"/>
      <c r="E58" s="37"/>
      <c r="F58" s="37"/>
      <c r="G58" s="37"/>
      <c r="H58" s="37"/>
      <c r="J58" s="37"/>
      <c r="K58" s="37"/>
      <c r="L58" s="37"/>
      <c r="M58" s="29"/>
      <c r="N58" s="29"/>
      <c r="O58" s="29"/>
      <c r="P58" s="29"/>
      <c r="Q58" s="29"/>
    </row>
    <row r="59" spans="2:35" x14ac:dyDescent="0.25">
      <c r="B59" s="37"/>
      <c r="C59" s="37"/>
      <c r="D59" s="37"/>
      <c r="E59" s="37"/>
      <c r="F59" s="37"/>
      <c r="G59" s="37"/>
      <c r="H59" s="37"/>
      <c r="J59" s="37"/>
      <c r="K59" s="37"/>
      <c r="L59" s="37"/>
      <c r="M59" s="29"/>
      <c r="N59" s="29"/>
      <c r="O59" s="29"/>
      <c r="P59" s="29"/>
      <c r="Q59" s="29"/>
      <c r="AA59" s="29"/>
    </row>
    <row r="60" spans="2:35" x14ac:dyDescent="0.25">
      <c r="B60" s="37"/>
      <c r="C60" s="37"/>
      <c r="D60" s="37"/>
      <c r="E60" s="245"/>
      <c r="F60" s="37"/>
      <c r="G60" s="37"/>
      <c r="H60" s="37"/>
      <c r="J60" s="37"/>
      <c r="K60" s="37"/>
      <c r="L60" s="37"/>
      <c r="M60" s="29"/>
      <c r="N60" s="29"/>
      <c r="O60" s="29"/>
      <c r="P60" s="29"/>
      <c r="Q60" s="29"/>
    </row>
    <row r="61" spans="2:35" x14ac:dyDescent="0.25">
      <c r="B61" s="37"/>
      <c r="C61" s="37"/>
      <c r="D61" s="37"/>
      <c r="E61" s="37"/>
      <c r="F61" s="37"/>
      <c r="G61" s="37"/>
      <c r="H61" s="37"/>
      <c r="J61" s="37"/>
      <c r="K61" s="37"/>
      <c r="L61" s="37"/>
      <c r="M61" s="29"/>
      <c r="N61" s="29"/>
      <c r="O61" s="29"/>
      <c r="P61" s="29"/>
      <c r="Q61" s="29"/>
    </row>
    <row r="62" spans="2:35" x14ac:dyDescent="0.25">
      <c r="B62" s="37"/>
      <c r="C62" s="37"/>
      <c r="D62" s="37"/>
      <c r="E62" s="37"/>
      <c r="F62" s="37"/>
      <c r="G62" s="37"/>
      <c r="H62" s="37"/>
      <c r="J62" s="37"/>
      <c r="K62" s="37"/>
      <c r="L62" s="37"/>
      <c r="M62" s="29"/>
      <c r="N62" s="29"/>
      <c r="O62" s="29"/>
      <c r="P62" s="29"/>
      <c r="Q62" s="29"/>
    </row>
    <row r="63" spans="2:35" x14ac:dyDescent="0.25">
      <c r="B63" s="37"/>
      <c r="C63" s="37"/>
      <c r="D63" s="37"/>
      <c r="E63" s="37"/>
      <c r="F63" s="37"/>
      <c r="G63" s="37"/>
      <c r="H63" s="37"/>
      <c r="J63" s="37"/>
      <c r="K63" s="37"/>
      <c r="L63" s="37"/>
      <c r="M63" s="29"/>
      <c r="N63" s="29"/>
      <c r="O63" s="29"/>
      <c r="P63" s="29"/>
      <c r="Q63" s="29"/>
    </row>
    <row r="64" spans="2:35" ht="15" customHeight="1" x14ac:dyDescent="0.25">
      <c r="B64" s="37"/>
      <c r="C64" s="37"/>
      <c r="D64" s="37"/>
      <c r="E64" s="37"/>
      <c r="F64" s="37"/>
      <c r="G64" s="37"/>
      <c r="H64" s="37"/>
      <c r="J64" s="37"/>
      <c r="K64" s="37"/>
      <c r="L64" s="37"/>
      <c r="M64" s="29"/>
      <c r="N64" s="29"/>
      <c r="O64" s="29"/>
      <c r="P64" s="29"/>
      <c r="Q64" s="29"/>
    </row>
    <row r="65" spans="1:34" x14ac:dyDescent="0.25">
      <c r="B65" s="29"/>
      <c r="C65" s="29"/>
      <c r="D65" s="29"/>
      <c r="E65" s="29"/>
      <c r="F65" s="29"/>
      <c r="G65" s="29"/>
      <c r="H65" s="29"/>
      <c r="I65" s="29"/>
      <c r="J65" s="29"/>
      <c r="K65" s="29"/>
      <c r="L65" s="29"/>
      <c r="M65" s="29"/>
      <c r="N65" s="29"/>
      <c r="O65" s="29"/>
      <c r="P65" s="29"/>
      <c r="Q65" s="29"/>
    </row>
    <row r="66" spans="1:34" x14ac:dyDescent="0.25">
      <c r="B66" s="29"/>
      <c r="C66" s="29"/>
      <c r="D66" s="29"/>
      <c r="E66" s="29"/>
      <c r="F66" s="29"/>
      <c r="G66" s="29"/>
      <c r="H66" s="29"/>
      <c r="I66" s="29"/>
      <c r="J66" s="29"/>
      <c r="K66" s="29"/>
      <c r="L66"/>
      <c r="N66" s="29"/>
      <c r="O66" s="29"/>
      <c r="P66" s="29"/>
      <c r="Q66" s="29"/>
    </row>
    <row r="67" spans="1:34" s="548" customFormat="1" ht="18.600000000000001" customHeight="1" x14ac:dyDescent="0.3">
      <c r="A67" s="544"/>
      <c r="B67" s="544"/>
      <c r="C67" s="544"/>
      <c r="D67" s="545" t="s">
        <v>370</v>
      </c>
      <c r="E67" s="546">
        <f>U39</f>
        <v>0.16999999999999998</v>
      </c>
      <c r="G67" s="544"/>
      <c r="H67" s="544"/>
      <c r="I67" s="544"/>
      <c r="J67" s="544"/>
      <c r="K67" s="544"/>
      <c r="L67" s="545" t="s">
        <v>370</v>
      </c>
      <c r="M67" s="549">
        <f>(AE21+AE22)/1000000</f>
        <v>12.108599999999999</v>
      </c>
      <c r="N67" s="550" t="s">
        <v>1149</v>
      </c>
      <c r="O67" s="547"/>
      <c r="P67" s="547"/>
      <c r="Q67" s="547"/>
      <c r="R67" s="547"/>
      <c r="AG67" s="547"/>
      <c r="AH67" s="547"/>
    </row>
    <row r="68" spans="1:34" x14ac:dyDescent="0.25">
      <c r="B68" s="37"/>
      <c r="C68" s="37"/>
      <c r="D68" s="37"/>
      <c r="E68" s="37"/>
      <c r="F68" s="37"/>
      <c r="G68" s="37"/>
      <c r="H68" s="37"/>
      <c r="J68" s="37"/>
      <c r="K68" s="37"/>
      <c r="L68" s="37"/>
      <c r="M68" s="29"/>
      <c r="N68" s="29"/>
      <c r="O68" s="29"/>
      <c r="P68" s="29"/>
      <c r="Q68" s="29"/>
    </row>
    <row r="69" spans="1:34" ht="15" customHeight="1" x14ac:dyDescent="0.25">
      <c r="B69" s="37"/>
      <c r="C69" s="37"/>
      <c r="D69" s="37"/>
      <c r="E69" s="37"/>
      <c r="F69" s="37"/>
      <c r="G69" s="37"/>
      <c r="H69" s="37"/>
      <c r="J69" s="37"/>
      <c r="K69" s="37"/>
      <c r="L69" s="37"/>
      <c r="M69" s="29"/>
      <c r="N69" s="29"/>
      <c r="O69" s="29"/>
      <c r="P69" s="29"/>
      <c r="Q69" s="29"/>
    </row>
    <row r="70" spans="1:34" x14ac:dyDescent="0.25">
      <c r="B70" s="37"/>
      <c r="C70" s="37"/>
      <c r="D70" s="37"/>
      <c r="E70" s="37"/>
      <c r="F70" s="37"/>
      <c r="G70" s="37"/>
      <c r="H70" s="37"/>
      <c r="J70" s="37"/>
      <c r="K70" s="37"/>
      <c r="L70" s="37"/>
      <c r="M70" s="29"/>
      <c r="N70" s="29"/>
      <c r="O70" s="29"/>
      <c r="P70" s="29"/>
      <c r="Q70" s="29"/>
    </row>
    <row r="71" spans="1:34" ht="15" customHeight="1" x14ac:dyDescent="0.25">
      <c r="B71" s="37"/>
      <c r="C71" s="37"/>
      <c r="D71" s="37"/>
      <c r="E71" s="37"/>
      <c r="F71" s="37"/>
      <c r="G71" s="37"/>
      <c r="H71" s="37"/>
      <c r="J71" s="37"/>
      <c r="K71" s="37"/>
      <c r="L71" s="37"/>
      <c r="M71" s="29"/>
      <c r="N71" s="29"/>
      <c r="O71" s="29"/>
      <c r="P71" s="29"/>
      <c r="Q71" s="29"/>
    </row>
    <row r="73" spans="1:34" ht="15" customHeight="1" x14ac:dyDescent="0.25"/>
  </sheetData>
  <mergeCells count="36">
    <mergeCell ref="AB18:AC18"/>
    <mergeCell ref="AB19:AC19"/>
    <mergeCell ref="AB20:AC20"/>
    <mergeCell ref="W40:W42"/>
    <mergeCell ref="X40:X42"/>
    <mergeCell ref="Z36:Z37"/>
    <mergeCell ref="Z40:Z41"/>
    <mergeCell ref="W36:W38"/>
    <mergeCell ref="X36:X38"/>
    <mergeCell ref="Y27:Y28"/>
    <mergeCell ref="X27:X28"/>
    <mergeCell ref="W27:W28"/>
    <mergeCell ref="AB5:AC5"/>
    <mergeCell ref="AB35:AC36"/>
    <mergeCell ref="AB24:AC25"/>
    <mergeCell ref="S5:S11"/>
    <mergeCell ref="AB6:AC6"/>
    <mergeCell ref="AB7:AC7"/>
    <mergeCell ref="AB8:AC8"/>
    <mergeCell ref="AB9:AC9"/>
    <mergeCell ref="AB10:AC10"/>
    <mergeCell ref="AB11:AC11"/>
    <mergeCell ref="AB12:AC12"/>
    <mergeCell ref="AB13:AC13"/>
    <mergeCell ref="AB14:AC14"/>
    <mergeCell ref="AB15:AC15"/>
    <mergeCell ref="AB16:AC16"/>
    <mergeCell ref="AB17:AC17"/>
    <mergeCell ref="S40:S43"/>
    <mergeCell ref="S36:S39"/>
    <mergeCell ref="U27:U28"/>
    <mergeCell ref="S26:S28"/>
    <mergeCell ref="V14:V15"/>
    <mergeCell ref="U16:U17"/>
    <mergeCell ref="S12:S25"/>
    <mergeCell ref="V27:V28"/>
  </mergeCells>
  <printOptions horizontalCentered="1" verticalCentered="1"/>
  <pageMargins left="0.5" right="0.5" top="0.5" bottom="0.5" header="0.3" footer="0.3"/>
  <pageSetup scale="43" orientation="landscape" r:id="rId1"/>
  <headerFooter>
    <oddHeader>&amp;R&amp;D</oddHeader>
    <oddFooter>&amp;L&amp;F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F046B-5AFF-4850-B2E2-EEF4221D6FE3}">
  <sheetPr codeName="Sheet10"/>
  <dimension ref="A1:S18"/>
  <sheetViews>
    <sheetView workbookViewId="0">
      <selection activeCell="R18" sqref="R18"/>
    </sheetView>
  </sheetViews>
  <sheetFormatPr defaultRowHeight="15" x14ac:dyDescent="0.25"/>
  <cols>
    <col min="1" max="1" width="3" customWidth="1"/>
    <col min="3" max="3" width="18.28515625" customWidth="1"/>
    <col min="4" max="4" width="10.140625" bestFit="1" customWidth="1"/>
    <col min="6" max="6" width="11.140625" customWidth="1"/>
    <col min="7" max="7" width="10.85546875" customWidth="1"/>
    <col min="8" max="8" width="11.28515625" customWidth="1"/>
  </cols>
  <sheetData>
    <row r="1" spans="1:19" x14ac:dyDescent="0.25">
      <c r="C1" t="s">
        <v>1015</v>
      </c>
    </row>
    <row r="3" spans="1:19" ht="124.5" x14ac:dyDescent="0.25">
      <c r="A3" s="451"/>
      <c r="B3" s="451"/>
      <c r="C3" s="451"/>
      <c r="D3" s="451" t="s">
        <v>1016</v>
      </c>
      <c r="E3" s="451" t="s">
        <v>1017</v>
      </c>
      <c r="F3" s="451" t="s">
        <v>1018</v>
      </c>
      <c r="G3" s="451" t="s">
        <v>1019</v>
      </c>
      <c r="H3" s="451" t="s">
        <v>1020</v>
      </c>
      <c r="I3" s="451" t="s">
        <v>1021</v>
      </c>
      <c r="J3" s="451" t="s">
        <v>1022</v>
      </c>
      <c r="K3" s="451" t="s">
        <v>1023</v>
      </c>
      <c r="L3" s="451"/>
      <c r="M3" s="451" t="s">
        <v>1024</v>
      </c>
      <c r="N3" s="451" t="s">
        <v>1025</v>
      </c>
      <c r="O3" s="451"/>
      <c r="P3" s="451" t="s">
        <v>1026</v>
      </c>
      <c r="Q3" s="451" t="s">
        <v>1027</v>
      </c>
      <c r="R3" s="451"/>
      <c r="S3" s="451"/>
    </row>
    <row r="4" spans="1:19" x14ac:dyDescent="0.25">
      <c r="B4" t="s">
        <v>386</v>
      </c>
      <c r="C4" t="s">
        <v>1028</v>
      </c>
      <c r="D4" s="320">
        <f>Run!AU22</f>
        <v>31574.486864967366</v>
      </c>
      <c r="E4" s="452">
        <v>0</v>
      </c>
      <c r="F4" s="371">
        <f>Run!AV22</f>
        <v>1978.7393953708568</v>
      </c>
      <c r="G4" s="453">
        <f>Summary!V39</f>
        <v>5.7000000000000002E-2</v>
      </c>
      <c r="H4" s="320">
        <f>Run!AY22</f>
        <v>33527.611974623942</v>
      </c>
      <c r="I4" s="392">
        <f>Run!BA22</f>
        <v>9.2999999999999999E-2</v>
      </c>
    </row>
    <row r="5" spans="1:19" x14ac:dyDescent="0.25">
      <c r="C5" t="s">
        <v>1029</v>
      </c>
      <c r="D5" s="47">
        <f>(H5-F5)*(1-E4)</f>
        <v>31616.538092070376</v>
      </c>
      <c r="E5" s="452"/>
      <c r="F5" s="98">
        <f>H4*G4</f>
        <v>1911.0738825535648</v>
      </c>
      <c r="G5" s="454">
        <f>F4/H4</f>
        <v>5.9018202574895762E-2</v>
      </c>
      <c r="H5" s="47">
        <f>K5-J5</f>
        <v>33527.611974623942</v>
      </c>
      <c r="J5" s="47">
        <f>K5*I4</f>
        <v>3437.7816026902165</v>
      </c>
      <c r="K5" s="47">
        <f>H4/(1-I4)</f>
        <v>36965.393577314157</v>
      </c>
      <c r="M5" s="47">
        <f>F5+J5</f>
        <v>5348.855485243781</v>
      </c>
      <c r="N5" s="454">
        <f>M5/K5</f>
        <v>0.14469899999999999</v>
      </c>
    </row>
    <row r="6" spans="1:19" x14ac:dyDescent="0.25">
      <c r="N6" s="452"/>
    </row>
    <row r="7" spans="1:19" x14ac:dyDescent="0.25">
      <c r="C7" t="s">
        <v>384</v>
      </c>
      <c r="D7" s="320">
        <f>D4*(Summary!W29/Summary!U29)</f>
        <v>78702.288093599374</v>
      </c>
      <c r="E7" s="452">
        <f>$E$4</f>
        <v>0</v>
      </c>
      <c r="F7" s="47">
        <f>H7*G7</f>
        <v>4757.1902665272164</v>
      </c>
      <c r="G7" s="452">
        <f>$G$4</f>
        <v>5.7000000000000002E-2</v>
      </c>
      <c r="H7" s="47">
        <f>D7/(1-E7)/(1-G7)</f>
        <v>83459.478360126595</v>
      </c>
      <c r="I7" s="452">
        <f>$I$4</f>
        <v>9.2999999999999999E-2</v>
      </c>
      <c r="J7" s="47">
        <f>K7*I7</f>
        <v>8557.587086539992</v>
      </c>
      <c r="K7" s="47">
        <f>H7/(1-I7)</f>
        <v>92017.065446666587</v>
      </c>
      <c r="M7" s="47">
        <f>F7+J7</f>
        <v>13314.777353067209</v>
      </c>
      <c r="N7" s="454">
        <f>M7/K7</f>
        <v>0.14469900000000002</v>
      </c>
      <c r="P7" s="455">
        <f>Summary!U39</f>
        <v>0.16999999999999998</v>
      </c>
      <c r="Q7" s="452">
        <f>(P7-I7)/(1-I7)</f>
        <v>8.4895259095920592E-2</v>
      </c>
    </row>
    <row r="8" spans="1:19" x14ac:dyDescent="0.25">
      <c r="C8" t="s">
        <v>1030</v>
      </c>
      <c r="D8" s="320">
        <f>D4*(Summary!X29/Summary!U29)</f>
        <v>158308.82898433492</v>
      </c>
      <c r="E8" s="452">
        <f t="shared" ref="E8:E9" si="0">$E$4</f>
        <v>0</v>
      </c>
      <c r="F8" s="47">
        <f t="shared" ref="F8" si="1">H8*G8</f>
        <v>53579.316732065752</v>
      </c>
      <c r="G8" s="452">
        <f>AVERAGE(G7,G9)</f>
        <v>0.25286604189636164</v>
      </c>
      <c r="H8" s="47">
        <f t="shared" ref="H8" si="2">D8/(1-E8)/(1-G8)</f>
        <v>211888.14571640067</v>
      </c>
      <c r="I8" s="452">
        <f t="shared" ref="I8:I9" si="3">$I$4</f>
        <v>9.2999999999999999E-2</v>
      </c>
      <c r="J8" s="47">
        <f t="shared" ref="J8:J9" si="4">K8*I8</f>
        <v>21726.127399807345</v>
      </c>
      <c r="K8" s="47">
        <f t="shared" ref="K8:K9" si="5">H8/(1-I8)</f>
        <v>233614.273116208</v>
      </c>
      <c r="M8" s="47">
        <f>F8+J8</f>
        <v>75305.444131873097</v>
      </c>
      <c r="N8" s="454">
        <f>M8/K8</f>
        <v>0.32234950000000001</v>
      </c>
      <c r="P8" s="455">
        <f>(P9+P7)/2</f>
        <v>0.33499999999999996</v>
      </c>
      <c r="Q8" s="452">
        <f>(P8-I8)/(1-I8)</f>
        <v>0.26681367144432189</v>
      </c>
    </row>
    <row r="9" spans="1:19" x14ac:dyDescent="0.25">
      <c r="C9" t="s">
        <v>383</v>
      </c>
      <c r="D9" s="320">
        <f>D4*(Summary!Y29/Summary!U29)</f>
        <v>238206.02255986421</v>
      </c>
      <c r="E9" s="452">
        <f t="shared" si="0"/>
        <v>0</v>
      </c>
      <c r="F9" s="47">
        <f>H9*G9</f>
        <v>193899.70236372951</v>
      </c>
      <c r="G9" s="456">
        <f>(P9-I9)/(1-I9)</f>
        <v>0.44873208379272328</v>
      </c>
      <c r="H9" s="47">
        <f>D9/(1-E9)/(1-G9)</f>
        <v>432105.72492359375</v>
      </c>
      <c r="I9" s="452">
        <f t="shared" si="3"/>
        <v>9.2999999999999999E-2</v>
      </c>
      <c r="J9" s="47">
        <f t="shared" si="4"/>
        <v>44306.320196134751</v>
      </c>
      <c r="K9" s="47">
        <f t="shared" si="5"/>
        <v>476412.04511972849</v>
      </c>
      <c r="M9" s="47">
        <f>F9+J9</f>
        <v>238206.02255986427</v>
      </c>
      <c r="N9" s="454">
        <f>M9/K9</f>
        <v>0.50000000000000011</v>
      </c>
      <c r="P9" s="455">
        <v>0.5</v>
      </c>
      <c r="Q9" s="452">
        <f>(P9-I9)/(1-I9)</f>
        <v>0.44873208379272328</v>
      </c>
    </row>
    <row r="11" spans="1:19" x14ac:dyDescent="0.25">
      <c r="F11" s="47"/>
    </row>
    <row r="12" spans="1:19" ht="124.5" x14ac:dyDescent="0.25">
      <c r="A12" s="457"/>
      <c r="B12" s="457"/>
      <c r="C12" s="457"/>
      <c r="D12" s="457" t="s">
        <v>1031</v>
      </c>
      <c r="E12" s="451" t="s">
        <v>1023</v>
      </c>
      <c r="F12" s="451" t="s">
        <v>1021</v>
      </c>
      <c r="G12" s="451" t="s">
        <v>1022</v>
      </c>
      <c r="H12" s="457" t="s">
        <v>1032</v>
      </c>
      <c r="I12" s="451" t="s">
        <v>1020</v>
      </c>
      <c r="J12" s="451" t="s">
        <v>1019</v>
      </c>
      <c r="K12" s="451" t="s">
        <v>1018</v>
      </c>
      <c r="L12" s="451" t="s">
        <v>1017</v>
      </c>
      <c r="M12" s="451" t="s">
        <v>1033</v>
      </c>
      <c r="N12" s="457"/>
      <c r="O12" s="451" t="s">
        <v>1024</v>
      </c>
      <c r="P12" s="451" t="s">
        <v>1025</v>
      </c>
      <c r="Q12" s="451"/>
      <c r="R12" s="451" t="s">
        <v>1026</v>
      </c>
      <c r="S12" s="451" t="s">
        <v>1027</v>
      </c>
    </row>
    <row r="13" spans="1:19" x14ac:dyDescent="0.25">
      <c r="B13" t="s">
        <v>44</v>
      </c>
      <c r="C13" t="s">
        <v>1028</v>
      </c>
      <c r="D13" s="320">
        <v>19000000</v>
      </c>
      <c r="F13">
        <f>Run!BD39</f>
        <v>0.19110885048310686</v>
      </c>
      <c r="I13" s="320">
        <f>Run!AX75</f>
        <v>374123.88590102707</v>
      </c>
      <c r="J13" s="458">
        <f>Run!BA39</f>
        <v>0.4271257154282373</v>
      </c>
      <c r="K13" s="459"/>
      <c r="L13" s="458">
        <f>E4</f>
        <v>0</v>
      </c>
      <c r="M13" s="459"/>
    </row>
    <row r="14" spans="1:19" x14ac:dyDescent="0.25">
      <c r="C14" t="s">
        <v>1029</v>
      </c>
      <c r="E14" s="47">
        <f>I13/(1-F13)</f>
        <v>462514.50040524121</v>
      </c>
      <c r="G14" s="47">
        <f>E14*F13</f>
        <v>88390.614504214114</v>
      </c>
      <c r="H14" s="460">
        <f>I13/(D13+0.0000000001)</f>
        <v>1.969073083689616E-2</v>
      </c>
      <c r="I14" s="47">
        <f>D13*H14</f>
        <v>374123.88590102707</v>
      </c>
      <c r="K14" s="47">
        <f>I13*J13</f>
        <v>159797.93242426839</v>
      </c>
      <c r="M14" s="47">
        <f>I13*(1-J13)*(1-L13)</f>
        <v>214325.95347675867</v>
      </c>
      <c r="O14" s="47">
        <f>K14+G14</f>
        <v>248188.54692848251</v>
      </c>
      <c r="P14" s="454">
        <f>O14/(E14+0.0000000001)</f>
        <v>0.53660706142407888</v>
      </c>
      <c r="R14" s="456">
        <f>Summary!U43</f>
        <v>0.53200000000000003</v>
      </c>
    </row>
    <row r="15" spans="1:19" x14ac:dyDescent="0.25">
      <c r="P15" s="452"/>
    </row>
    <row r="16" spans="1:19" x14ac:dyDescent="0.25">
      <c r="C16" t="s">
        <v>384</v>
      </c>
      <c r="D16" s="320">
        <v>19000000</v>
      </c>
      <c r="E16" s="47">
        <f>I16/(1-F16)</f>
        <v>462514.50040524121</v>
      </c>
      <c r="F16">
        <f>F$13</f>
        <v>0.19110885048310686</v>
      </c>
      <c r="G16" s="47">
        <f>E16*F16</f>
        <v>88390.614504214114</v>
      </c>
      <c r="H16" s="460">
        <f>H$14</f>
        <v>1.969073083689616E-2</v>
      </c>
      <c r="I16" s="47">
        <f>D16*H16</f>
        <v>374123.88590102707</v>
      </c>
      <c r="J16" s="461">
        <f t="shared" ref="J16:J17" si="6">(R16-F16)/(1-F16)</f>
        <v>0.42143018837638285</v>
      </c>
      <c r="K16" s="47">
        <f>J16*I16</f>
        <v>157667.09971137421</v>
      </c>
      <c r="L16" s="460">
        <f t="shared" ref="L16:L18" si="7">L$13</f>
        <v>0</v>
      </c>
      <c r="M16" s="47">
        <f>I16*(1-J16)*(1-L16)</f>
        <v>216456.78618965283</v>
      </c>
      <c r="O16" s="47">
        <f t="shared" ref="O16:O18" si="8">K16+G16</f>
        <v>246057.71421558832</v>
      </c>
      <c r="P16" s="454">
        <f t="shared" ref="P16:P18" si="9">O16/(E16+0.0000000001)</f>
        <v>0.53199999999999981</v>
      </c>
      <c r="R16" s="456">
        <f>P7+(R14-P7)</f>
        <v>0.53200000000000003</v>
      </c>
      <c r="S16">
        <f>P7*(R14/P7)</f>
        <v>0.53200000000000003</v>
      </c>
    </row>
    <row r="17" spans="3:19" x14ac:dyDescent="0.25">
      <c r="C17" t="s">
        <v>1030</v>
      </c>
      <c r="D17" s="320">
        <v>19000000</v>
      </c>
      <c r="E17" s="47">
        <f t="shared" ref="E17:E18" si="10">I17/(1-F17)</f>
        <v>462514.50040524121</v>
      </c>
      <c r="F17">
        <f t="shared" ref="F17:F18" si="11">F$13</f>
        <v>0.19110885048310686</v>
      </c>
      <c r="G17" s="47">
        <f t="shared" ref="G17:G18" si="12">E17*F17</f>
        <v>88390.614504214114</v>
      </c>
      <c r="H17" s="460">
        <f t="shared" ref="H17:H18" si="13">H$14</f>
        <v>1.969073083689616E-2</v>
      </c>
      <c r="I17" s="47">
        <f t="shared" ref="I17:I18" si="14">D17*H17</f>
        <v>374123.88590102707</v>
      </c>
      <c r="J17" s="461">
        <f t="shared" si="6"/>
        <v>0.52527605200113459</v>
      </c>
      <c r="K17" s="47">
        <f t="shared" ref="K17:K18" si="15">J17*I17</f>
        <v>196518.31774541445</v>
      </c>
      <c r="L17" s="460">
        <f t="shared" si="7"/>
        <v>0</v>
      </c>
      <c r="M17" s="47">
        <f t="shared" ref="M17:M18" si="16">I17*(1-J17)*(1-L17)</f>
        <v>177605.56815561262</v>
      </c>
      <c r="O17" s="47">
        <f t="shared" si="8"/>
        <v>284908.93224962859</v>
      </c>
      <c r="P17" s="454">
        <f t="shared" si="9"/>
        <v>0.61599999999999988</v>
      </c>
      <c r="R17" s="456">
        <f>(R16+R18)/2</f>
        <v>0.61599999999999999</v>
      </c>
      <c r="S17">
        <f>P8*(R14/P7)</f>
        <v>1.0483529411764707</v>
      </c>
    </row>
    <row r="18" spans="3:19" x14ac:dyDescent="0.25">
      <c r="C18" t="s">
        <v>383</v>
      </c>
      <c r="D18" s="320">
        <v>19000000</v>
      </c>
      <c r="E18" s="47">
        <f t="shared" si="10"/>
        <v>462514.50040524121</v>
      </c>
      <c r="F18">
        <f t="shared" si="11"/>
        <v>0.19110885048310686</v>
      </c>
      <c r="G18" s="47">
        <f t="shared" si="12"/>
        <v>88390.614504214114</v>
      </c>
      <c r="H18" s="460">
        <f t="shared" si="13"/>
        <v>1.969073083689616E-2</v>
      </c>
      <c r="I18" s="47">
        <f t="shared" si="14"/>
        <v>374123.88590102707</v>
      </c>
      <c r="J18" s="461">
        <f>(R18-F18)/(1-F18)</f>
        <v>0.62912191562588637</v>
      </c>
      <c r="K18" s="47">
        <f t="shared" si="15"/>
        <v>235369.53577945469</v>
      </c>
      <c r="L18" s="460">
        <f t="shared" si="7"/>
        <v>0</v>
      </c>
      <c r="M18" s="47">
        <f t="shared" si="16"/>
        <v>138754.35012157238</v>
      </c>
      <c r="O18" s="47">
        <f t="shared" si="8"/>
        <v>323760.15028366877</v>
      </c>
      <c r="P18" s="454">
        <f t="shared" si="9"/>
        <v>0.69999999999999962</v>
      </c>
      <c r="R18" s="456">
        <v>0.7</v>
      </c>
      <c r="S18">
        <f>P9*(R14/P7)</f>
        <v>1.5647058823529414</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2:BX65"/>
  <sheetViews>
    <sheetView zoomScale="101" zoomScaleNormal="100" workbookViewId="0"/>
  </sheetViews>
  <sheetFormatPr defaultRowHeight="15" x14ac:dyDescent="0.25"/>
  <cols>
    <col min="2" max="2" width="9.140625" customWidth="1"/>
    <col min="3" max="3" width="8.140625" customWidth="1"/>
    <col min="4" max="4" width="11.42578125" customWidth="1"/>
    <col min="5" max="5" width="2.7109375" customWidth="1"/>
    <col min="6" max="6" width="11.85546875" customWidth="1"/>
    <col min="7" max="7" width="12.140625" customWidth="1"/>
    <col min="9" max="9" width="2.7109375" customWidth="1"/>
    <col min="10" max="10" width="10.7109375" customWidth="1"/>
    <col min="11" max="11" width="11.5703125" customWidth="1"/>
    <col min="12" max="12" width="10.5703125" customWidth="1"/>
    <col min="18" max="18" width="12.28515625" customWidth="1"/>
    <col min="20" max="20" width="11" customWidth="1"/>
    <col min="21" max="21" width="2.7109375" customWidth="1"/>
    <col min="22" max="22" width="12.5703125" customWidth="1"/>
    <col min="23" max="23" width="11.7109375" customWidth="1"/>
    <col min="24" max="24" width="2.7109375" customWidth="1"/>
    <col min="25" max="25" width="11.28515625" customWidth="1"/>
    <col min="26" max="26" width="10.7109375" customWidth="1"/>
    <col min="27" max="27" width="11" customWidth="1"/>
    <col min="28" max="28" width="2.7109375" customWidth="1"/>
    <col min="29" max="29" width="10.42578125" customWidth="1"/>
    <col min="30" max="30" width="11.28515625" customWidth="1"/>
    <col min="31" max="31" width="13.42578125" customWidth="1"/>
    <col min="32" max="32" width="2.7109375" customWidth="1"/>
    <col min="33" max="33" width="10.85546875" customWidth="1"/>
    <col min="34" max="34" width="11.28515625" customWidth="1"/>
    <col min="35" max="35" width="10.28515625" customWidth="1"/>
    <col min="36" max="36" width="9.140625" customWidth="1"/>
    <col min="39" max="39" width="10.42578125" customWidth="1"/>
    <col min="40" max="40" width="10.140625" customWidth="1"/>
    <col min="41" max="41" width="11.85546875" customWidth="1"/>
    <col min="42" max="42" width="11" customWidth="1"/>
    <col min="43" max="43" width="10.85546875" customWidth="1"/>
    <col min="44" max="44" width="15.85546875" customWidth="1"/>
    <col min="46" max="46" width="7.7109375" customWidth="1"/>
    <col min="48" max="48" width="11.5703125" customWidth="1"/>
    <col min="49" max="49" width="11" customWidth="1"/>
    <col min="50" max="50" width="11.140625" customWidth="1"/>
    <col min="51" max="51" width="12.42578125" customWidth="1"/>
    <col min="55" max="55" width="12" customWidth="1"/>
    <col min="56" max="56" width="12.5703125" customWidth="1"/>
    <col min="58" max="58" width="2.7109375" customWidth="1"/>
    <col min="59" max="59" width="12" customWidth="1"/>
    <col min="60" max="60" width="12.5703125" customWidth="1"/>
    <col min="62" max="62" width="2.7109375" customWidth="1"/>
    <col min="63" max="63" width="11" customWidth="1"/>
    <col min="64" max="64" width="11.85546875" customWidth="1"/>
    <col min="65" max="66" width="11" customWidth="1"/>
    <col min="67" max="67" width="2.7109375" customWidth="1"/>
    <col min="68" max="68" width="10.5703125" customWidth="1"/>
    <col min="69" max="71" width="11" customWidth="1"/>
    <col min="72" max="72" width="10.140625" customWidth="1"/>
    <col min="73" max="74" width="10.85546875" customWidth="1"/>
  </cols>
  <sheetData>
    <row r="2" spans="1:76" ht="15.75" thickBot="1" x14ac:dyDescent="0.3">
      <c r="A2" t="s">
        <v>792</v>
      </c>
      <c r="B2" t="s">
        <v>792</v>
      </c>
    </row>
    <row r="3" spans="1:76" ht="15.75" customHeight="1" thickBot="1" x14ac:dyDescent="0.3">
      <c r="AK3" s="767" t="s">
        <v>804</v>
      </c>
      <c r="AL3" s="768"/>
      <c r="AM3" s="768"/>
      <c r="AN3" s="768"/>
      <c r="AO3" s="768"/>
      <c r="AP3" s="768"/>
      <c r="AQ3" s="768"/>
      <c r="AR3" s="769"/>
      <c r="AT3" s="767" t="s">
        <v>807</v>
      </c>
      <c r="AU3" s="768"/>
      <c r="AV3" s="768"/>
      <c r="AW3" s="768"/>
      <c r="AX3" s="768"/>
      <c r="AY3" s="769"/>
      <c r="AZ3" s="17"/>
      <c r="BA3" s="17"/>
      <c r="BB3" s="17"/>
      <c r="BX3" s="17"/>
    </row>
    <row r="4" spans="1:76" ht="15.75" thickBot="1" x14ac:dyDescent="0.3">
      <c r="B4" s="434" t="s">
        <v>806</v>
      </c>
      <c r="C4" s="435"/>
      <c r="D4" s="435"/>
      <c r="E4" s="435"/>
      <c r="F4" s="435"/>
      <c r="G4" s="435"/>
      <c r="H4" s="435"/>
      <c r="I4" s="435"/>
      <c r="J4" s="435"/>
      <c r="K4" s="435"/>
      <c r="L4" s="435"/>
      <c r="M4" s="435"/>
      <c r="N4" s="436"/>
      <c r="P4" s="774" t="s">
        <v>805</v>
      </c>
      <c r="Q4" s="775"/>
      <c r="R4" s="775"/>
      <c r="S4" s="775"/>
      <c r="T4" s="775"/>
      <c r="U4" s="775"/>
      <c r="V4" s="775"/>
      <c r="W4" s="775"/>
      <c r="X4" s="775"/>
      <c r="Y4" s="775"/>
      <c r="Z4" s="775"/>
      <c r="AA4" s="775"/>
      <c r="AB4" s="775"/>
      <c r="AC4" s="775"/>
      <c r="AD4" s="775"/>
      <c r="AE4" s="775"/>
      <c r="AF4" s="775"/>
      <c r="AG4" s="775"/>
      <c r="AH4" s="775"/>
      <c r="AI4" s="776"/>
      <c r="AK4" s="770"/>
      <c r="AL4" s="771"/>
      <c r="AM4" s="771"/>
      <c r="AN4" s="771"/>
      <c r="AO4" s="771"/>
      <c r="AP4" s="771"/>
      <c r="AQ4" s="771"/>
      <c r="AR4" s="772"/>
      <c r="AT4" s="770"/>
      <c r="AU4" s="771"/>
      <c r="AV4" s="771"/>
      <c r="AW4" s="771"/>
      <c r="AX4" s="771"/>
      <c r="AY4" s="772"/>
      <c r="BA4" s="780" t="s">
        <v>816</v>
      </c>
      <c r="BB4" s="781"/>
      <c r="BC4" s="781"/>
      <c r="BD4" s="781"/>
      <c r="BE4" s="781"/>
      <c r="BF4" s="781"/>
      <c r="BG4" s="781"/>
      <c r="BH4" s="781"/>
      <c r="BI4" s="781"/>
      <c r="BJ4" s="781"/>
      <c r="BK4" s="781"/>
      <c r="BL4" s="781"/>
      <c r="BM4" s="781"/>
      <c r="BN4" s="781"/>
      <c r="BO4" s="781"/>
      <c r="BP4" s="781"/>
      <c r="BQ4" s="781"/>
      <c r="BR4" s="781"/>
      <c r="BS4" s="781"/>
      <c r="BT4" s="781"/>
      <c r="BU4" s="781"/>
      <c r="BV4" s="781"/>
      <c r="BW4" s="782"/>
    </row>
    <row r="5" spans="1:76" ht="33" customHeight="1" x14ac:dyDescent="0.25">
      <c r="B5" s="266"/>
      <c r="C5" s="762" t="s">
        <v>387</v>
      </c>
      <c r="D5" s="761" t="s">
        <v>818</v>
      </c>
      <c r="F5" s="763" t="s">
        <v>788</v>
      </c>
      <c r="G5" s="763"/>
      <c r="H5" s="763"/>
      <c r="J5" s="763" t="s">
        <v>784</v>
      </c>
      <c r="K5" s="763"/>
      <c r="L5" s="763"/>
      <c r="M5" s="763"/>
      <c r="N5" s="267"/>
      <c r="P5" s="417"/>
      <c r="Q5" s="418"/>
      <c r="R5" s="761" t="s">
        <v>826</v>
      </c>
      <c r="S5" s="761"/>
      <c r="T5" s="761"/>
      <c r="U5" s="418"/>
      <c r="V5" s="765" t="s">
        <v>825</v>
      </c>
      <c r="W5" s="765"/>
      <c r="X5" s="418"/>
      <c r="Y5" s="773" t="s">
        <v>824</v>
      </c>
      <c r="Z5" s="773"/>
      <c r="AA5" s="773"/>
      <c r="AB5" s="418"/>
      <c r="AC5" s="763" t="s">
        <v>803</v>
      </c>
      <c r="AD5" s="763"/>
      <c r="AE5" s="761" t="s">
        <v>843</v>
      </c>
      <c r="AF5" s="418"/>
      <c r="AG5" s="777" t="s">
        <v>791</v>
      </c>
      <c r="AH5" s="777"/>
      <c r="AI5" s="778"/>
      <c r="AK5" s="266"/>
      <c r="AL5" s="762" t="s">
        <v>387</v>
      </c>
      <c r="AM5" s="761" t="s">
        <v>856</v>
      </c>
      <c r="AN5" s="761" t="s">
        <v>857</v>
      </c>
      <c r="AO5" s="765" t="s">
        <v>858</v>
      </c>
      <c r="AP5" s="765"/>
      <c r="AQ5" s="761" t="s">
        <v>859</v>
      </c>
      <c r="AR5" s="723" t="s">
        <v>866</v>
      </c>
      <c r="AT5" s="266"/>
      <c r="AV5" s="763" t="s">
        <v>867</v>
      </c>
      <c r="AW5" s="763"/>
      <c r="AX5" s="763"/>
      <c r="AY5" s="766"/>
      <c r="BA5" s="266"/>
      <c r="BC5" s="627" t="s">
        <v>810</v>
      </c>
      <c r="BD5" s="627"/>
      <c r="BE5" s="627"/>
      <c r="BF5" s="276"/>
      <c r="BG5" s="627" t="s">
        <v>812</v>
      </c>
      <c r="BH5" s="627"/>
      <c r="BI5" s="627"/>
      <c r="BJ5" s="276"/>
      <c r="BK5" s="783" t="s">
        <v>861</v>
      </c>
      <c r="BL5" s="783"/>
      <c r="BM5" s="783"/>
      <c r="BN5" s="1"/>
      <c r="BO5" s="276"/>
      <c r="BP5" s="654" t="s">
        <v>862</v>
      </c>
      <c r="BQ5" s="654"/>
      <c r="BR5" s="654"/>
      <c r="BS5" s="1"/>
      <c r="BT5" s="651" t="s">
        <v>813</v>
      </c>
      <c r="BU5" s="764" t="s">
        <v>865</v>
      </c>
      <c r="BV5" s="764"/>
      <c r="BW5" s="726" t="s">
        <v>808</v>
      </c>
    </row>
    <row r="6" spans="1:76" ht="45" customHeight="1" x14ac:dyDescent="0.25">
      <c r="B6" s="266"/>
      <c r="C6" s="627"/>
      <c r="D6" s="654"/>
      <c r="F6" s="48" t="s">
        <v>789</v>
      </c>
      <c r="G6" s="48" t="s">
        <v>790</v>
      </c>
      <c r="H6" s="48" t="s">
        <v>10</v>
      </c>
      <c r="J6" s="48" t="s">
        <v>785</v>
      </c>
      <c r="K6" s="48" t="s">
        <v>61</v>
      </c>
      <c r="L6" s="48" t="s">
        <v>786</v>
      </c>
      <c r="M6" s="48" t="s">
        <v>10</v>
      </c>
      <c r="N6" s="267"/>
      <c r="P6" s="266"/>
      <c r="Q6" s="408" t="s">
        <v>387</v>
      </c>
      <c r="R6" s="48" t="s">
        <v>827</v>
      </c>
      <c r="S6" s="48" t="s">
        <v>828</v>
      </c>
      <c r="T6" s="48" t="s">
        <v>829</v>
      </c>
      <c r="U6" s="408"/>
      <c r="V6" s="424" t="s">
        <v>793</v>
      </c>
      <c r="W6" s="424" t="s">
        <v>794</v>
      </c>
      <c r="X6" s="25"/>
      <c r="Y6" s="48" t="s">
        <v>795</v>
      </c>
      <c r="Z6" s="48" t="s">
        <v>796</v>
      </c>
      <c r="AA6" s="48" t="s">
        <v>797</v>
      </c>
      <c r="AB6" s="25"/>
      <c r="AC6" s="48" t="s">
        <v>799</v>
      </c>
      <c r="AD6" s="48" t="s">
        <v>798</v>
      </c>
      <c r="AE6" s="654"/>
      <c r="AF6" s="25"/>
      <c r="AG6" s="48" t="s">
        <v>800</v>
      </c>
      <c r="AH6" s="48" t="s">
        <v>801</v>
      </c>
      <c r="AI6" s="423" t="s">
        <v>802</v>
      </c>
      <c r="AK6" s="266"/>
      <c r="AL6" s="627"/>
      <c r="AM6" s="654"/>
      <c r="AN6" s="654"/>
      <c r="AO6" s="48" t="s">
        <v>785</v>
      </c>
      <c r="AP6" s="48" t="s">
        <v>786</v>
      </c>
      <c r="AQ6" s="654"/>
      <c r="AR6" s="779"/>
      <c r="AT6" s="266"/>
      <c r="AU6" s="408" t="s">
        <v>387</v>
      </c>
      <c r="AV6" s="408" t="s">
        <v>398</v>
      </c>
      <c r="AW6" s="48" t="s">
        <v>61</v>
      </c>
      <c r="AX6" s="426" t="s">
        <v>399</v>
      </c>
      <c r="AY6" s="427" t="s">
        <v>10</v>
      </c>
      <c r="BA6" s="266"/>
      <c r="BB6" s="408" t="s">
        <v>387</v>
      </c>
      <c r="BC6" s="48" t="s">
        <v>485</v>
      </c>
      <c r="BD6" s="48" t="s">
        <v>809</v>
      </c>
      <c r="BE6" s="408" t="s">
        <v>10</v>
      </c>
      <c r="BF6" s="408"/>
      <c r="BG6" s="48" t="s">
        <v>485</v>
      </c>
      <c r="BH6" s="48" t="s">
        <v>809</v>
      </c>
      <c r="BI6" s="408" t="s">
        <v>10</v>
      </c>
      <c r="BJ6" s="408"/>
      <c r="BK6" s="48" t="s">
        <v>10</v>
      </c>
      <c r="BL6" s="48" t="s">
        <v>811</v>
      </c>
      <c r="BM6" s="48" t="s">
        <v>863</v>
      </c>
      <c r="BN6" s="48" t="s">
        <v>791</v>
      </c>
      <c r="BO6" s="48"/>
      <c r="BP6" s="48" t="s">
        <v>10</v>
      </c>
      <c r="BQ6" s="48" t="s">
        <v>811</v>
      </c>
      <c r="BR6" s="48" t="s">
        <v>863</v>
      </c>
      <c r="BS6" s="48" t="s">
        <v>791</v>
      </c>
      <c r="BT6" s="654"/>
      <c r="BU6" s="48" t="s">
        <v>811</v>
      </c>
      <c r="BV6" s="48" t="s">
        <v>863</v>
      </c>
      <c r="BW6" s="779"/>
    </row>
    <row r="7" spans="1:76" ht="60" x14ac:dyDescent="0.25">
      <c r="B7" s="266"/>
      <c r="C7" s="337"/>
      <c r="D7" s="48" t="s">
        <v>990</v>
      </c>
      <c r="E7" s="25"/>
      <c r="F7" s="48" t="s">
        <v>991</v>
      </c>
      <c r="G7" s="48" t="s">
        <v>992</v>
      </c>
      <c r="H7" s="48" t="s">
        <v>780</v>
      </c>
      <c r="I7" s="25"/>
      <c r="J7" s="48" t="s">
        <v>993</v>
      </c>
      <c r="K7" s="48" t="s">
        <v>994</v>
      </c>
      <c r="L7" s="48" t="s">
        <v>995</v>
      </c>
      <c r="M7" s="48" t="s">
        <v>781</v>
      </c>
      <c r="N7" s="423" t="s">
        <v>791</v>
      </c>
      <c r="P7" s="266"/>
      <c r="Q7" s="337"/>
      <c r="R7" s="408" t="s">
        <v>780</v>
      </c>
      <c r="S7" s="408" t="s">
        <v>781</v>
      </c>
      <c r="T7" s="408" t="s">
        <v>782</v>
      </c>
      <c r="U7" s="337"/>
      <c r="V7" s="424" t="s">
        <v>996</v>
      </c>
      <c r="W7" s="424" t="s">
        <v>997</v>
      </c>
      <c r="X7" s="25"/>
      <c r="Y7" s="48" t="s">
        <v>998</v>
      </c>
      <c r="Z7" s="48" t="s">
        <v>999</v>
      </c>
      <c r="AA7" s="424" t="s">
        <v>1000</v>
      </c>
      <c r="AB7" s="25"/>
      <c r="AC7" s="48" t="s">
        <v>1001</v>
      </c>
      <c r="AD7" s="424" t="s">
        <v>1002</v>
      </c>
      <c r="AE7" s="48" t="s">
        <v>783</v>
      </c>
      <c r="AF7" s="25"/>
      <c r="AG7" s="48" t="s">
        <v>1003</v>
      </c>
      <c r="AH7" s="48" t="s">
        <v>1004</v>
      </c>
      <c r="AI7" s="422"/>
      <c r="AK7" s="266"/>
      <c r="AL7" s="406"/>
      <c r="AM7" s="429" t="s">
        <v>780</v>
      </c>
      <c r="AN7" s="429" t="s">
        <v>781</v>
      </c>
      <c r="AO7" s="424" t="s">
        <v>1005</v>
      </c>
      <c r="AP7" s="424" t="s">
        <v>1006</v>
      </c>
      <c r="AQ7" s="429" t="s">
        <v>782</v>
      </c>
      <c r="AR7" s="428" t="s">
        <v>783</v>
      </c>
      <c r="AT7" s="266"/>
      <c r="AU7" s="406"/>
      <c r="AV7" s="424" t="s">
        <v>1007</v>
      </c>
      <c r="AW7" s="424" t="s">
        <v>1008</v>
      </c>
      <c r="AX7" s="424" t="s">
        <v>1009</v>
      </c>
      <c r="AY7" s="428" t="s">
        <v>780</v>
      </c>
      <c r="BA7" s="266"/>
      <c r="BB7" s="406"/>
      <c r="BC7" s="424" t="s">
        <v>1007</v>
      </c>
      <c r="BD7" s="424" t="s">
        <v>1005</v>
      </c>
      <c r="BE7" s="429" t="s">
        <v>780</v>
      </c>
      <c r="BF7" s="430"/>
      <c r="BG7" s="424" t="s">
        <v>1009</v>
      </c>
      <c r="BH7" s="424" t="s">
        <v>1006</v>
      </c>
      <c r="BI7" s="429" t="s">
        <v>781</v>
      </c>
      <c r="BJ7" s="430"/>
      <c r="BK7" s="424" t="s">
        <v>1010</v>
      </c>
      <c r="BL7" s="424" t="s">
        <v>782</v>
      </c>
      <c r="BM7" s="424" t="s">
        <v>783</v>
      </c>
      <c r="BN7" s="424" t="s">
        <v>864</v>
      </c>
      <c r="BO7" s="430"/>
      <c r="BP7" s="424" t="s">
        <v>1011</v>
      </c>
      <c r="BQ7" s="424" t="s">
        <v>787</v>
      </c>
      <c r="BR7" s="424" t="s">
        <v>815</v>
      </c>
      <c r="BS7" s="424" t="s">
        <v>864</v>
      </c>
      <c r="BT7" s="424" t="s">
        <v>1012</v>
      </c>
      <c r="BU7" s="424" t="s">
        <v>880</v>
      </c>
      <c r="BV7" s="424" t="s">
        <v>881</v>
      </c>
      <c r="BW7" s="431" t="s">
        <v>882</v>
      </c>
    </row>
    <row r="8" spans="1:76" x14ac:dyDescent="0.25">
      <c r="B8" s="266"/>
      <c r="C8" s="416">
        <v>1973</v>
      </c>
      <c r="D8" s="47">
        <v>291260</v>
      </c>
      <c r="F8" s="47">
        <v>250</v>
      </c>
      <c r="G8" s="47">
        <v>393</v>
      </c>
      <c r="J8" s="47">
        <v>221126</v>
      </c>
      <c r="K8" s="47">
        <v>7905</v>
      </c>
      <c r="L8" s="47">
        <v>61586</v>
      </c>
      <c r="M8" s="47">
        <f t="shared" ref="M8:M52" si="0">SUM(J8:L8)</f>
        <v>290617</v>
      </c>
      <c r="N8" s="267"/>
      <c r="P8" s="266"/>
      <c r="Q8" s="416">
        <v>1973</v>
      </c>
      <c r="R8" s="416"/>
      <c r="S8" s="416"/>
      <c r="T8" s="416"/>
      <c r="U8" s="416"/>
      <c r="V8" s="47">
        <v>10914.874850090911</v>
      </c>
      <c r="W8" s="47">
        <v>485.12514990908858</v>
      </c>
      <c r="Y8" s="47">
        <v>6801</v>
      </c>
      <c r="Z8" s="47">
        <v>137502</v>
      </c>
      <c r="AA8" s="47">
        <v>39401</v>
      </c>
      <c r="AC8" s="47">
        <v>5431</v>
      </c>
      <c r="AD8" s="47">
        <v>2671</v>
      </c>
      <c r="AE8" s="47">
        <f t="shared" ref="AE8:AE52" si="1">SUM(V8:AD8)</f>
        <v>203206</v>
      </c>
      <c r="AG8" s="47">
        <v>160648.87485009091</v>
      </c>
      <c r="AH8" s="47">
        <v>42557.125149909087</v>
      </c>
      <c r="AI8" s="425"/>
      <c r="AK8" s="266"/>
      <c r="AL8" s="416">
        <v>1973</v>
      </c>
      <c r="AM8" s="47"/>
      <c r="AN8" s="47">
        <f t="shared" ref="AN8:AN52" si="2">M8</f>
        <v>290617</v>
      </c>
      <c r="AO8" s="47">
        <v>24749</v>
      </c>
      <c r="AP8" s="47">
        <v>1100</v>
      </c>
      <c r="AQ8" s="47">
        <f>BV8</f>
        <v>50362.923727993439</v>
      </c>
      <c r="AR8" s="442">
        <f>AN8-AO8-AP8-AQ8</f>
        <v>214405.07627200655</v>
      </c>
      <c r="AT8" s="266"/>
      <c r="AU8" s="416">
        <v>1973</v>
      </c>
      <c r="AV8" s="441">
        <v>48726</v>
      </c>
      <c r="AW8" s="47">
        <v>1104</v>
      </c>
      <c r="AX8" s="47">
        <v>18413.999999999996</v>
      </c>
      <c r="AY8" s="425">
        <f>SUM(AV8:AX8)</f>
        <v>68244</v>
      </c>
      <c r="BA8" s="266"/>
      <c r="BB8" s="416">
        <v>1973</v>
      </c>
      <c r="BC8" s="441">
        <v>48726</v>
      </c>
      <c r="BD8" s="47">
        <v>24749</v>
      </c>
      <c r="BE8" s="47">
        <f t="shared" ref="BE8:BE51" si="3">BC8+BD8</f>
        <v>73475</v>
      </c>
      <c r="BG8" s="47">
        <v>18413.999999999996</v>
      </c>
      <c r="BH8" s="47">
        <v>1100</v>
      </c>
      <c r="BI8" s="47">
        <f t="shared" ref="BI8:BI51" si="4">BG8+BH8</f>
        <v>19513.999999999996</v>
      </c>
      <c r="BK8" s="47">
        <v>142477</v>
      </c>
      <c r="BL8" s="47">
        <f t="shared" ref="BL8:BL51" si="5">BK8*(BC8/BE8)</f>
        <v>94485.66589996597</v>
      </c>
      <c r="BM8" s="47">
        <f>BK8*(BD8/BE8)</f>
        <v>47991.334100034022</v>
      </c>
      <c r="BN8" s="47" t="b">
        <f t="shared" ref="BN8:BN51" si="6">BK8=BL8+BM8</f>
        <v>1</v>
      </c>
      <c r="BP8" s="47">
        <v>42072</v>
      </c>
      <c r="BQ8" s="47">
        <f>BP8*(BG8/BI8)</f>
        <v>39700.410372040584</v>
      </c>
      <c r="BR8" s="47">
        <f>BP8*(BH8/BI8)</f>
        <v>2371.5896279594144</v>
      </c>
      <c r="BS8" s="47" t="b">
        <f t="shared" ref="BS8:BS51" si="7">BP8=BQ8+BR8</f>
        <v>1</v>
      </c>
      <c r="BT8" s="47">
        <v>6801</v>
      </c>
      <c r="BU8" s="47">
        <f>BL8+BQ8+BT8</f>
        <v>140987.07627200655</v>
      </c>
      <c r="BV8" s="47">
        <f>BM8+BR8</f>
        <v>50362.923727993439</v>
      </c>
      <c r="BW8" s="267"/>
    </row>
    <row r="9" spans="1:76" x14ac:dyDescent="0.25">
      <c r="B9" s="266"/>
      <c r="C9" s="416">
        <v>1974</v>
      </c>
      <c r="D9" s="47">
        <v>460810</v>
      </c>
      <c r="F9" s="47">
        <v>95</v>
      </c>
      <c r="G9" s="47">
        <v>806</v>
      </c>
      <c r="J9" s="47">
        <v>271105</v>
      </c>
      <c r="K9" s="47">
        <v>11347</v>
      </c>
      <c r="L9" s="47">
        <v>177457</v>
      </c>
      <c r="M9" s="47">
        <f t="shared" si="0"/>
        <v>459909</v>
      </c>
      <c r="N9" s="267"/>
      <c r="P9" s="266"/>
      <c r="Q9" s="416">
        <v>1974</v>
      </c>
      <c r="R9" s="416"/>
      <c r="S9" s="416"/>
      <c r="T9" s="416"/>
      <c r="U9" s="416"/>
      <c r="V9" s="47">
        <v>5699.2406264831516</v>
      </c>
      <c r="W9" s="47">
        <v>1200.7593735168484</v>
      </c>
      <c r="Y9" s="47">
        <v>9112</v>
      </c>
      <c r="Z9" s="47">
        <v>110986</v>
      </c>
      <c r="AA9" s="47">
        <v>140897</v>
      </c>
      <c r="AC9" s="47">
        <v>12012</v>
      </c>
      <c r="AD9" s="47">
        <v>2071</v>
      </c>
      <c r="AE9" s="47">
        <f t="shared" si="1"/>
        <v>281978</v>
      </c>
      <c r="AG9" s="47">
        <v>137809.24062648317</v>
      </c>
      <c r="AH9" s="47">
        <v>144168.75937351683</v>
      </c>
      <c r="AI9" s="425"/>
      <c r="AK9" s="266"/>
      <c r="AL9" s="416">
        <v>1974</v>
      </c>
      <c r="AM9" s="47"/>
      <c r="AN9" s="47">
        <f t="shared" si="2"/>
        <v>459909</v>
      </c>
      <c r="AO9" s="47">
        <v>26105</v>
      </c>
      <c r="AP9" s="47">
        <v>5500</v>
      </c>
      <c r="AQ9" s="47">
        <f t="shared" ref="AQ9:AQ52" si="8">BV9</f>
        <v>44364.361583673242</v>
      </c>
      <c r="AR9" s="425">
        <f t="shared" ref="AR9:AR52" si="9">AN9-AO9-AP9-AQ9</f>
        <v>383939.63841632678</v>
      </c>
      <c r="AT9" s="266"/>
      <c r="AU9" s="416">
        <v>1974</v>
      </c>
      <c r="AV9" s="441">
        <v>121535</v>
      </c>
      <c r="AW9" s="47">
        <v>2235</v>
      </c>
      <c r="AX9" s="47">
        <v>28989</v>
      </c>
      <c r="AY9" s="425">
        <f t="shared" ref="AY9:AY52" si="10">SUM(AV9:AX9)</f>
        <v>152759</v>
      </c>
      <c r="BA9" s="266"/>
      <c r="BB9" s="416">
        <v>1974</v>
      </c>
      <c r="BC9" s="441">
        <v>121535</v>
      </c>
      <c r="BD9" s="47">
        <v>26105</v>
      </c>
      <c r="BE9" s="47">
        <f t="shared" si="3"/>
        <v>147640</v>
      </c>
      <c r="BG9" s="47">
        <v>28989</v>
      </c>
      <c r="BH9" s="47">
        <v>5500</v>
      </c>
      <c r="BI9" s="47">
        <f t="shared" si="4"/>
        <v>34489</v>
      </c>
      <c r="BK9" s="47">
        <v>121964</v>
      </c>
      <c r="BL9" s="47">
        <f t="shared" si="5"/>
        <v>100398.90774857762</v>
      </c>
      <c r="BM9" s="47">
        <f t="shared" ref="BM9:BM52" si="11">BK9*(BD9/BE9)</f>
        <v>21565.092251422378</v>
      </c>
      <c r="BN9" s="47" t="b">
        <f t="shared" si="6"/>
        <v>1</v>
      </c>
      <c r="BP9" s="47">
        <v>142968</v>
      </c>
      <c r="BQ9" s="47">
        <f t="shared" ref="BQ9:BQ52" si="12">BP9*(BG9/BI9)</f>
        <v>120168.73066774914</v>
      </c>
      <c r="BR9" s="47">
        <f t="shared" ref="BR9:BR52" si="13">BP9*(BH9/BI9)</f>
        <v>22799.269332250864</v>
      </c>
      <c r="BS9" s="47" t="b">
        <f t="shared" si="7"/>
        <v>1</v>
      </c>
      <c r="BT9" s="47">
        <v>9112</v>
      </c>
      <c r="BU9" s="47">
        <f t="shared" ref="BU9:BU52" si="14">BL9+BQ9+BT9</f>
        <v>229679.63841632678</v>
      </c>
      <c r="BV9" s="47">
        <f t="shared" ref="BV9:BV52" si="15">BM9+BR9</f>
        <v>44364.361583673242</v>
      </c>
      <c r="BW9" s="425"/>
    </row>
    <row r="10" spans="1:76" x14ac:dyDescent="0.25">
      <c r="B10" s="266"/>
      <c r="C10" s="416">
        <v>1975</v>
      </c>
      <c r="D10" s="47">
        <v>292484</v>
      </c>
      <c r="F10" s="47">
        <v>447</v>
      </c>
      <c r="G10" s="47">
        <v>686</v>
      </c>
      <c r="J10" s="47">
        <v>198837</v>
      </c>
      <c r="K10" s="47">
        <v>2817</v>
      </c>
      <c r="L10" s="47">
        <v>89697</v>
      </c>
      <c r="M10" s="47">
        <f t="shared" si="0"/>
        <v>291351</v>
      </c>
      <c r="N10" s="267"/>
      <c r="P10" s="266"/>
      <c r="Q10" s="416">
        <v>1975</v>
      </c>
      <c r="R10" s="416"/>
      <c r="S10" s="416"/>
      <c r="T10" s="416"/>
      <c r="U10" s="416"/>
      <c r="V10" s="47">
        <v>5523.9838886854632</v>
      </c>
      <c r="W10" s="47">
        <v>476.01611131453683</v>
      </c>
      <c r="Y10" s="47">
        <v>2130</v>
      </c>
      <c r="Z10" s="47">
        <v>86970</v>
      </c>
      <c r="AA10" s="47">
        <v>67536</v>
      </c>
      <c r="AC10" s="47">
        <v>8108</v>
      </c>
      <c r="AD10" s="47">
        <v>3138</v>
      </c>
      <c r="AE10" s="47">
        <f t="shared" si="1"/>
        <v>173882</v>
      </c>
      <c r="AG10" s="47">
        <v>102731.98388868547</v>
      </c>
      <c r="AH10" s="47">
        <v>71150.01611131453</v>
      </c>
      <c r="AI10" s="425"/>
      <c r="AK10" s="266"/>
      <c r="AL10" s="416">
        <v>1975</v>
      </c>
      <c r="AM10" s="47"/>
      <c r="AN10" s="47">
        <f t="shared" si="2"/>
        <v>291351</v>
      </c>
      <c r="AO10" s="47">
        <v>30172</v>
      </c>
      <c r="AP10" s="47">
        <v>2600</v>
      </c>
      <c r="AQ10" s="47">
        <f t="shared" si="8"/>
        <v>38596.992953506044</v>
      </c>
      <c r="AR10" s="425">
        <f t="shared" si="9"/>
        <v>219982.00704649396</v>
      </c>
      <c r="AT10" s="266"/>
      <c r="AU10" s="416">
        <v>1975</v>
      </c>
      <c r="AV10" s="441">
        <v>68300</v>
      </c>
      <c r="AW10" s="47">
        <v>687</v>
      </c>
      <c r="AX10" s="47">
        <v>16423</v>
      </c>
      <c r="AY10" s="425">
        <f t="shared" si="10"/>
        <v>85410</v>
      </c>
      <c r="BA10" s="266"/>
      <c r="BB10" s="416">
        <v>1975</v>
      </c>
      <c r="BC10" s="441">
        <v>68300</v>
      </c>
      <c r="BD10" s="47">
        <v>30172</v>
      </c>
      <c r="BE10" s="47">
        <f t="shared" si="3"/>
        <v>98472</v>
      </c>
      <c r="BG10" s="47">
        <v>16423</v>
      </c>
      <c r="BH10" s="47">
        <v>2600</v>
      </c>
      <c r="BI10" s="47">
        <f t="shared" si="4"/>
        <v>19023</v>
      </c>
      <c r="BK10" s="47">
        <v>94443</v>
      </c>
      <c r="BL10" s="47">
        <f t="shared" si="5"/>
        <v>65505.492932000983</v>
      </c>
      <c r="BM10" s="47">
        <f t="shared" si="11"/>
        <v>28937.507067999024</v>
      </c>
      <c r="BN10" s="47" t="b">
        <f t="shared" si="6"/>
        <v>1</v>
      </c>
      <c r="BP10" s="47">
        <v>70674</v>
      </c>
      <c r="BQ10" s="47">
        <f t="shared" si="12"/>
        <v>61014.514114492988</v>
      </c>
      <c r="BR10" s="47">
        <f t="shared" si="13"/>
        <v>9659.4858855070179</v>
      </c>
      <c r="BS10" s="47" t="b">
        <f t="shared" si="7"/>
        <v>1</v>
      </c>
      <c r="BT10" s="47">
        <v>2130</v>
      </c>
      <c r="BU10" s="47">
        <f t="shared" si="14"/>
        <v>128650.00704649396</v>
      </c>
      <c r="BV10" s="47">
        <f t="shared" si="15"/>
        <v>38596.992953506044</v>
      </c>
      <c r="BW10" s="425"/>
    </row>
    <row r="11" spans="1:76" x14ac:dyDescent="0.25">
      <c r="B11" s="266"/>
      <c r="C11" s="416">
        <v>1976</v>
      </c>
      <c r="D11" s="47">
        <v>336957</v>
      </c>
      <c r="F11" s="47">
        <v>214</v>
      </c>
      <c r="G11" s="47">
        <v>996</v>
      </c>
      <c r="J11" s="47">
        <v>177544</v>
      </c>
      <c r="K11" s="47">
        <v>7506</v>
      </c>
      <c r="L11" s="47">
        <v>150697</v>
      </c>
      <c r="M11" s="47">
        <f t="shared" si="0"/>
        <v>335747</v>
      </c>
      <c r="N11" s="267"/>
      <c r="P11" s="266"/>
      <c r="Q11" s="416">
        <v>1976</v>
      </c>
      <c r="R11" s="416"/>
      <c r="S11" s="416"/>
      <c r="T11" s="416"/>
      <c r="U11" s="416"/>
      <c r="V11" s="47">
        <v>4148.3554246440845</v>
      </c>
      <c r="W11" s="47">
        <v>451.64457535591555</v>
      </c>
      <c r="Y11" s="47">
        <v>5163</v>
      </c>
      <c r="Z11" s="47">
        <v>66034</v>
      </c>
      <c r="AA11" s="47">
        <v>97199</v>
      </c>
      <c r="AC11" s="47">
        <v>7705</v>
      </c>
      <c r="AD11" s="47">
        <v>4128</v>
      </c>
      <c r="AE11" s="47">
        <f t="shared" si="1"/>
        <v>184829</v>
      </c>
      <c r="AG11" s="47">
        <v>83050.355424644091</v>
      </c>
      <c r="AH11" s="47">
        <v>101778.64457535591</v>
      </c>
      <c r="AI11" s="425"/>
      <c r="AK11" s="266"/>
      <c r="AL11" s="416">
        <v>1976</v>
      </c>
      <c r="AM11" s="47"/>
      <c r="AN11" s="47">
        <f t="shared" si="2"/>
        <v>335747</v>
      </c>
      <c r="AO11" s="47">
        <v>33066</v>
      </c>
      <c r="AP11" s="47">
        <v>3600</v>
      </c>
      <c r="AQ11" s="47">
        <f t="shared" si="8"/>
        <v>31003.561364591227</v>
      </c>
      <c r="AR11" s="425">
        <f t="shared" si="9"/>
        <v>268077.43863540876</v>
      </c>
      <c r="AT11" s="266"/>
      <c r="AU11" s="416">
        <v>1976</v>
      </c>
      <c r="AV11" s="441">
        <v>69147.000000000015</v>
      </c>
      <c r="AW11" s="47">
        <v>2343</v>
      </c>
      <c r="AX11" s="47">
        <v>45769.999999999993</v>
      </c>
      <c r="AY11" s="425">
        <f t="shared" si="10"/>
        <v>117260</v>
      </c>
      <c r="BA11" s="266"/>
      <c r="BB11" s="416">
        <v>1976</v>
      </c>
      <c r="BC11" s="441">
        <v>69147.000000000015</v>
      </c>
      <c r="BD11" s="47">
        <v>33066</v>
      </c>
      <c r="BE11" s="47">
        <f t="shared" si="3"/>
        <v>102213.00000000001</v>
      </c>
      <c r="BG11" s="47">
        <v>45769.999999999993</v>
      </c>
      <c r="BH11" s="47">
        <v>3600</v>
      </c>
      <c r="BI11" s="47">
        <f t="shared" si="4"/>
        <v>49369.999999999993</v>
      </c>
      <c r="BK11" s="47">
        <v>72998</v>
      </c>
      <c r="BL11" s="47">
        <f t="shared" si="5"/>
        <v>49383.079510434094</v>
      </c>
      <c r="BM11" s="47">
        <f t="shared" si="11"/>
        <v>23614.920489565906</v>
      </c>
      <c r="BN11" s="47" t="b">
        <f t="shared" si="6"/>
        <v>1</v>
      </c>
      <c r="BP11" s="47">
        <v>101327</v>
      </c>
      <c r="BQ11" s="47">
        <f t="shared" si="12"/>
        <v>93938.359124974682</v>
      </c>
      <c r="BR11" s="47">
        <f t="shared" si="13"/>
        <v>7388.6408750253204</v>
      </c>
      <c r="BS11" s="47" t="b">
        <f t="shared" si="7"/>
        <v>1</v>
      </c>
      <c r="BT11" s="47">
        <v>5163</v>
      </c>
      <c r="BU11" s="47">
        <f t="shared" si="14"/>
        <v>148484.43863540876</v>
      </c>
      <c r="BV11" s="47">
        <f t="shared" si="15"/>
        <v>31003.561364591227</v>
      </c>
      <c r="BW11" s="425"/>
    </row>
    <row r="12" spans="1:76" x14ac:dyDescent="0.25">
      <c r="B12" s="266"/>
      <c r="C12" s="416">
        <v>1977</v>
      </c>
      <c r="D12" s="47">
        <v>93832</v>
      </c>
      <c r="F12" s="47">
        <v>345</v>
      </c>
      <c r="G12" s="47">
        <v>834</v>
      </c>
      <c r="J12" s="47">
        <v>51698</v>
      </c>
      <c r="K12" s="47">
        <v>2124</v>
      </c>
      <c r="L12" s="47">
        <v>38831</v>
      </c>
      <c r="M12" s="47">
        <f t="shared" si="0"/>
        <v>92653</v>
      </c>
      <c r="N12" s="267"/>
      <c r="P12" s="266"/>
      <c r="Q12" s="416">
        <v>1977</v>
      </c>
      <c r="R12" s="416"/>
      <c r="S12" s="416"/>
      <c r="T12" s="416"/>
      <c r="U12" s="416"/>
      <c r="V12" s="47">
        <v>828.41823056300268</v>
      </c>
      <c r="W12" s="47">
        <v>171.58176943699732</v>
      </c>
      <c r="Y12" s="47">
        <v>1625</v>
      </c>
      <c r="Z12" s="47">
        <v>15575</v>
      </c>
      <c r="AA12" s="47">
        <v>21832</v>
      </c>
      <c r="AC12" s="47">
        <v>4608</v>
      </c>
      <c r="AD12" s="47">
        <v>1808</v>
      </c>
      <c r="AE12" s="47">
        <f t="shared" si="1"/>
        <v>46448</v>
      </c>
      <c r="AG12" s="47">
        <v>22636.418230563002</v>
      </c>
      <c r="AH12" s="47">
        <v>23811.581769436998</v>
      </c>
      <c r="AI12" s="425"/>
      <c r="AK12" s="266"/>
      <c r="AL12" s="416">
        <v>1977</v>
      </c>
      <c r="AM12" s="47"/>
      <c r="AN12" s="47">
        <f t="shared" si="2"/>
        <v>92653</v>
      </c>
      <c r="AO12" s="47">
        <v>7725</v>
      </c>
      <c r="AP12" s="47">
        <v>1600</v>
      </c>
      <c r="AQ12" s="47">
        <f t="shared" si="8"/>
        <v>7521.0349835544021</v>
      </c>
      <c r="AR12" s="425">
        <f t="shared" si="9"/>
        <v>75806.965016445596</v>
      </c>
      <c r="AT12" s="266"/>
      <c r="AU12" s="416">
        <v>1977</v>
      </c>
      <c r="AV12" s="441">
        <v>22972.999999999996</v>
      </c>
      <c r="AW12" s="47">
        <v>499</v>
      </c>
      <c r="AX12" s="47">
        <v>13591</v>
      </c>
      <c r="AY12" s="425">
        <f t="shared" si="10"/>
        <v>37063</v>
      </c>
      <c r="BA12" s="266"/>
      <c r="BB12" s="416">
        <v>1977</v>
      </c>
      <c r="BC12" s="441">
        <v>22972.999999999996</v>
      </c>
      <c r="BD12" s="47">
        <v>7725</v>
      </c>
      <c r="BE12" s="47">
        <f t="shared" si="3"/>
        <v>30697.999999999996</v>
      </c>
      <c r="BG12" s="47">
        <v>13591</v>
      </c>
      <c r="BH12" s="47">
        <v>1600</v>
      </c>
      <c r="BI12" s="47">
        <f t="shared" si="4"/>
        <v>15191</v>
      </c>
      <c r="BK12" s="47">
        <v>19993</v>
      </c>
      <c r="BL12" s="47">
        <f t="shared" si="5"/>
        <v>14961.860349208417</v>
      </c>
      <c r="BM12" s="47">
        <f t="shared" si="11"/>
        <v>5031.1396507915824</v>
      </c>
      <c r="BN12" s="47" t="b">
        <f t="shared" si="6"/>
        <v>1</v>
      </c>
      <c r="BP12" s="47">
        <v>23640</v>
      </c>
      <c r="BQ12" s="47">
        <f t="shared" si="12"/>
        <v>21150.104667237181</v>
      </c>
      <c r="BR12" s="47">
        <f t="shared" si="13"/>
        <v>2489.8953327628201</v>
      </c>
      <c r="BS12" s="47" t="b">
        <f t="shared" si="7"/>
        <v>1</v>
      </c>
      <c r="BT12" s="47">
        <v>1625</v>
      </c>
      <c r="BU12" s="47">
        <f t="shared" si="14"/>
        <v>37736.965016445596</v>
      </c>
      <c r="BV12" s="47">
        <f t="shared" si="15"/>
        <v>7521.0349835544021</v>
      </c>
      <c r="BW12" s="425"/>
    </row>
    <row r="13" spans="1:76" x14ac:dyDescent="0.25">
      <c r="B13" s="266"/>
      <c r="C13" s="416">
        <v>1978</v>
      </c>
      <c r="D13" s="47">
        <v>307499</v>
      </c>
      <c r="F13" s="47">
        <v>736</v>
      </c>
      <c r="G13" s="47">
        <v>473</v>
      </c>
      <c r="J13" s="47">
        <v>192417</v>
      </c>
      <c r="K13" s="47">
        <v>5295</v>
      </c>
      <c r="L13" s="47">
        <v>108578</v>
      </c>
      <c r="M13" s="47">
        <f t="shared" si="0"/>
        <v>306290</v>
      </c>
      <c r="N13" s="267"/>
      <c r="P13" s="266"/>
      <c r="Q13" s="416">
        <v>1978</v>
      </c>
      <c r="R13" s="416"/>
      <c r="S13" s="416"/>
      <c r="T13" s="416"/>
      <c r="U13" s="416"/>
      <c r="V13" s="47">
        <v>4051.2319175639077</v>
      </c>
      <c r="W13" s="47">
        <v>348.7680824360923</v>
      </c>
      <c r="Y13" s="47">
        <v>3353</v>
      </c>
      <c r="Z13" s="47">
        <v>59047</v>
      </c>
      <c r="AA13" s="47">
        <v>70334</v>
      </c>
      <c r="AC13" s="47">
        <v>7132</v>
      </c>
      <c r="AD13" s="47">
        <v>2744</v>
      </c>
      <c r="AE13" s="47">
        <f t="shared" si="1"/>
        <v>147010</v>
      </c>
      <c r="AG13" s="47">
        <v>73583.231917563913</v>
      </c>
      <c r="AH13" s="47">
        <v>73426.768082436087</v>
      </c>
      <c r="AI13" s="425"/>
      <c r="AK13" s="266"/>
      <c r="AL13" s="416">
        <v>1978</v>
      </c>
      <c r="AM13" s="47"/>
      <c r="AN13" s="47">
        <f t="shared" si="2"/>
        <v>306290</v>
      </c>
      <c r="AO13" s="47">
        <v>27878</v>
      </c>
      <c r="AP13" s="47">
        <v>2400</v>
      </c>
      <c r="AQ13" s="47">
        <f t="shared" si="8"/>
        <v>19709.817840375585</v>
      </c>
      <c r="AR13" s="425">
        <f t="shared" si="9"/>
        <v>256302.18215962441</v>
      </c>
      <c r="AT13" s="266"/>
      <c r="AU13" s="416">
        <v>1978</v>
      </c>
      <c r="AV13" s="441">
        <v>96784</v>
      </c>
      <c r="AW13" s="47">
        <v>1942</v>
      </c>
      <c r="AX13" s="47">
        <v>33100</v>
      </c>
      <c r="AY13" s="425">
        <f t="shared" si="10"/>
        <v>131826</v>
      </c>
      <c r="BA13" s="266"/>
      <c r="BB13" s="416">
        <v>1978</v>
      </c>
      <c r="BC13" s="441">
        <v>96784</v>
      </c>
      <c r="BD13" s="47">
        <v>27878</v>
      </c>
      <c r="BE13" s="47">
        <f t="shared" si="3"/>
        <v>124662</v>
      </c>
      <c r="BG13" s="47">
        <v>33100</v>
      </c>
      <c r="BH13" s="47">
        <v>2400</v>
      </c>
      <c r="BI13" s="47">
        <f t="shared" si="4"/>
        <v>35500</v>
      </c>
      <c r="BK13" s="47">
        <v>66044</v>
      </c>
      <c r="BL13" s="47">
        <f t="shared" si="5"/>
        <v>51274.666666666664</v>
      </c>
      <c r="BM13" s="47">
        <f t="shared" si="11"/>
        <v>14769.333333333332</v>
      </c>
      <c r="BN13" s="47" t="b">
        <f t="shared" si="6"/>
        <v>1</v>
      </c>
      <c r="BP13" s="47">
        <v>73078</v>
      </c>
      <c r="BQ13" s="47">
        <f t="shared" si="12"/>
        <v>68137.51549295774</v>
      </c>
      <c r="BR13" s="47">
        <f t="shared" si="13"/>
        <v>4940.4845070422534</v>
      </c>
      <c r="BS13" s="47" t="b">
        <f t="shared" si="7"/>
        <v>1</v>
      </c>
      <c r="BT13" s="47">
        <v>3353</v>
      </c>
      <c r="BU13" s="47">
        <f t="shared" si="14"/>
        <v>122765.18215962441</v>
      </c>
      <c r="BV13" s="47">
        <f t="shared" si="15"/>
        <v>19709.817840375585</v>
      </c>
      <c r="BW13" s="425"/>
    </row>
    <row r="14" spans="1:76" x14ac:dyDescent="0.25">
      <c r="B14" s="266"/>
      <c r="C14" s="416">
        <v>1979</v>
      </c>
      <c r="D14" s="47">
        <v>276480</v>
      </c>
      <c r="F14" s="47">
        <v>1330</v>
      </c>
      <c r="G14" s="47">
        <v>1320</v>
      </c>
      <c r="J14" s="47">
        <v>156852</v>
      </c>
      <c r="K14" s="47">
        <v>28029</v>
      </c>
      <c r="L14" s="47">
        <v>88949</v>
      </c>
      <c r="M14" s="47">
        <f t="shared" si="0"/>
        <v>273830</v>
      </c>
      <c r="N14" s="267"/>
      <c r="P14" s="266"/>
      <c r="Q14" s="416">
        <v>1979</v>
      </c>
      <c r="R14" s="416"/>
      <c r="S14" s="416"/>
      <c r="T14" s="416"/>
      <c r="U14" s="416"/>
      <c r="V14" s="47">
        <v>4087.3699851411588</v>
      </c>
      <c r="W14" s="47">
        <v>512.63001485884115</v>
      </c>
      <c r="Y14" s="47">
        <v>22542</v>
      </c>
      <c r="Z14" s="47">
        <v>46611</v>
      </c>
      <c r="AA14" s="47">
        <v>58400</v>
      </c>
      <c r="AC14" s="47">
        <v>9020</v>
      </c>
      <c r="AD14" s="47">
        <v>3352.9999999999995</v>
      </c>
      <c r="AE14" s="47">
        <f t="shared" si="1"/>
        <v>144526</v>
      </c>
      <c r="AG14" s="47">
        <v>82260.369985141166</v>
      </c>
      <c r="AH14" s="47">
        <v>62265.630014858842</v>
      </c>
      <c r="AI14" s="425"/>
      <c r="AK14" s="266"/>
      <c r="AL14" s="416">
        <v>1979</v>
      </c>
      <c r="AM14" s="47"/>
      <c r="AN14" s="47">
        <f t="shared" si="2"/>
        <v>273830</v>
      </c>
      <c r="AO14" s="47">
        <v>26312</v>
      </c>
      <c r="AP14" s="47">
        <v>3300</v>
      </c>
      <c r="AQ14" s="47">
        <f t="shared" si="8"/>
        <v>22171.418271097318</v>
      </c>
      <c r="AR14" s="425">
        <f t="shared" si="9"/>
        <v>222046.58172890267</v>
      </c>
      <c r="AT14" s="266"/>
      <c r="AU14" s="416">
        <v>1979</v>
      </c>
      <c r="AV14" s="441">
        <v>73224.999999999985</v>
      </c>
      <c r="AW14" s="47">
        <v>5487</v>
      </c>
      <c r="AX14" s="47">
        <v>23895.999999999996</v>
      </c>
      <c r="AY14" s="425">
        <f t="shared" si="10"/>
        <v>102607.99999999999</v>
      </c>
      <c r="BA14" s="266"/>
      <c r="BB14" s="416">
        <v>1979</v>
      </c>
      <c r="BC14" s="441">
        <v>73224.999999999985</v>
      </c>
      <c r="BD14" s="47">
        <v>26312</v>
      </c>
      <c r="BE14" s="47">
        <f t="shared" si="3"/>
        <v>99536.999999999985</v>
      </c>
      <c r="BG14" s="47">
        <v>23895.999999999996</v>
      </c>
      <c r="BH14" s="47">
        <v>3300</v>
      </c>
      <c r="BI14" s="47">
        <f t="shared" si="4"/>
        <v>27195.999999999996</v>
      </c>
      <c r="BK14" s="47">
        <v>55527</v>
      </c>
      <c r="BL14" s="47">
        <f t="shared" si="5"/>
        <v>40848.775580939749</v>
      </c>
      <c r="BM14" s="47">
        <f t="shared" si="11"/>
        <v>14678.224419060252</v>
      </c>
      <c r="BN14" s="47" t="b">
        <f t="shared" si="6"/>
        <v>1</v>
      </c>
      <c r="BP14" s="47">
        <v>61753</v>
      </c>
      <c r="BQ14" s="47">
        <f t="shared" si="12"/>
        <v>54259.80614796294</v>
      </c>
      <c r="BR14" s="47">
        <f t="shared" si="13"/>
        <v>7493.1938520370659</v>
      </c>
      <c r="BS14" s="47" t="b">
        <f t="shared" si="7"/>
        <v>1</v>
      </c>
      <c r="BT14" s="47">
        <v>22542</v>
      </c>
      <c r="BU14" s="47">
        <f t="shared" si="14"/>
        <v>117650.58172890269</v>
      </c>
      <c r="BV14" s="47">
        <f t="shared" si="15"/>
        <v>22171.418271097318</v>
      </c>
      <c r="BW14" s="425"/>
    </row>
    <row r="15" spans="1:76" x14ac:dyDescent="0.25">
      <c r="B15" s="266"/>
      <c r="C15" s="416">
        <v>1980</v>
      </c>
      <c r="D15" s="47">
        <v>301593</v>
      </c>
      <c r="F15" s="47">
        <v>770</v>
      </c>
      <c r="G15" s="47">
        <v>3067</v>
      </c>
      <c r="J15" s="47">
        <v>145877</v>
      </c>
      <c r="K15" s="47">
        <v>13653</v>
      </c>
      <c r="L15" s="47">
        <v>138226</v>
      </c>
      <c r="M15" s="47">
        <f t="shared" si="0"/>
        <v>297756</v>
      </c>
      <c r="N15" s="267"/>
      <c r="P15" s="266"/>
      <c r="Q15" s="416">
        <v>1980</v>
      </c>
      <c r="R15" s="416"/>
      <c r="S15" s="416"/>
      <c r="T15" s="416"/>
      <c r="U15" s="416"/>
      <c r="V15" s="47">
        <v>156.70571913056881</v>
      </c>
      <c r="W15" s="47">
        <v>143.29428086943119</v>
      </c>
      <c r="Y15" s="47">
        <v>12526</v>
      </c>
      <c r="Z15" s="47">
        <v>56296</v>
      </c>
      <c r="AA15" s="47">
        <v>81258</v>
      </c>
      <c r="AC15" s="47">
        <v>6500</v>
      </c>
      <c r="AD15" s="47">
        <v>4963</v>
      </c>
      <c r="AE15" s="47">
        <f t="shared" si="1"/>
        <v>161843</v>
      </c>
      <c r="AG15" s="47">
        <v>75478.705719130565</v>
      </c>
      <c r="AH15" s="47">
        <v>86364.294280869435</v>
      </c>
      <c r="AI15" s="425"/>
      <c r="AK15" s="266"/>
      <c r="AL15" s="416">
        <v>1980</v>
      </c>
      <c r="AM15" s="47"/>
      <c r="AN15" s="47">
        <f t="shared" si="2"/>
        <v>297756</v>
      </c>
      <c r="AO15" s="47">
        <v>6777</v>
      </c>
      <c r="AP15" s="47">
        <v>6197</v>
      </c>
      <c r="AQ15" s="47">
        <f t="shared" si="8"/>
        <v>15441.131687623492</v>
      </c>
      <c r="AR15" s="425">
        <f t="shared" si="9"/>
        <v>269340.86831237649</v>
      </c>
      <c r="AT15" s="266"/>
      <c r="AU15" s="416">
        <v>1980</v>
      </c>
      <c r="AV15" s="441">
        <v>75270</v>
      </c>
      <c r="AW15" s="47">
        <v>1127</v>
      </c>
      <c r="AX15" s="47">
        <v>45808</v>
      </c>
      <c r="AY15" s="425">
        <f t="shared" si="10"/>
        <v>122205</v>
      </c>
      <c r="BA15" s="266"/>
      <c r="BB15" s="416">
        <v>1980</v>
      </c>
      <c r="BC15" s="441">
        <v>75270</v>
      </c>
      <c r="BD15" s="47">
        <v>6777</v>
      </c>
      <c r="BE15" s="47">
        <f t="shared" si="3"/>
        <v>82047</v>
      </c>
      <c r="BG15" s="47">
        <v>45808</v>
      </c>
      <c r="BH15" s="47">
        <v>6197</v>
      </c>
      <c r="BI15" s="47">
        <f t="shared" si="4"/>
        <v>52005</v>
      </c>
      <c r="BK15" s="47">
        <v>62554</v>
      </c>
      <c r="BL15" s="47">
        <f t="shared" si="5"/>
        <v>57387.102270649746</v>
      </c>
      <c r="BM15" s="47">
        <f t="shared" si="11"/>
        <v>5166.8977293502503</v>
      </c>
      <c r="BN15" s="47" t="b">
        <f t="shared" si="6"/>
        <v>1</v>
      </c>
      <c r="BP15" s="47">
        <v>86221</v>
      </c>
      <c r="BQ15" s="47">
        <f t="shared" si="12"/>
        <v>75946.766041726762</v>
      </c>
      <c r="BR15" s="47">
        <f t="shared" si="13"/>
        <v>10274.233958273242</v>
      </c>
      <c r="BS15" s="47" t="b">
        <f t="shared" si="7"/>
        <v>1</v>
      </c>
      <c r="BT15" s="47">
        <v>12526</v>
      </c>
      <c r="BU15" s="47">
        <f t="shared" si="14"/>
        <v>145859.86831237649</v>
      </c>
      <c r="BV15" s="47">
        <f t="shared" si="15"/>
        <v>15441.131687623492</v>
      </c>
      <c r="BW15" s="425"/>
    </row>
    <row r="16" spans="1:76" x14ac:dyDescent="0.25">
      <c r="B16" s="266"/>
      <c r="C16" s="416">
        <v>1981</v>
      </c>
      <c r="D16" s="47">
        <v>170246</v>
      </c>
      <c r="F16" s="47">
        <v>1392</v>
      </c>
      <c r="G16" s="47">
        <v>398</v>
      </c>
      <c r="J16" s="47">
        <v>89804</v>
      </c>
      <c r="K16" s="47">
        <v>9026</v>
      </c>
      <c r="L16" s="47">
        <v>69626</v>
      </c>
      <c r="M16" s="47">
        <f t="shared" si="0"/>
        <v>168456</v>
      </c>
      <c r="N16" s="267"/>
      <c r="P16" s="266"/>
      <c r="Q16" s="416">
        <v>1981</v>
      </c>
      <c r="R16" s="416"/>
      <c r="S16" s="416"/>
      <c r="T16" s="416"/>
      <c r="U16" s="416"/>
      <c r="V16" s="47">
        <v>1722.6988830635971</v>
      </c>
      <c r="W16" s="47">
        <v>77.301116936402877</v>
      </c>
      <c r="Y16" s="47">
        <v>8109.9999999999991</v>
      </c>
      <c r="Z16" s="47">
        <v>13927</v>
      </c>
      <c r="AA16" s="47">
        <v>37909</v>
      </c>
      <c r="AC16" s="47">
        <v>4454</v>
      </c>
      <c r="AD16" s="47">
        <v>3317.9999999999995</v>
      </c>
      <c r="AE16" s="47">
        <f t="shared" si="1"/>
        <v>69518</v>
      </c>
      <c r="AG16" s="47">
        <v>28213.698883063596</v>
      </c>
      <c r="AH16" s="47">
        <v>41304.301116936404</v>
      </c>
      <c r="AI16" s="425"/>
      <c r="AK16" s="266"/>
      <c r="AL16" s="416">
        <v>1981</v>
      </c>
      <c r="AM16" s="47"/>
      <c r="AN16" s="47">
        <f t="shared" si="2"/>
        <v>168456</v>
      </c>
      <c r="AO16" s="47">
        <v>20993</v>
      </c>
      <c r="AP16" s="47">
        <v>942</v>
      </c>
      <c r="AQ16" s="47">
        <f t="shared" si="8"/>
        <v>6834.3130898397158</v>
      </c>
      <c r="AR16" s="425">
        <f t="shared" si="9"/>
        <v>139686.68691016029</v>
      </c>
      <c r="AT16" s="266"/>
      <c r="AU16" s="416">
        <v>1981</v>
      </c>
      <c r="AV16" s="441">
        <v>49438</v>
      </c>
      <c r="AW16" s="47">
        <v>916</v>
      </c>
      <c r="AX16" s="47">
        <v>27457</v>
      </c>
      <c r="AY16" s="425">
        <f t="shared" si="10"/>
        <v>77811</v>
      </c>
      <c r="BA16" s="266"/>
      <c r="BB16" s="416">
        <v>1981</v>
      </c>
      <c r="BC16" s="441">
        <v>49438</v>
      </c>
      <c r="BD16" s="47">
        <v>20993</v>
      </c>
      <c r="BE16" s="47">
        <f t="shared" si="3"/>
        <v>70431</v>
      </c>
      <c r="BG16" s="47">
        <v>27457</v>
      </c>
      <c r="BH16" s="47">
        <v>942</v>
      </c>
      <c r="BI16" s="47">
        <f t="shared" si="4"/>
        <v>28399</v>
      </c>
      <c r="BK16" s="47">
        <v>18341</v>
      </c>
      <c r="BL16" s="47">
        <f t="shared" si="5"/>
        <v>12874.194005480542</v>
      </c>
      <c r="BM16" s="47">
        <f t="shared" si="11"/>
        <v>5466.8059945194582</v>
      </c>
      <c r="BN16" s="47" t="b">
        <f t="shared" si="6"/>
        <v>1</v>
      </c>
      <c r="BP16" s="47">
        <v>41227</v>
      </c>
      <c r="BQ16" s="47">
        <f t="shared" si="12"/>
        <v>39859.492904679741</v>
      </c>
      <c r="BR16" s="47">
        <f t="shared" si="13"/>
        <v>1367.5070953202576</v>
      </c>
      <c r="BS16" s="47" t="b">
        <f t="shared" si="7"/>
        <v>1</v>
      </c>
      <c r="BT16" s="47">
        <v>8109.9999999999991</v>
      </c>
      <c r="BU16" s="47">
        <f t="shared" si="14"/>
        <v>60843.686910160279</v>
      </c>
      <c r="BV16" s="47">
        <f t="shared" si="15"/>
        <v>6834.3130898397158</v>
      </c>
      <c r="BW16" s="425"/>
    </row>
    <row r="17" spans="2:75" x14ac:dyDescent="0.25">
      <c r="B17" s="266"/>
      <c r="C17" s="416">
        <v>1982</v>
      </c>
      <c r="D17" s="47">
        <v>453122</v>
      </c>
      <c r="F17" s="47">
        <v>2161</v>
      </c>
      <c r="G17" s="47">
        <v>1105</v>
      </c>
      <c r="J17" s="47">
        <v>213252</v>
      </c>
      <c r="K17" s="47">
        <v>14029</v>
      </c>
      <c r="L17" s="47">
        <v>222575</v>
      </c>
      <c r="M17" s="47">
        <f t="shared" si="0"/>
        <v>449856</v>
      </c>
      <c r="N17" s="267"/>
      <c r="P17" s="266"/>
      <c r="Q17" s="416">
        <v>1982</v>
      </c>
      <c r="R17" s="416"/>
      <c r="S17" s="416"/>
      <c r="T17" s="416"/>
      <c r="U17" s="416"/>
      <c r="V17" s="47">
        <v>3929.9824423104487</v>
      </c>
      <c r="W17" s="47">
        <v>370.01755768955127</v>
      </c>
      <c r="Y17" s="47">
        <v>12258</v>
      </c>
      <c r="Z17" s="47">
        <v>30344</v>
      </c>
      <c r="AA17" s="47">
        <v>159110</v>
      </c>
      <c r="AC17" s="47">
        <v>23809</v>
      </c>
      <c r="AD17" s="47">
        <v>12924</v>
      </c>
      <c r="AE17" s="47">
        <f t="shared" si="1"/>
        <v>242745</v>
      </c>
      <c r="AG17" s="47">
        <v>70340.982442310458</v>
      </c>
      <c r="AH17" s="47">
        <v>172404.01755768954</v>
      </c>
      <c r="AI17" s="425"/>
      <c r="AK17" s="266"/>
      <c r="AL17" s="416">
        <v>1982</v>
      </c>
      <c r="AM17" s="47"/>
      <c r="AN17" s="47">
        <f t="shared" si="2"/>
        <v>449856</v>
      </c>
      <c r="AO17" s="47">
        <v>51013</v>
      </c>
      <c r="AP17" s="47">
        <v>4803</v>
      </c>
      <c r="AQ17" s="47">
        <f t="shared" si="8"/>
        <v>33804.19689449545</v>
      </c>
      <c r="AR17" s="425">
        <f t="shared" si="9"/>
        <v>360235.80310550454</v>
      </c>
      <c r="AT17" s="266"/>
      <c r="AU17" s="416">
        <v>1982</v>
      </c>
      <c r="AV17" s="441">
        <v>106604</v>
      </c>
      <c r="AW17" s="47">
        <v>1771</v>
      </c>
      <c r="AX17" s="47">
        <v>45738</v>
      </c>
      <c r="AY17" s="425">
        <f t="shared" si="10"/>
        <v>154113</v>
      </c>
      <c r="BA17" s="266"/>
      <c r="BB17" s="416">
        <v>1982</v>
      </c>
      <c r="BC17" s="441">
        <v>106604</v>
      </c>
      <c r="BD17" s="47">
        <v>51013</v>
      </c>
      <c r="BE17" s="47">
        <f t="shared" si="3"/>
        <v>157617</v>
      </c>
      <c r="BG17" s="47">
        <v>45738</v>
      </c>
      <c r="BH17" s="47">
        <v>4803</v>
      </c>
      <c r="BI17" s="47">
        <f t="shared" si="4"/>
        <v>50541</v>
      </c>
      <c r="BK17" s="47">
        <v>53933</v>
      </c>
      <c r="BL17" s="47">
        <f t="shared" si="5"/>
        <v>36477.496285299174</v>
      </c>
      <c r="BM17" s="47">
        <f t="shared" si="11"/>
        <v>17455.503714700826</v>
      </c>
      <c r="BN17" s="47" t="b">
        <f t="shared" si="6"/>
        <v>1</v>
      </c>
      <c r="BP17" s="47">
        <v>172034</v>
      </c>
      <c r="BQ17" s="47">
        <f t="shared" si="12"/>
        <v>155685.30682020538</v>
      </c>
      <c r="BR17" s="47">
        <f t="shared" si="13"/>
        <v>16348.693179794622</v>
      </c>
      <c r="BS17" s="47" t="b">
        <f t="shared" si="7"/>
        <v>1</v>
      </c>
      <c r="BT17" s="47">
        <v>12258</v>
      </c>
      <c r="BU17" s="47">
        <f t="shared" si="14"/>
        <v>204420.80310550454</v>
      </c>
      <c r="BV17" s="47">
        <f t="shared" si="15"/>
        <v>33804.19689449545</v>
      </c>
      <c r="BW17" s="425"/>
    </row>
    <row r="18" spans="2:75" x14ac:dyDescent="0.25">
      <c r="B18" s="266"/>
      <c r="C18" s="416">
        <v>1983</v>
      </c>
      <c r="D18" s="47">
        <v>109961.87299999999</v>
      </c>
      <c r="F18" s="47">
        <v>85</v>
      </c>
      <c r="G18" s="47">
        <v>1514</v>
      </c>
      <c r="J18" s="47">
        <v>44809</v>
      </c>
      <c r="K18" s="47">
        <v>5039</v>
      </c>
      <c r="L18" s="47">
        <v>58514.873</v>
      </c>
      <c r="M18" s="47">
        <f t="shared" si="0"/>
        <v>108362.87299999999</v>
      </c>
      <c r="N18" s="267"/>
      <c r="P18" s="266"/>
      <c r="Q18" s="416">
        <v>1983</v>
      </c>
      <c r="R18" s="416"/>
      <c r="S18" s="416"/>
      <c r="T18" s="416"/>
      <c r="U18" s="416"/>
      <c r="V18" s="47">
        <v>131.91435288137748</v>
      </c>
      <c r="W18" s="47">
        <v>68.085647118622518</v>
      </c>
      <c r="Y18" s="47">
        <v>3550</v>
      </c>
      <c r="Z18" s="47">
        <v>1155</v>
      </c>
      <c r="AA18" s="47">
        <v>2412</v>
      </c>
      <c r="AC18" s="47">
        <v>4825</v>
      </c>
      <c r="AD18" s="47">
        <v>4051</v>
      </c>
      <c r="AE18" s="47">
        <f t="shared" si="1"/>
        <v>16193</v>
      </c>
      <c r="AG18" s="47">
        <v>9661.9143528813765</v>
      </c>
      <c r="AH18" s="47">
        <v>6531.0856471186225</v>
      </c>
      <c r="AI18" s="425"/>
      <c r="AK18" s="266"/>
      <c r="AL18" s="416">
        <v>1983</v>
      </c>
      <c r="AM18" s="47"/>
      <c r="AN18" s="47">
        <f t="shared" si="2"/>
        <v>108362.87299999999</v>
      </c>
      <c r="AO18" s="47">
        <v>10381</v>
      </c>
      <c r="AP18" s="47">
        <v>5358</v>
      </c>
      <c r="AQ18" s="47">
        <f t="shared" si="8"/>
        <v>2325.6758095193395</v>
      </c>
      <c r="AR18" s="425">
        <f t="shared" si="9"/>
        <v>90298.197190480656</v>
      </c>
      <c r="AT18" s="266"/>
      <c r="AU18" s="416">
        <v>1983</v>
      </c>
      <c r="AV18" s="441">
        <v>26819</v>
      </c>
      <c r="AW18" s="47">
        <v>1489</v>
      </c>
      <c r="AX18" s="47">
        <v>46693.873</v>
      </c>
      <c r="AY18" s="425">
        <f t="shared" si="10"/>
        <v>75001.872999999992</v>
      </c>
      <c r="BA18" s="266"/>
      <c r="BB18" s="416">
        <v>1983</v>
      </c>
      <c r="BC18" s="441">
        <v>26819</v>
      </c>
      <c r="BD18" s="47">
        <v>10381</v>
      </c>
      <c r="BE18" s="47">
        <f t="shared" si="3"/>
        <v>37200</v>
      </c>
      <c r="BG18" s="47">
        <v>46693.873</v>
      </c>
      <c r="BH18" s="47">
        <v>5358</v>
      </c>
      <c r="BI18" s="47">
        <f t="shared" si="4"/>
        <v>52051.873</v>
      </c>
      <c r="BK18" s="47">
        <v>5950</v>
      </c>
      <c r="BL18" s="47">
        <f t="shared" si="5"/>
        <v>4289.5981182795704</v>
      </c>
      <c r="BM18" s="47">
        <f t="shared" si="11"/>
        <v>1660.4018817204301</v>
      </c>
      <c r="BN18" s="47" t="b">
        <f t="shared" si="6"/>
        <v>1</v>
      </c>
      <c r="BP18" s="47">
        <v>6463</v>
      </c>
      <c r="BQ18" s="47">
        <f t="shared" si="12"/>
        <v>5797.7260722010906</v>
      </c>
      <c r="BR18" s="47">
        <f t="shared" si="13"/>
        <v>665.27392779890943</v>
      </c>
      <c r="BS18" s="47" t="b">
        <f t="shared" si="7"/>
        <v>1</v>
      </c>
      <c r="BT18" s="47">
        <v>3550</v>
      </c>
      <c r="BU18" s="47">
        <f t="shared" si="14"/>
        <v>13637.32419048066</v>
      </c>
      <c r="BV18" s="47">
        <f t="shared" si="15"/>
        <v>2325.6758095193395</v>
      </c>
      <c r="BW18" s="425"/>
    </row>
    <row r="19" spans="2:75" x14ac:dyDescent="0.25">
      <c r="B19" s="266"/>
      <c r="C19" s="416">
        <v>1984</v>
      </c>
      <c r="D19" s="47">
        <v>425902.76199999999</v>
      </c>
      <c r="F19" s="47">
        <v>1083</v>
      </c>
      <c r="G19" s="47">
        <v>398</v>
      </c>
      <c r="J19" s="47">
        <v>201829</v>
      </c>
      <c r="K19" s="47">
        <v>45025</v>
      </c>
      <c r="L19" s="47">
        <v>177567.76199999999</v>
      </c>
      <c r="M19" s="47">
        <f t="shared" si="0"/>
        <v>424421.76199999999</v>
      </c>
      <c r="N19" s="267"/>
      <c r="P19" s="266"/>
      <c r="Q19" s="416">
        <v>1984</v>
      </c>
      <c r="R19" s="416"/>
      <c r="S19" s="416"/>
      <c r="T19" s="416"/>
      <c r="U19" s="416"/>
      <c r="V19" s="47">
        <v>1197.2310735084056</v>
      </c>
      <c r="W19" s="47">
        <v>402.76892649159436</v>
      </c>
      <c r="Y19" s="47">
        <v>40620</v>
      </c>
      <c r="Z19" s="47">
        <v>74484</v>
      </c>
      <c r="AA19" s="47">
        <v>86406</v>
      </c>
      <c r="AC19" s="47">
        <v>54041</v>
      </c>
      <c r="AD19" s="47">
        <v>36276</v>
      </c>
      <c r="AE19" s="47">
        <f t="shared" si="1"/>
        <v>293427</v>
      </c>
      <c r="AG19" s="47">
        <v>170342.23107350839</v>
      </c>
      <c r="AH19" s="47">
        <v>123084.7689264916</v>
      </c>
      <c r="AI19" s="425"/>
      <c r="AK19" s="266"/>
      <c r="AL19" s="416">
        <v>1984</v>
      </c>
      <c r="AM19" s="47"/>
      <c r="AN19" s="47">
        <f t="shared" si="2"/>
        <v>424421.76199999999</v>
      </c>
      <c r="AO19" s="47">
        <v>20430</v>
      </c>
      <c r="AP19" s="47">
        <v>6873</v>
      </c>
      <c r="AQ19" s="47">
        <f t="shared" si="8"/>
        <v>52336.102271406373</v>
      </c>
      <c r="AR19" s="425">
        <f t="shared" si="9"/>
        <v>344782.6597285936</v>
      </c>
      <c r="AT19" s="266"/>
      <c r="AU19" s="416">
        <v>1984</v>
      </c>
      <c r="AV19" s="441">
        <v>50427.999999999993</v>
      </c>
      <c r="AW19" s="47">
        <v>4404.9999999999991</v>
      </c>
      <c r="AX19" s="47">
        <v>48012.761999999995</v>
      </c>
      <c r="AY19" s="425">
        <f t="shared" si="10"/>
        <v>102845.76199999999</v>
      </c>
      <c r="BA19" s="266"/>
      <c r="BB19" s="416">
        <v>1984</v>
      </c>
      <c r="BC19" s="441">
        <v>50427.999999999993</v>
      </c>
      <c r="BD19" s="47">
        <v>20430</v>
      </c>
      <c r="BE19" s="47">
        <f t="shared" si="3"/>
        <v>70858</v>
      </c>
      <c r="BG19" s="47">
        <v>48012.761999999995</v>
      </c>
      <c r="BH19" s="47">
        <v>6873</v>
      </c>
      <c r="BI19" s="47">
        <f t="shared" si="4"/>
        <v>54885.761999999995</v>
      </c>
      <c r="BK19" s="47">
        <v>128236</v>
      </c>
      <c r="BL19" s="47">
        <f t="shared" si="5"/>
        <v>91262.595726664586</v>
      </c>
      <c r="BM19" s="47">
        <f t="shared" si="11"/>
        <v>36973.4042733354</v>
      </c>
      <c r="BN19" s="47" t="b">
        <f t="shared" si="6"/>
        <v>1</v>
      </c>
      <c r="BP19" s="47">
        <v>122682</v>
      </c>
      <c r="BQ19" s="47">
        <f t="shared" si="12"/>
        <v>107319.30200192903</v>
      </c>
      <c r="BR19" s="47">
        <f t="shared" si="13"/>
        <v>15362.697998070977</v>
      </c>
      <c r="BS19" s="47" t="b">
        <f t="shared" si="7"/>
        <v>1</v>
      </c>
      <c r="BT19" s="47">
        <v>40620</v>
      </c>
      <c r="BU19" s="47">
        <f t="shared" si="14"/>
        <v>239201.89772859361</v>
      </c>
      <c r="BV19" s="47">
        <f t="shared" si="15"/>
        <v>52336.102271406373</v>
      </c>
      <c r="BW19" s="425"/>
    </row>
    <row r="20" spans="2:75" x14ac:dyDescent="0.25">
      <c r="B20" s="266"/>
      <c r="C20" s="416">
        <v>1985</v>
      </c>
      <c r="D20" s="47">
        <v>367211.96672000003</v>
      </c>
      <c r="F20" s="47">
        <v>3750</v>
      </c>
      <c r="G20" s="47">
        <v>1010</v>
      </c>
      <c r="J20" s="47">
        <v>169496.99872</v>
      </c>
      <c r="K20" s="47">
        <v>55374</v>
      </c>
      <c r="L20" s="47">
        <v>137580.96799999999</v>
      </c>
      <c r="M20" s="47">
        <f t="shared" si="0"/>
        <v>362451.96672000003</v>
      </c>
      <c r="N20" s="267"/>
      <c r="P20" s="266"/>
      <c r="Q20" s="416">
        <v>1985</v>
      </c>
      <c r="R20" s="416"/>
      <c r="S20" s="416"/>
      <c r="T20" s="416"/>
      <c r="U20" s="416"/>
      <c r="V20" s="47">
        <v>4831.0428015564203</v>
      </c>
      <c r="W20" s="47">
        <v>468.95719844357973</v>
      </c>
      <c r="Y20" s="47">
        <v>51202</v>
      </c>
      <c r="Z20" s="47">
        <v>54599</v>
      </c>
      <c r="AA20" s="47">
        <v>84166</v>
      </c>
      <c r="AC20" s="47">
        <v>23878</v>
      </c>
      <c r="AD20" s="47">
        <v>12345</v>
      </c>
      <c r="AE20" s="47">
        <f t="shared" si="1"/>
        <v>231490</v>
      </c>
      <c r="AG20" s="47">
        <v>134510.04280155641</v>
      </c>
      <c r="AH20" s="47">
        <v>96979.957198443575</v>
      </c>
      <c r="AI20" s="425"/>
      <c r="AK20" s="266"/>
      <c r="AL20" s="416">
        <v>1985</v>
      </c>
      <c r="AM20" s="47"/>
      <c r="AN20" s="47">
        <f t="shared" si="2"/>
        <v>362451.96672000003</v>
      </c>
      <c r="AO20" s="47">
        <v>35139</v>
      </c>
      <c r="AP20" s="47">
        <v>3411</v>
      </c>
      <c r="AQ20" s="47">
        <f t="shared" si="8"/>
        <v>39020.682702138482</v>
      </c>
      <c r="AR20" s="425">
        <f t="shared" si="9"/>
        <v>284881.28401786153</v>
      </c>
      <c r="AT20" s="266"/>
      <c r="AU20" s="416">
        <v>1985</v>
      </c>
      <c r="AV20" s="441">
        <v>53424.998720000011</v>
      </c>
      <c r="AW20" s="47">
        <v>4172</v>
      </c>
      <c r="AX20" s="47">
        <v>37658.968000000001</v>
      </c>
      <c r="AY20" s="425">
        <f t="shared" si="10"/>
        <v>95255.966720000011</v>
      </c>
      <c r="BA20" s="266"/>
      <c r="BB20" s="416">
        <v>1985</v>
      </c>
      <c r="BC20" s="441">
        <v>53424.998720000011</v>
      </c>
      <c r="BD20" s="47">
        <v>35139</v>
      </c>
      <c r="BE20" s="47">
        <f t="shared" si="3"/>
        <v>88563.998720000003</v>
      </c>
      <c r="BG20" s="47">
        <v>37658.968000000001</v>
      </c>
      <c r="BH20" s="47">
        <v>3411</v>
      </c>
      <c r="BI20" s="47">
        <f t="shared" si="4"/>
        <v>41069.968000000001</v>
      </c>
      <c r="BK20" s="47">
        <v>78145</v>
      </c>
      <c r="BL20" s="47">
        <f t="shared" si="5"/>
        <v>47139.88285661726</v>
      </c>
      <c r="BM20" s="47">
        <f t="shared" si="11"/>
        <v>31005.117143382751</v>
      </c>
      <c r="BN20" s="47" t="b">
        <f t="shared" si="6"/>
        <v>1</v>
      </c>
      <c r="BP20" s="47">
        <v>96511</v>
      </c>
      <c r="BQ20" s="47">
        <f t="shared" si="12"/>
        <v>88495.434441244259</v>
      </c>
      <c r="BR20" s="47">
        <f t="shared" si="13"/>
        <v>8015.5655587557312</v>
      </c>
      <c r="BS20" s="47" t="b">
        <f t="shared" si="7"/>
        <v>1</v>
      </c>
      <c r="BT20" s="47">
        <v>51202</v>
      </c>
      <c r="BU20" s="47">
        <f t="shared" si="14"/>
        <v>186837.3172978615</v>
      </c>
      <c r="BV20" s="47">
        <f t="shared" si="15"/>
        <v>39020.682702138482</v>
      </c>
      <c r="BW20" s="425"/>
    </row>
    <row r="21" spans="2:75" x14ac:dyDescent="0.25">
      <c r="B21" s="266"/>
      <c r="C21" s="416">
        <v>1986</v>
      </c>
      <c r="D21" s="47">
        <v>1578052.9891678179</v>
      </c>
      <c r="F21" s="47">
        <v>13081.113791916287</v>
      </c>
      <c r="G21" s="47">
        <v>21764.068470701677</v>
      </c>
      <c r="J21" s="47">
        <v>671561.48551000003</v>
      </c>
      <c r="K21" s="47">
        <v>75384</v>
      </c>
      <c r="L21" s="47">
        <v>796262.32139519998</v>
      </c>
      <c r="M21" s="47">
        <f t="shared" si="0"/>
        <v>1543207.8069052</v>
      </c>
      <c r="N21" s="267"/>
      <c r="P21" s="266"/>
      <c r="Q21" s="416">
        <v>1986</v>
      </c>
      <c r="R21" s="416"/>
      <c r="S21" s="416"/>
      <c r="T21" s="416"/>
      <c r="U21" s="416"/>
      <c r="V21" s="47">
        <v>37089.858382838785</v>
      </c>
      <c r="W21" s="47">
        <v>3210.1416171612145</v>
      </c>
      <c r="Y21" s="47">
        <v>55575</v>
      </c>
      <c r="Z21" s="47">
        <v>301028</v>
      </c>
      <c r="AA21" s="47">
        <v>624371</v>
      </c>
      <c r="AC21" s="47">
        <v>111080</v>
      </c>
      <c r="AD21" s="47">
        <v>35109</v>
      </c>
      <c r="AE21" s="47">
        <f t="shared" si="1"/>
        <v>1167463</v>
      </c>
      <c r="AG21" s="47">
        <v>504772.85838283878</v>
      </c>
      <c r="AH21" s="47">
        <v>662690.14161716122</v>
      </c>
      <c r="AI21" s="425"/>
      <c r="AK21" s="266"/>
      <c r="AL21" s="416">
        <v>1986</v>
      </c>
      <c r="AM21" s="47"/>
      <c r="AN21" s="47">
        <f t="shared" si="2"/>
        <v>1543207.8069052</v>
      </c>
      <c r="AO21" s="47">
        <v>118757.48551</v>
      </c>
      <c r="AP21" s="47">
        <v>10278.5063952</v>
      </c>
      <c r="AQ21" s="47">
        <f t="shared" si="8"/>
        <v>239132.73581098096</v>
      </c>
      <c r="AR21" s="425">
        <f t="shared" si="9"/>
        <v>1175039.079189019</v>
      </c>
      <c r="AT21" s="266"/>
      <c r="AU21" s="416">
        <v>1986</v>
      </c>
      <c r="AV21" s="441">
        <v>138772.00000000003</v>
      </c>
      <c r="AW21" s="47">
        <v>19809</v>
      </c>
      <c r="AX21" s="47">
        <v>126503.81499999999</v>
      </c>
      <c r="AY21" s="425">
        <f t="shared" si="10"/>
        <v>285084.815</v>
      </c>
      <c r="BA21" s="266"/>
      <c r="BB21" s="416">
        <v>1986</v>
      </c>
      <c r="BC21" s="441">
        <v>138772.00000000003</v>
      </c>
      <c r="BD21" s="47">
        <v>118757.48551</v>
      </c>
      <c r="BE21" s="47">
        <f t="shared" si="3"/>
        <v>257529.48551000003</v>
      </c>
      <c r="BG21" s="47">
        <v>126503.81499999999</v>
      </c>
      <c r="BH21" s="47">
        <v>10278.5063952</v>
      </c>
      <c r="BI21" s="47">
        <f t="shared" si="4"/>
        <v>136782.32139519998</v>
      </c>
      <c r="BK21" s="47">
        <v>411102</v>
      </c>
      <c r="BL21" s="47">
        <f t="shared" si="5"/>
        <v>221525.88326350984</v>
      </c>
      <c r="BM21" s="47">
        <f t="shared" si="11"/>
        <v>189576.11673649016</v>
      </c>
      <c r="BN21" s="47" t="b">
        <f t="shared" si="6"/>
        <v>1</v>
      </c>
      <c r="BP21" s="47">
        <v>659480</v>
      </c>
      <c r="BQ21" s="47">
        <f t="shared" si="12"/>
        <v>609923.38092550926</v>
      </c>
      <c r="BR21" s="47">
        <f t="shared" si="13"/>
        <v>49556.61907449078</v>
      </c>
      <c r="BS21" s="47" t="b">
        <f t="shared" si="7"/>
        <v>1</v>
      </c>
      <c r="BT21" s="47">
        <v>55575</v>
      </c>
      <c r="BU21" s="47">
        <f t="shared" si="14"/>
        <v>887024.2641890191</v>
      </c>
      <c r="BV21" s="47">
        <f t="shared" si="15"/>
        <v>239132.73581098096</v>
      </c>
      <c r="BW21" s="425"/>
    </row>
    <row r="22" spans="2:75" x14ac:dyDescent="0.25">
      <c r="B22" s="266"/>
      <c r="C22" s="416">
        <v>1987</v>
      </c>
      <c r="D22" s="47">
        <v>324199.53645061608</v>
      </c>
      <c r="F22" s="47">
        <v>4469.3147577156196</v>
      </c>
      <c r="G22" s="47">
        <v>5859.4416929004374</v>
      </c>
      <c r="J22" s="47">
        <v>177117</v>
      </c>
      <c r="K22" s="47">
        <v>14533</v>
      </c>
      <c r="L22" s="47">
        <v>122220.78</v>
      </c>
      <c r="M22" s="47">
        <f t="shared" si="0"/>
        <v>313870.78000000003</v>
      </c>
      <c r="N22" s="267"/>
      <c r="P22" s="266"/>
      <c r="Q22" s="416">
        <v>1987</v>
      </c>
      <c r="R22" s="416"/>
      <c r="S22" s="416"/>
      <c r="T22" s="416"/>
      <c r="U22" s="416"/>
      <c r="V22" s="47">
        <v>2127.264533573682</v>
      </c>
      <c r="W22" s="47">
        <v>272.735466426318</v>
      </c>
      <c r="Y22" s="47">
        <v>13545</v>
      </c>
      <c r="Z22" s="47">
        <v>86929</v>
      </c>
      <c r="AA22" s="47">
        <v>64748.999999999993</v>
      </c>
      <c r="AC22" s="47">
        <v>33680</v>
      </c>
      <c r="AD22" s="47">
        <v>20814</v>
      </c>
      <c r="AE22" s="47">
        <f t="shared" si="1"/>
        <v>222117</v>
      </c>
      <c r="AG22" s="47">
        <v>136281.2645335737</v>
      </c>
      <c r="AH22" s="47">
        <v>85835.735466426311</v>
      </c>
      <c r="AI22" s="425"/>
      <c r="AK22" s="266"/>
      <c r="AL22" s="416">
        <v>1987</v>
      </c>
      <c r="AM22" s="47"/>
      <c r="AN22" s="47">
        <f t="shared" si="2"/>
        <v>313870.78000000003</v>
      </c>
      <c r="AO22" s="47">
        <v>23602</v>
      </c>
      <c r="AP22" s="47">
        <v>3026</v>
      </c>
      <c r="AQ22" s="47">
        <f t="shared" si="8"/>
        <v>58456.229285698755</v>
      </c>
      <c r="AR22" s="425">
        <f t="shared" si="9"/>
        <v>228786.55071430127</v>
      </c>
      <c r="AT22" s="266"/>
      <c r="AU22" s="416">
        <v>1987</v>
      </c>
      <c r="AV22" s="441">
        <v>31638.999999999996</v>
      </c>
      <c r="AW22" s="47">
        <v>988</v>
      </c>
      <c r="AX22" s="47">
        <v>33631.78</v>
      </c>
      <c r="AY22" s="425">
        <f t="shared" si="10"/>
        <v>66258.78</v>
      </c>
      <c r="BA22" s="266"/>
      <c r="BB22" s="416">
        <v>1987</v>
      </c>
      <c r="BC22" s="441">
        <v>31638.999999999996</v>
      </c>
      <c r="BD22" s="47">
        <v>23602</v>
      </c>
      <c r="BE22" s="47">
        <f t="shared" si="3"/>
        <v>55241</v>
      </c>
      <c r="BG22" s="47">
        <v>33631.78</v>
      </c>
      <c r="BH22" s="47">
        <v>3026</v>
      </c>
      <c r="BI22" s="47">
        <f t="shared" si="4"/>
        <v>36657.78</v>
      </c>
      <c r="BK22" s="47">
        <v>120287</v>
      </c>
      <c r="BL22" s="47">
        <f t="shared" si="5"/>
        <v>68893.763563295375</v>
      </c>
      <c r="BM22" s="47">
        <f t="shared" si="11"/>
        <v>51393.236436704625</v>
      </c>
      <c r="BN22" s="47" t="b">
        <f t="shared" si="6"/>
        <v>1</v>
      </c>
      <c r="BP22" s="47">
        <v>85563</v>
      </c>
      <c r="BQ22" s="47">
        <f t="shared" si="12"/>
        <v>78500.007151005862</v>
      </c>
      <c r="BR22" s="47">
        <f t="shared" si="13"/>
        <v>7062.9928489941294</v>
      </c>
      <c r="BS22" s="47" t="b">
        <f t="shared" si="7"/>
        <v>1</v>
      </c>
      <c r="BT22" s="47">
        <v>13545</v>
      </c>
      <c r="BU22" s="47">
        <f t="shared" si="14"/>
        <v>160938.77071430124</v>
      </c>
      <c r="BV22" s="47">
        <f t="shared" si="15"/>
        <v>58456.229285698755</v>
      </c>
      <c r="BW22" s="425"/>
    </row>
    <row r="23" spans="2:75" x14ac:dyDescent="0.25">
      <c r="B23" s="266"/>
      <c r="C23" s="416">
        <v>1988</v>
      </c>
      <c r="D23" s="47">
        <v>686139.66312707413</v>
      </c>
      <c r="F23" s="47">
        <v>7979.1691788759545</v>
      </c>
      <c r="G23" s="47">
        <v>10521.171332198202</v>
      </c>
      <c r="J23" s="47">
        <v>282087.85085449996</v>
      </c>
      <c r="K23" s="47">
        <v>52950</v>
      </c>
      <c r="L23" s="47">
        <v>332601.4717615</v>
      </c>
      <c r="M23" s="47">
        <f t="shared" si="0"/>
        <v>667639.32261599996</v>
      </c>
      <c r="N23" s="267"/>
      <c r="P23" s="266"/>
      <c r="Q23" s="416">
        <v>1988</v>
      </c>
      <c r="R23" s="416"/>
      <c r="S23" s="416"/>
      <c r="T23" s="416"/>
      <c r="U23" s="416"/>
      <c r="V23" s="47">
        <v>2341.0184496821844</v>
      </c>
      <c r="W23" s="47">
        <v>358.98155031781562</v>
      </c>
      <c r="Y23" s="47">
        <v>49807</v>
      </c>
      <c r="Z23" s="47">
        <v>136900</v>
      </c>
      <c r="AA23" s="47">
        <v>174842</v>
      </c>
      <c r="AC23" s="47">
        <v>69553</v>
      </c>
      <c r="AD23" s="47">
        <v>86698</v>
      </c>
      <c r="AE23" s="47">
        <f t="shared" si="1"/>
        <v>520500</v>
      </c>
      <c r="AG23" s="47">
        <v>258601.01844968219</v>
      </c>
      <c r="AH23" s="47">
        <v>261898.98155031781</v>
      </c>
      <c r="AI23" s="425"/>
      <c r="AK23" s="266"/>
      <c r="AL23" s="416">
        <v>1988</v>
      </c>
      <c r="AM23" s="47"/>
      <c r="AN23" s="47">
        <f t="shared" si="2"/>
        <v>667639.32261599996</v>
      </c>
      <c r="AO23" s="47">
        <v>28506.851794499999</v>
      </c>
      <c r="AP23" s="47">
        <v>4371.3597615000008</v>
      </c>
      <c r="AQ23" s="47">
        <f t="shared" si="8"/>
        <v>97066.509337037452</v>
      </c>
      <c r="AR23" s="425">
        <f t="shared" si="9"/>
        <v>537694.60172296246</v>
      </c>
      <c r="AT23" s="266"/>
      <c r="AU23" s="416">
        <v>1988</v>
      </c>
      <c r="AV23" s="441">
        <v>43975.999059999995</v>
      </c>
      <c r="AW23" s="47">
        <v>3143</v>
      </c>
      <c r="AX23" s="47">
        <v>66690.111999999994</v>
      </c>
      <c r="AY23" s="425">
        <f t="shared" si="10"/>
        <v>113809.11106</v>
      </c>
      <c r="BA23" s="266"/>
      <c r="BB23" s="416">
        <v>1988</v>
      </c>
      <c r="BC23" s="441">
        <v>43975.999059999995</v>
      </c>
      <c r="BD23" s="47">
        <v>28506.851794499999</v>
      </c>
      <c r="BE23" s="47">
        <f t="shared" si="3"/>
        <v>72482.850854499993</v>
      </c>
      <c r="BG23" s="47">
        <v>66690.111999999994</v>
      </c>
      <c r="BH23" s="47">
        <v>4371.3597615000008</v>
      </c>
      <c r="BI23" s="47">
        <f t="shared" si="4"/>
        <v>71061.471761499997</v>
      </c>
      <c r="BK23" s="47">
        <v>205898</v>
      </c>
      <c r="BL23" s="47">
        <f t="shared" si="5"/>
        <v>124920.17280931408</v>
      </c>
      <c r="BM23" s="47">
        <f t="shared" si="11"/>
        <v>80977.827190685901</v>
      </c>
      <c r="BN23" s="47" t="b">
        <f t="shared" si="6"/>
        <v>1</v>
      </c>
      <c r="BP23" s="47">
        <v>261540</v>
      </c>
      <c r="BQ23" s="47">
        <f t="shared" si="12"/>
        <v>245451.31785364845</v>
      </c>
      <c r="BR23" s="47">
        <f t="shared" si="13"/>
        <v>16088.682146351555</v>
      </c>
      <c r="BS23" s="47" t="b">
        <f t="shared" si="7"/>
        <v>1</v>
      </c>
      <c r="BT23" s="47">
        <v>49807</v>
      </c>
      <c r="BU23" s="47">
        <f t="shared" si="14"/>
        <v>420178.49066296255</v>
      </c>
      <c r="BV23" s="47">
        <f t="shared" si="15"/>
        <v>97066.509337037452</v>
      </c>
      <c r="BW23" s="425"/>
    </row>
    <row r="24" spans="2:75" x14ac:dyDescent="0.25">
      <c r="B24" s="266"/>
      <c r="C24" s="416">
        <v>1989</v>
      </c>
      <c r="D24" s="47">
        <v>728684.88569218374</v>
      </c>
      <c r="F24" s="47">
        <v>9928.4737922643035</v>
      </c>
      <c r="G24" s="47">
        <v>14172.879899919422</v>
      </c>
      <c r="J24" s="47">
        <v>234825.47999999998</v>
      </c>
      <c r="K24" s="47">
        <v>28950</v>
      </c>
      <c r="L24" s="47">
        <v>440808.05200000003</v>
      </c>
      <c r="M24" s="47">
        <f t="shared" si="0"/>
        <v>704583.53200000001</v>
      </c>
      <c r="N24" s="267"/>
      <c r="P24" s="266"/>
      <c r="Q24" s="416">
        <v>1989</v>
      </c>
      <c r="R24" s="416"/>
      <c r="S24" s="416"/>
      <c r="T24" s="416"/>
      <c r="U24" s="416"/>
      <c r="V24" s="47">
        <v>6187.8080082135521</v>
      </c>
      <c r="W24" s="47">
        <v>2512.1919917864479</v>
      </c>
      <c r="Y24" s="47">
        <v>26225</v>
      </c>
      <c r="Z24" s="47">
        <v>52000</v>
      </c>
      <c r="AA24" s="47">
        <v>309100</v>
      </c>
      <c r="AC24" s="47">
        <v>63820</v>
      </c>
      <c r="AD24" s="47">
        <v>36412</v>
      </c>
      <c r="AE24" s="47">
        <f t="shared" si="1"/>
        <v>496257</v>
      </c>
      <c r="AG24" s="47">
        <v>148232.80800821356</v>
      </c>
      <c r="AH24" s="47">
        <v>348024.19199178647</v>
      </c>
      <c r="AI24" s="425"/>
      <c r="AK24" s="266"/>
      <c r="AL24" s="416">
        <v>1989</v>
      </c>
      <c r="AM24" s="47"/>
      <c r="AN24" s="47">
        <f t="shared" si="2"/>
        <v>704583.53200000001</v>
      </c>
      <c r="AO24" s="47">
        <v>22168</v>
      </c>
      <c r="AP24" s="47">
        <v>9000</v>
      </c>
      <c r="AQ24" s="47">
        <f t="shared" si="8"/>
        <v>54319.681687639793</v>
      </c>
      <c r="AR24" s="425">
        <f t="shared" si="9"/>
        <v>619095.85031236021</v>
      </c>
      <c r="AT24" s="266"/>
      <c r="AU24" s="416">
        <v>1989</v>
      </c>
      <c r="AV24" s="441">
        <v>95297.999999999985</v>
      </c>
      <c r="AW24" s="47">
        <v>2725</v>
      </c>
      <c r="AX24" s="47">
        <v>86296.051999999996</v>
      </c>
      <c r="AY24" s="425">
        <f t="shared" si="10"/>
        <v>184319.05199999997</v>
      </c>
      <c r="BA24" s="266"/>
      <c r="BB24" s="416">
        <v>1989</v>
      </c>
      <c r="BC24" s="441">
        <v>95297.999999999985</v>
      </c>
      <c r="BD24" s="47">
        <v>22168</v>
      </c>
      <c r="BE24" s="47">
        <f t="shared" si="3"/>
        <v>117465.99999999999</v>
      </c>
      <c r="BG24" s="47">
        <v>86296.051999999996</v>
      </c>
      <c r="BH24" s="47">
        <v>9000</v>
      </c>
      <c r="BI24" s="47">
        <f t="shared" si="4"/>
        <v>95296.051999999996</v>
      </c>
      <c r="BK24" s="47">
        <v>114926</v>
      </c>
      <c r="BL24" s="47">
        <f t="shared" si="5"/>
        <v>93237.344831695984</v>
      </c>
      <c r="BM24" s="47">
        <f t="shared" si="11"/>
        <v>21688.655168304023</v>
      </c>
      <c r="BN24" s="47" t="b">
        <f t="shared" si="6"/>
        <v>1</v>
      </c>
      <c r="BP24" s="47">
        <v>345512</v>
      </c>
      <c r="BQ24" s="47">
        <f t="shared" si="12"/>
        <v>312880.97348066425</v>
      </c>
      <c r="BR24" s="47">
        <f t="shared" si="13"/>
        <v>32631.026519335766</v>
      </c>
      <c r="BS24" s="47" t="b">
        <f t="shared" si="7"/>
        <v>1</v>
      </c>
      <c r="BT24" s="47">
        <v>26225</v>
      </c>
      <c r="BU24" s="47">
        <f t="shared" si="14"/>
        <v>432343.31831236021</v>
      </c>
      <c r="BV24" s="47">
        <f t="shared" si="15"/>
        <v>54319.681687639793</v>
      </c>
      <c r="BW24" s="425"/>
    </row>
    <row r="25" spans="2:75" x14ac:dyDescent="0.25">
      <c r="B25" s="266"/>
      <c r="C25" s="416">
        <v>1990</v>
      </c>
      <c r="D25" s="47">
        <v>207982.64233891192</v>
      </c>
      <c r="F25" s="47">
        <v>4543.3551686191659</v>
      </c>
      <c r="G25" s="47">
        <v>7370.0881702927363</v>
      </c>
      <c r="J25" s="47">
        <v>87552.010000000009</v>
      </c>
      <c r="K25" s="47">
        <v>20679</v>
      </c>
      <c r="L25" s="47">
        <v>87838.189000000013</v>
      </c>
      <c r="M25" s="47">
        <f t="shared" si="0"/>
        <v>196069.19900000002</v>
      </c>
      <c r="N25" s="267"/>
      <c r="P25" s="266"/>
      <c r="Q25" s="416">
        <v>1990</v>
      </c>
      <c r="R25" s="416"/>
      <c r="S25" s="416"/>
      <c r="T25" s="416"/>
      <c r="U25" s="416"/>
      <c r="V25" s="47">
        <v>2175.1870645910381</v>
      </c>
      <c r="W25" s="47">
        <v>724.81293540896195</v>
      </c>
      <c r="Y25" s="47">
        <v>18573</v>
      </c>
      <c r="Z25" s="47">
        <v>19744</v>
      </c>
      <c r="AA25" s="47">
        <v>27854</v>
      </c>
      <c r="AC25" s="47">
        <v>19517.165999999997</v>
      </c>
      <c r="AD25" s="47">
        <v>9341.8340000000007</v>
      </c>
      <c r="AE25" s="47">
        <f t="shared" si="1"/>
        <v>97930</v>
      </c>
      <c r="AG25" s="47">
        <v>60009.353064591036</v>
      </c>
      <c r="AH25" s="47">
        <v>37920.646935408964</v>
      </c>
      <c r="AI25" s="425"/>
      <c r="AK25" s="266"/>
      <c r="AL25" s="416">
        <v>1990</v>
      </c>
      <c r="AM25" s="47"/>
      <c r="AN25" s="47">
        <f t="shared" si="2"/>
        <v>196069.19900000002</v>
      </c>
      <c r="AO25" s="47">
        <v>8721</v>
      </c>
      <c r="AP25" s="47">
        <v>2906</v>
      </c>
      <c r="AQ25" s="47">
        <f t="shared" si="8"/>
        <v>9260.8568212539321</v>
      </c>
      <c r="AR25" s="425">
        <f t="shared" si="9"/>
        <v>175181.3421787461</v>
      </c>
      <c r="AT25" s="266"/>
      <c r="AU25" s="416">
        <v>1990</v>
      </c>
      <c r="AV25" s="441">
        <v>38963.844000000005</v>
      </c>
      <c r="AW25" s="47">
        <v>2106</v>
      </c>
      <c r="AX25" s="47">
        <v>47736.355000000003</v>
      </c>
      <c r="AY25" s="425">
        <f t="shared" si="10"/>
        <v>88806.199000000008</v>
      </c>
      <c r="BA25" s="266"/>
      <c r="BB25" s="416">
        <v>1990</v>
      </c>
      <c r="BC25" s="441">
        <v>38963.844000000005</v>
      </c>
      <c r="BD25" s="47">
        <v>8721</v>
      </c>
      <c r="BE25" s="47">
        <f t="shared" si="3"/>
        <v>47684.844000000005</v>
      </c>
      <c r="BG25" s="47">
        <v>47736.355000000003</v>
      </c>
      <c r="BH25" s="47">
        <v>2906</v>
      </c>
      <c r="BI25" s="47">
        <f t="shared" si="4"/>
        <v>50642.355000000003</v>
      </c>
      <c r="BK25" s="47">
        <v>38966.165999999997</v>
      </c>
      <c r="BL25" s="47">
        <f t="shared" si="5"/>
        <v>31839.7101876249</v>
      </c>
      <c r="BM25" s="47">
        <f t="shared" si="11"/>
        <v>7126.4558123751003</v>
      </c>
      <c r="BN25" s="47" t="b">
        <f t="shared" si="6"/>
        <v>1</v>
      </c>
      <c r="BP25" s="47">
        <v>37195.834000000003</v>
      </c>
      <c r="BQ25" s="47">
        <f t="shared" si="12"/>
        <v>35061.432991121168</v>
      </c>
      <c r="BR25" s="47">
        <f t="shared" si="13"/>
        <v>2134.4010088788327</v>
      </c>
      <c r="BS25" s="47" t="b">
        <f t="shared" si="7"/>
        <v>1</v>
      </c>
      <c r="BT25" s="47">
        <v>18573</v>
      </c>
      <c r="BU25" s="47">
        <f t="shared" si="14"/>
        <v>85474.143178746075</v>
      </c>
      <c r="BV25" s="47">
        <f t="shared" si="15"/>
        <v>9260.8568212539321</v>
      </c>
      <c r="BW25" s="425"/>
    </row>
    <row r="26" spans="2:75" x14ac:dyDescent="0.25">
      <c r="B26" s="266"/>
      <c r="C26" s="416">
        <v>1991</v>
      </c>
      <c r="D26" s="47">
        <v>981482.34590686695</v>
      </c>
      <c r="F26" s="47">
        <v>12570.799117403436</v>
      </c>
      <c r="G26" s="47">
        <v>18399.769789463528</v>
      </c>
      <c r="J26" s="47">
        <v>428605.48959999997</v>
      </c>
      <c r="K26" s="47">
        <v>85105</v>
      </c>
      <c r="L26" s="47">
        <v>436801.28740000003</v>
      </c>
      <c r="M26" s="47">
        <f t="shared" si="0"/>
        <v>950511.777</v>
      </c>
      <c r="N26" s="267"/>
      <c r="P26" s="266"/>
      <c r="Q26" s="416">
        <v>1991</v>
      </c>
      <c r="R26" s="416"/>
      <c r="S26" s="416"/>
      <c r="T26" s="416"/>
      <c r="U26" s="416"/>
      <c r="V26" s="47">
        <v>9397.3500033974324</v>
      </c>
      <c r="W26" s="47">
        <v>3402.6499966025676</v>
      </c>
      <c r="Y26" s="47">
        <v>80382</v>
      </c>
      <c r="Z26" s="47">
        <v>122800</v>
      </c>
      <c r="AA26" s="47">
        <v>204300</v>
      </c>
      <c r="AC26" s="47">
        <v>159975.4896</v>
      </c>
      <c r="AD26" s="47">
        <v>80786.510399999999</v>
      </c>
      <c r="AE26" s="47">
        <f t="shared" si="1"/>
        <v>661044</v>
      </c>
      <c r="AG26" s="47">
        <v>372554.83960339741</v>
      </c>
      <c r="AH26" s="47">
        <v>288489.16039660259</v>
      </c>
      <c r="AI26" s="425"/>
      <c r="AK26" s="266"/>
      <c r="AL26" s="416">
        <v>1991</v>
      </c>
      <c r="AM26" s="47"/>
      <c r="AN26" s="47">
        <f t="shared" si="2"/>
        <v>950511.777</v>
      </c>
      <c r="AO26" s="47">
        <v>43219</v>
      </c>
      <c r="AP26" s="47">
        <v>15649</v>
      </c>
      <c r="AQ26" s="47">
        <f t="shared" si="8"/>
        <v>113031.01404757991</v>
      </c>
      <c r="AR26" s="425">
        <f t="shared" si="9"/>
        <v>778612.76295242005</v>
      </c>
      <c r="AT26" s="266"/>
      <c r="AU26" s="416">
        <v>1991</v>
      </c>
      <c r="AV26" s="441">
        <v>102504</v>
      </c>
      <c r="AW26" s="47">
        <v>4723</v>
      </c>
      <c r="AX26" s="47">
        <v>136065.777</v>
      </c>
      <c r="AY26" s="425">
        <f t="shared" si="10"/>
        <v>243292.777</v>
      </c>
      <c r="BA26" s="266"/>
      <c r="BB26" s="416">
        <v>1991</v>
      </c>
      <c r="BC26" s="441">
        <v>102504</v>
      </c>
      <c r="BD26" s="47">
        <v>43219</v>
      </c>
      <c r="BE26" s="47">
        <f t="shared" si="3"/>
        <v>145723</v>
      </c>
      <c r="BG26" s="47">
        <v>136065.777</v>
      </c>
      <c r="BH26" s="47">
        <v>15649</v>
      </c>
      <c r="BI26" s="47">
        <f t="shared" si="4"/>
        <v>151714.777</v>
      </c>
      <c r="BK26" s="47">
        <v>281961.48959999997</v>
      </c>
      <c r="BL26" s="47">
        <f t="shared" si="5"/>
        <v>198336.43645792632</v>
      </c>
      <c r="BM26" s="47">
        <f t="shared" si="11"/>
        <v>83625.053142073652</v>
      </c>
      <c r="BN26" s="47" t="b">
        <f t="shared" si="6"/>
        <v>1</v>
      </c>
      <c r="BP26" s="47">
        <v>285086.51040000003</v>
      </c>
      <c r="BQ26" s="47">
        <f t="shared" si="12"/>
        <v>255680.54949449378</v>
      </c>
      <c r="BR26" s="47">
        <f t="shared" si="13"/>
        <v>29405.960905506261</v>
      </c>
      <c r="BS26" s="47" t="b">
        <f t="shared" si="7"/>
        <v>1</v>
      </c>
      <c r="BT26" s="47">
        <v>80382</v>
      </c>
      <c r="BU26" s="47">
        <f t="shared" si="14"/>
        <v>534398.98595242016</v>
      </c>
      <c r="BV26" s="47">
        <f t="shared" si="15"/>
        <v>113031.01404757991</v>
      </c>
      <c r="BW26" s="425"/>
    </row>
    <row r="27" spans="2:75" x14ac:dyDescent="0.25">
      <c r="B27" s="266"/>
      <c r="C27" s="416">
        <v>1992</v>
      </c>
      <c r="D27" s="47">
        <v>225435.44137991333</v>
      </c>
      <c r="F27" s="47">
        <v>5717.8767829696671</v>
      </c>
      <c r="G27" s="47">
        <v>7916.3425969436694</v>
      </c>
      <c r="J27" s="47">
        <v>91088</v>
      </c>
      <c r="K27" s="47">
        <v>18447</v>
      </c>
      <c r="L27" s="47">
        <v>102266.22199999999</v>
      </c>
      <c r="M27" s="47">
        <f t="shared" si="0"/>
        <v>211801.22200000001</v>
      </c>
      <c r="N27" s="267"/>
      <c r="P27" s="266"/>
      <c r="Q27" s="416">
        <v>1992</v>
      </c>
      <c r="R27" s="416"/>
      <c r="S27" s="416"/>
      <c r="T27" s="416"/>
      <c r="U27" s="416"/>
      <c r="V27" s="47">
        <v>617.6420886610714</v>
      </c>
      <c r="W27" s="47">
        <v>382.3579113389286</v>
      </c>
      <c r="Y27" s="47">
        <v>15845</v>
      </c>
      <c r="Z27" s="47">
        <v>3597</v>
      </c>
      <c r="AA27" s="47">
        <v>34651</v>
      </c>
      <c r="AC27" s="47">
        <v>34109</v>
      </c>
      <c r="AD27" s="47">
        <v>18334</v>
      </c>
      <c r="AE27" s="47">
        <f t="shared" si="1"/>
        <v>107536</v>
      </c>
      <c r="AG27" s="47">
        <v>54168.642088661072</v>
      </c>
      <c r="AH27" s="47">
        <v>53367.357911338928</v>
      </c>
      <c r="AI27" s="425"/>
      <c r="AK27" s="266"/>
      <c r="AL27" s="416">
        <v>1992</v>
      </c>
      <c r="AM27" s="47"/>
      <c r="AN27" s="47">
        <f t="shared" si="2"/>
        <v>211801.22200000001</v>
      </c>
      <c r="AO27" s="47">
        <v>10965</v>
      </c>
      <c r="AP27" s="47">
        <v>6788</v>
      </c>
      <c r="AQ27" s="47">
        <f t="shared" si="8"/>
        <v>15058.490612160194</v>
      </c>
      <c r="AR27" s="425">
        <f t="shared" si="9"/>
        <v>178989.73138783983</v>
      </c>
      <c r="AT27" s="266"/>
      <c r="AU27" s="416">
        <v>1992</v>
      </c>
      <c r="AV27" s="441">
        <v>41823.000000000007</v>
      </c>
      <c r="AW27" s="47">
        <v>2602</v>
      </c>
      <c r="AX27" s="47">
        <v>42493.221999999994</v>
      </c>
      <c r="AY27" s="425">
        <f t="shared" si="10"/>
        <v>86918.222000000009</v>
      </c>
      <c r="BA27" s="266"/>
      <c r="BB27" s="416">
        <v>1992</v>
      </c>
      <c r="BC27" s="441">
        <v>41823.000000000007</v>
      </c>
      <c r="BD27" s="47">
        <v>10965</v>
      </c>
      <c r="BE27" s="47">
        <f t="shared" si="3"/>
        <v>52788.000000000007</v>
      </c>
      <c r="BG27" s="47">
        <v>42493.221999999994</v>
      </c>
      <c r="BH27" s="47">
        <v>6788</v>
      </c>
      <c r="BI27" s="47">
        <f t="shared" si="4"/>
        <v>49281.221999999994</v>
      </c>
      <c r="BK27" s="47">
        <v>37360</v>
      </c>
      <c r="BL27" s="47">
        <f t="shared" si="5"/>
        <v>29599.668106387817</v>
      </c>
      <c r="BM27" s="47">
        <f t="shared" si="11"/>
        <v>7760.3318936121832</v>
      </c>
      <c r="BN27" s="47" t="b">
        <f t="shared" si="6"/>
        <v>1</v>
      </c>
      <c r="BP27" s="47">
        <v>52985</v>
      </c>
      <c r="BQ27" s="47">
        <f t="shared" si="12"/>
        <v>45686.841281451991</v>
      </c>
      <c r="BR27" s="47">
        <f t="shared" si="13"/>
        <v>7298.1587185480112</v>
      </c>
      <c r="BS27" s="47" t="b">
        <f t="shared" si="7"/>
        <v>1</v>
      </c>
      <c r="BT27" s="47">
        <v>15845</v>
      </c>
      <c r="BU27" s="47">
        <f t="shared" si="14"/>
        <v>91131.509387839804</v>
      </c>
      <c r="BV27" s="47">
        <f t="shared" si="15"/>
        <v>15058.490612160194</v>
      </c>
      <c r="BW27" s="425"/>
    </row>
    <row r="28" spans="2:75" x14ac:dyDescent="0.25">
      <c r="B28" s="266"/>
      <c r="C28" s="416">
        <v>1993</v>
      </c>
      <c r="D28" s="47">
        <v>117936.08744391591</v>
      </c>
      <c r="F28" s="47">
        <v>1599.036205370569</v>
      </c>
      <c r="G28" s="47">
        <v>2473.0672385453427</v>
      </c>
      <c r="J28" s="47">
        <v>55952</v>
      </c>
      <c r="K28" s="47">
        <v>16109</v>
      </c>
      <c r="L28" s="47">
        <v>41802.983999999997</v>
      </c>
      <c r="M28" s="47">
        <f t="shared" si="0"/>
        <v>113863.984</v>
      </c>
      <c r="N28" s="267"/>
      <c r="P28" s="266"/>
      <c r="Q28" s="416">
        <v>1993</v>
      </c>
      <c r="R28" s="416"/>
      <c r="S28" s="416"/>
      <c r="T28" s="416"/>
      <c r="U28" s="416"/>
      <c r="V28" s="47">
        <v>750.14095094906975</v>
      </c>
      <c r="W28" s="47">
        <v>249.85904905093025</v>
      </c>
      <c r="Y28" s="47">
        <v>14950</v>
      </c>
      <c r="Z28" s="47">
        <v>5893</v>
      </c>
      <c r="AA28" s="47">
        <v>14763</v>
      </c>
      <c r="AC28" s="47">
        <v>20158</v>
      </c>
      <c r="AD28" s="47">
        <v>7907</v>
      </c>
      <c r="AE28" s="47">
        <f t="shared" si="1"/>
        <v>64671</v>
      </c>
      <c r="AG28" s="47">
        <v>41751.14095094907</v>
      </c>
      <c r="AH28" s="47">
        <v>22919.85904905093</v>
      </c>
      <c r="AI28" s="425"/>
      <c r="AK28" s="266"/>
      <c r="AL28" s="416">
        <v>1993</v>
      </c>
      <c r="AM28" s="47"/>
      <c r="AN28" s="47">
        <f t="shared" si="2"/>
        <v>113863.984</v>
      </c>
      <c r="AO28" s="47">
        <v>7983</v>
      </c>
      <c r="AP28" s="47">
        <v>2659</v>
      </c>
      <c r="AQ28" s="47">
        <f t="shared" si="8"/>
        <v>10065.417166141786</v>
      </c>
      <c r="AR28" s="425">
        <f t="shared" si="9"/>
        <v>93156.566833858204</v>
      </c>
      <c r="AT28" s="266"/>
      <c r="AU28" s="416">
        <v>1993</v>
      </c>
      <c r="AV28" s="441">
        <v>21770</v>
      </c>
      <c r="AW28" s="47">
        <v>1159</v>
      </c>
      <c r="AX28" s="47">
        <v>16473.983999999997</v>
      </c>
      <c r="AY28" s="425">
        <f t="shared" si="10"/>
        <v>39402.983999999997</v>
      </c>
      <c r="BA28" s="266"/>
      <c r="BB28" s="416">
        <v>1993</v>
      </c>
      <c r="BC28" s="441">
        <v>21770</v>
      </c>
      <c r="BD28" s="47">
        <v>7983</v>
      </c>
      <c r="BE28" s="47">
        <f t="shared" si="3"/>
        <v>29753</v>
      </c>
      <c r="BG28" s="47">
        <v>16473.983999999997</v>
      </c>
      <c r="BH28" s="47">
        <v>2659</v>
      </c>
      <c r="BI28" s="47">
        <f t="shared" si="4"/>
        <v>19132.983999999997</v>
      </c>
      <c r="BK28" s="47">
        <v>25772</v>
      </c>
      <c r="BL28" s="47">
        <f t="shared" si="5"/>
        <v>18857.138439821196</v>
      </c>
      <c r="BM28" s="47">
        <f t="shared" si="11"/>
        <v>6914.8615601788051</v>
      </c>
      <c r="BN28" s="47" t="b">
        <f t="shared" si="6"/>
        <v>1</v>
      </c>
      <c r="BP28" s="47">
        <v>22670</v>
      </c>
      <c r="BQ28" s="47">
        <f t="shared" si="12"/>
        <v>19519.444394037018</v>
      </c>
      <c r="BR28" s="47">
        <f t="shared" si="13"/>
        <v>3150.5556059629807</v>
      </c>
      <c r="BS28" s="47" t="b">
        <f t="shared" si="7"/>
        <v>1</v>
      </c>
      <c r="BT28" s="47">
        <v>14950</v>
      </c>
      <c r="BU28" s="47">
        <f t="shared" si="14"/>
        <v>53326.582833858214</v>
      </c>
      <c r="BV28" s="47">
        <f t="shared" si="15"/>
        <v>10065.417166141786</v>
      </c>
      <c r="BW28" s="425"/>
    </row>
    <row r="29" spans="2:75" x14ac:dyDescent="0.25">
      <c r="B29" s="266"/>
      <c r="C29" s="416">
        <v>1994</v>
      </c>
      <c r="D29" s="47">
        <v>173390.95376787637</v>
      </c>
      <c r="F29" s="47">
        <v>4035.5742187567362</v>
      </c>
      <c r="G29" s="47">
        <v>3592.9235491196528</v>
      </c>
      <c r="J29" s="47">
        <v>78660</v>
      </c>
      <c r="K29" s="47">
        <v>56885</v>
      </c>
      <c r="L29" s="47">
        <v>30217.456000000002</v>
      </c>
      <c r="M29" s="47">
        <f t="shared" si="0"/>
        <v>165762.45600000001</v>
      </c>
      <c r="N29" s="267"/>
      <c r="P29" s="266"/>
      <c r="Q29" s="416">
        <v>1994</v>
      </c>
      <c r="R29" s="416"/>
      <c r="S29" s="416"/>
      <c r="T29" s="416"/>
      <c r="U29" s="416"/>
      <c r="V29" s="47">
        <v>803.94399526720576</v>
      </c>
      <c r="W29" s="47">
        <v>496.05600473279424</v>
      </c>
      <c r="Y29" s="47">
        <v>54628</v>
      </c>
      <c r="Z29" s="47">
        <v>3636</v>
      </c>
      <c r="AA29" s="47">
        <v>2398</v>
      </c>
      <c r="AC29" s="47">
        <v>4577</v>
      </c>
      <c r="AD29" s="47">
        <v>1689</v>
      </c>
      <c r="AE29" s="47">
        <f t="shared" si="1"/>
        <v>68228</v>
      </c>
      <c r="AG29" s="47">
        <v>63644.943995267204</v>
      </c>
      <c r="AH29" s="47">
        <v>4583.0560047327945</v>
      </c>
      <c r="AI29" s="425"/>
      <c r="AK29" s="266"/>
      <c r="AL29" s="416">
        <v>1994</v>
      </c>
      <c r="AM29" s="47"/>
      <c r="AN29" s="47">
        <f t="shared" si="2"/>
        <v>165762.45600000001</v>
      </c>
      <c r="AO29" s="47">
        <v>12544</v>
      </c>
      <c r="AP29" s="47">
        <v>7740</v>
      </c>
      <c r="AQ29" s="47">
        <f t="shared" si="8"/>
        <v>2652.7013577356815</v>
      </c>
      <c r="AR29" s="425">
        <f t="shared" si="9"/>
        <v>142825.75464226434</v>
      </c>
      <c r="AT29" s="266"/>
      <c r="AU29" s="416">
        <v>1994</v>
      </c>
      <c r="AV29" s="441">
        <v>57391.000000000007</v>
      </c>
      <c r="AW29" s="47">
        <v>2257</v>
      </c>
      <c r="AX29" s="47">
        <v>18390.456000000002</v>
      </c>
      <c r="AY29" s="425">
        <f t="shared" si="10"/>
        <v>78038.456000000006</v>
      </c>
      <c r="BA29" s="266"/>
      <c r="BB29" s="416">
        <v>1994</v>
      </c>
      <c r="BC29" s="441">
        <v>57391.000000000007</v>
      </c>
      <c r="BD29" s="47">
        <v>12544</v>
      </c>
      <c r="BE29" s="47">
        <f t="shared" si="3"/>
        <v>69935</v>
      </c>
      <c r="BG29" s="47">
        <v>18390.456000000002</v>
      </c>
      <c r="BH29" s="47">
        <v>7740</v>
      </c>
      <c r="BI29" s="47">
        <f t="shared" si="4"/>
        <v>26130.456000000002</v>
      </c>
      <c r="BK29" s="47">
        <v>8040</v>
      </c>
      <c r="BL29" s="47">
        <f t="shared" si="5"/>
        <v>6597.8929005505115</v>
      </c>
      <c r="BM29" s="47">
        <f t="shared" si="11"/>
        <v>1442.1070994494887</v>
      </c>
      <c r="BN29" s="47" t="b">
        <f t="shared" si="6"/>
        <v>1</v>
      </c>
      <c r="BP29" s="47">
        <v>4087</v>
      </c>
      <c r="BQ29" s="47">
        <f t="shared" si="12"/>
        <v>2876.4057417138069</v>
      </c>
      <c r="BR29" s="47">
        <f t="shared" si="13"/>
        <v>1210.5942582861928</v>
      </c>
      <c r="BS29" s="47" t="b">
        <f t="shared" si="7"/>
        <v>1</v>
      </c>
      <c r="BT29" s="47">
        <v>54628</v>
      </c>
      <c r="BU29" s="47">
        <f t="shared" si="14"/>
        <v>64102.298642264315</v>
      </c>
      <c r="BV29" s="47">
        <f t="shared" si="15"/>
        <v>2652.7013577356815</v>
      </c>
      <c r="BW29" s="425"/>
    </row>
    <row r="30" spans="2:75" x14ac:dyDescent="0.25">
      <c r="B30" s="266"/>
      <c r="C30" s="416">
        <v>1995</v>
      </c>
      <c r="D30" s="47">
        <v>77388.370063443799</v>
      </c>
      <c r="F30" s="47">
        <v>2635.3803722053281</v>
      </c>
      <c r="G30" s="47">
        <v>2272.420691238467</v>
      </c>
      <c r="J30" s="47">
        <v>34091.22</v>
      </c>
      <c r="K30" s="47">
        <v>21684</v>
      </c>
      <c r="L30" s="47">
        <v>16705.349000000002</v>
      </c>
      <c r="M30" s="47">
        <f t="shared" si="0"/>
        <v>72480.569000000003</v>
      </c>
      <c r="N30" s="267"/>
      <c r="P30" s="266"/>
      <c r="Q30" s="416">
        <v>1995</v>
      </c>
      <c r="R30" s="416"/>
      <c r="S30" s="416"/>
      <c r="T30" s="416"/>
      <c r="U30" s="416"/>
      <c r="V30" s="47">
        <v>267.03867615932268</v>
      </c>
      <c r="W30" s="47">
        <v>132.96132384067732</v>
      </c>
      <c r="Y30" s="47">
        <v>21157</v>
      </c>
      <c r="Z30" s="47">
        <v>0</v>
      </c>
      <c r="AA30" s="47">
        <v>240</v>
      </c>
      <c r="AC30" s="47">
        <v>6829.22</v>
      </c>
      <c r="AD30" s="47">
        <v>1234.7799999999997</v>
      </c>
      <c r="AE30" s="47">
        <f t="shared" si="1"/>
        <v>29861</v>
      </c>
      <c r="AG30" s="47">
        <v>28253.258676159323</v>
      </c>
      <c r="AH30" s="47">
        <v>1607.7413238406771</v>
      </c>
      <c r="AI30" s="425"/>
      <c r="AK30" s="266"/>
      <c r="AL30" s="416">
        <v>1995</v>
      </c>
      <c r="AM30" s="47"/>
      <c r="AN30" s="47">
        <f t="shared" si="2"/>
        <v>72480.569000000003</v>
      </c>
      <c r="AO30" s="47">
        <v>6939</v>
      </c>
      <c r="AP30" s="47">
        <v>3455</v>
      </c>
      <c r="AQ30" s="47">
        <f t="shared" si="8"/>
        <v>2055.5291012485627</v>
      </c>
      <c r="AR30" s="425">
        <f t="shared" si="9"/>
        <v>60031.039898751442</v>
      </c>
      <c r="AT30" s="266"/>
      <c r="AU30" s="416">
        <v>1995</v>
      </c>
      <c r="AV30" s="441">
        <v>19911.000000000004</v>
      </c>
      <c r="AW30" s="47">
        <v>527</v>
      </c>
      <c r="AX30" s="47">
        <v>11775.569000000001</v>
      </c>
      <c r="AY30" s="425">
        <f t="shared" si="10"/>
        <v>32213.569000000003</v>
      </c>
      <c r="BA30" s="266"/>
      <c r="BB30" s="416">
        <v>1995</v>
      </c>
      <c r="BC30" s="441">
        <v>19911.000000000004</v>
      </c>
      <c r="BD30" s="47">
        <v>6939</v>
      </c>
      <c r="BE30" s="47">
        <f t="shared" si="3"/>
        <v>26850.000000000004</v>
      </c>
      <c r="BG30" s="47">
        <v>11775.569000000001</v>
      </c>
      <c r="BH30" s="47">
        <v>3455</v>
      </c>
      <c r="BI30" s="47">
        <f t="shared" si="4"/>
        <v>15230.569000000001</v>
      </c>
      <c r="BK30" s="47">
        <v>6659.22</v>
      </c>
      <c r="BL30" s="47">
        <f t="shared" si="5"/>
        <v>4938.2394569832404</v>
      </c>
      <c r="BM30" s="47">
        <f t="shared" si="11"/>
        <v>1720.9805430167594</v>
      </c>
      <c r="BN30" s="47" t="b">
        <f t="shared" si="6"/>
        <v>1</v>
      </c>
      <c r="BP30" s="47">
        <v>1474.7799999999997</v>
      </c>
      <c r="BQ30" s="47">
        <f t="shared" si="12"/>
        <v>1140.2314417681964</v>
      </c>
      <c r="BR30" s="47">
        <f t="shared" si="13"/>
        <v>334.54855823180333</v>
      </c>
      <c r="BS30" s="47" t="b">
        <f t="shared" si="7"/>
        <v>1</v>
      </c>
      <c r="BT30" s="47">
        <v>21157</v>
      </c>
      <c r="BU30" s="47">
        <f t="shared" si="14"/>
        <v>27235.470898751439</v>
      </c>
      <c r="BV30" s="47">
        <f t="shared" si="15"/>
        <v>2055.5291012485627</v>
      </c>
      <c r="BW30" s="425"/>
    </row>
    <row r="31" spans="2:75" x14ac:dyDescent="0.25">
      <c r="B31" s="266"/>
      <c r="C31" s="416">
        <v>1996</v>
      </c>
      <c r="D31" s="47">
        <v>117121.72130580226</v>
      </c>
      <c r="F31" s="47">
        <v>1709.3024570307894</v>
      </c>
      <c r="G31" s="47">
        <v>2682.4188487714659</v>
      </c>
      <c r="J31" s="47">
        <v>60147.999999999993</v>
      </c>
      <c r="K31" s="47">
        <v>21784</v>
      </c>
      <c r="L31" s="47">
        <v>30798.000000000004</v>
      </c>
      <c r="M31" s="47">
        <f t="shared" si="0"/>
        <v>112730</v>
      </c>
      <c r="N31" s="267"/>
      <c r="P31" s="266"/>
      <c r="Q31" s="416">
        <v>1996</v>
      </c>
      <c r="R31" s="416"/>
      <c r="S31" s="416"/>
      <c r="T31" s="416"/>
      <c r="U31" s="416"/>
      <c r="V31" s="47">
        <v>397.35019381076444</v>
      </c>
      <c r="W31" s="47">
        <v>302.64980618923556</v>
      </c>
      <c r="Y31" s="47">
        <v>20372</v>
      </c>
      <c r="Z31" s="47">
        <v>1735</v>
      </c>
      <c r="AA31" s="47">
        <v>4049.0000000000005</v>
      </c>
      <c r="AC31" s="47">
        <v>6873</v>
      </c>
      <c r="AD31" s="47">
        <v>2045</v>
      </c>
      <c r="AE31" s="47">
        <f t="shared" si="1"/>
        <v>35774</v>
      </c>
      <c r="AG31" s="47">
        <v>29377.350193810766</v>
      </c>
      <c r="AH31" s="47">
        <v>6396.6498061892362</v>
      </c>
      <c r="AI31" s="425"/>
      <c r="AK31" s="266"/>
      <c r="AL31" s="416">
        <v>1996</v>
      </c>
      <c r="AM31" s="47"/>
      <c r="AN31" s="47">
        <f t="shared" si="2"/>
        <v>112730</v>
      </c>
      <c r="AO31" s="47">
        <v>8933</v>
      </c>
      <c r="AP31" s="47">
        <v>6804</v>
      </c>
      <c r="AQ31" s="47">
        <f t="shared" si="8"/>
        <v>3063.5210949963157</v>
      </c>
      <c r="AR31" s="425">
        <f t="shared" si="9"/>
        <v>93929.478905003678</v>
      </c>
      <c r="AT31" s="266"/>
      <c r="AU31" s="416">
        <v>1996</v>
      </c>
      <c r="AV31" s="441">
        <v>42867.999999999993</v>
      </c>
      <c r="AW31" s="47">
        <v>1412.0000000000002</v>
      </c>
      <c r="AX31" s="47">
        <v>17900.000000000004</v>
      </c>
      <c r="AY31" s="425">
        <f t="shared" si="10"/>
        <v>62180</v>
      </c>
      <c r="BA31" s="266"/>
      <c r="BB31" s="416">
        <v>1996</v>
      </c>
      <c r="BC31" s="441">
        <v>42867.999999999993</v>
      </c>
      <c r="BD31" s="47">
        <v>8933</v>
      </c>
      <c r="BE31" s="47">
        <f t="shared" si="3"/>
        <v>51800.999999999993</v>
      </c>
      <c r="BG31" s="47">
        <v>17900.000000000004</v>
      </c>
      <c r="BH31" s="47">
        <v>6804</v>
      </c>
      <c r="BI31" s="47">
        <f t="shared" si="4"/>
        <v>24704.000000000004</v>
      </c>
      <c r="BK31" s="47">
        <v>8032</v>
      </c>
      <c r="BL31" s="47">
        <f t="shared" si="5"/>
        <v>6646.8943842782955</v>
      </c>
      <c r="BM31" s="47">
        <f t="shared" si="11"/>
        <v>1385.1056157217045</v>
      </c>
      <c r="BN31" s="47" t="b">
        <f t="shared" si="6"/>
        <v>1</v>
      </c>
      <c r="BP31" s="47">
        <v>6094</v>
      </c>
      <c r="BQ31" s="47">
        <f t="shared" si="12"/>
        <v>4415.5845207253888</v>
      </c>
      <c r="BR31" s="47">
        <f t="shared" si="13"/>
        <v>1678.4154792746112</v>
      </c>
      <c r="BS31" s="47" t="b">
        <f t="shared" si="7"/>
        <v>1</v>
      </c>
      <c r="BT31" s="47">
        <v>20372</v>
      </c>
      <c r="BU31" s="47">
        <f t="shared" si="14"/>
        <v>31434.478905003685</v>
      </c>
      <c r="BV31" s="47">
        <f t="shared" si="15"/>
        <v>3063.5210949963157</v>
      </c>
      <c r="BW31" s="425"/>
    </row>
    <row r="32" spans="2:75" x14ac:dyDescent="0.25">
      <c r="B32" s="266"/>
      <c r="C32" s="416">
        <v>1997</v>
      </c>
      <c r="D32" s="47">
        <v>156371.93033005935</v>
      </c>
      <c r="F32" s="47">
        <v>3853.6756155207713</v>
      </c>
      <c r="G32" s="47">
        <v>4608.254714538577</v>
      </c>
      <c r="J32" s="47">
        <v>85920.149850000002</v>
      </c>
      <c r="K32" s="47">
        <v>17575</v>
      </c>
      <c r="L32" s="47">
        <v>44414.850149999998</v>
      </c>
      <c r="M32" s="47">
        <f t="shared" si="0"/>
        <v>147910</v>
      </c>
      <c r="N32" s="267"/>
      <c r="P32" s="266"/>
      <c r="Q32" s="416">
        <v>1997</v>
      </c>
      <c r="R32" s="416"/>
      <c r="S32" s="416"/>
      <c r="T32" s="416"/>
      <c r="U32" s="416"/>
      <c r="V32" s="47">
        <v>452.32285890326551</v>
      </c>
      <c r="W32" s="47">
        <v>147.67714109673449</v>
      </c>
      <c r="Y32" s="47">
        <v>16660</v>
      </c>
      <c r="Z32" s="47">
        <v>1460</v>
      </c>
      <c r="AA32" s="47">
        <v>2326</v>
      </c>
      <c r="AC32" s="47">
        <v>27084.149850000002</v>
      </c>
      <c r="AD32" s="47">
        <v>5442.8501500000002</v>
      </c>
      <c r="AE32" s="47">
        <f t="shared" si="1"/>
        <v>53573</v>
      </c>
      <c r="AG32" s="47">
        <v>45656.472708903268</v>
      </c>
      <c r="AH32" s="47">
        <v>7916.5272910967342</v>
      </c>
      <c r="AI32" s="425"/>
      <c r="AK32" s="266"/>
      <c r="AL32" s="416">
        <v>1997</v>
      </c>
      <c r="AM32" s="47"/>
      <c r="AN32" s="47">
        <f t="shared" si="2"/>
        <v>147910</v>
      </c>
      <c r="AO32" s="47">
        <v>18353</v>
      </c>
      <c r="AP32" s="47">
        <v>5992</v>
      </c>
      <c r="AQ32" s="47">
        <f t="shared" si="8"/>
        <v>10368.393291236529</v>
      </c>
      <c r="AR32" s="425">
        <f t="shared" si="9"/>
        <v>113196.60670876347</v>
      </c>
      <c r="AT32" s="266"/>
      <c r="AU32" s="416">
        <v>1997</v>
      </c>
      <c r="AV32" s="441">
        <v>38150</v>
      </c>
      <c r="AW32" s="47">
        <v>915</v>
      </c>
      <c r="AX32" s="47">
        <v>30654</v>
      </c>
      <c r="AY32" s="425">
        <f t="shared" si="10"/>
        <v>69719</v>
      </c>
      <c r="BA32" s="266"/>
      <c r="BB32" s="416">
        <v>1997</v>
      </c>
      <c r="BC32" s="441">
        <v>38150</v>
      </c>
      <c r="BD32" s="47">
        <v>18353</v>
      </c>
      <c r="BE32" s="47">
        <f t="shared" si="3"/>
        <v>56503</v>
      </c>
      <c r="BG32" s="47">
        <v>30654</v>
      </c>
      <c r="BH32" s="47">
        <v>5992</v>
      </c>
      <c r="BI32" s="47">
        <f t="shared" si="4"/>
        <v>36646</v>
      </c>
      <c r="BK32" s="47">
        <v>28010.149850000002</v>
      </c>
      <c r="BL32" s="47">
        <f t="shared" si="5"/>
        <v>18912.043905235121</v>
      </c>
      <c r="BM32" s="47">
        <f t="shared" si="11"/>
        <v>9098.1059447648804</v>
      </c>
      <c r="BN32" s="47" t="b">
        <f t="shared" si="6"/>
        <v>1</v>
      </c>
      <c r="BP32" s="47">
        <v>7768.8501500000002</v>
      </c>
      <c r="BQ32" s="47">
        <f t="shared" si="12"/>
        <v>6498.5628035283526</v>
      </c>
      <c r="BR32" s="47">
        <f t="shared" si="13"/>
        <v>1270.2873464716479</v>
      </c>
      <c r="BS32" s="47" t="b">
        <f t="shared" si="7"/>
        <v>1</v>
      </c>
      <c r="BT32" s="47">
        <v>16660</v>
      </c>
      <c r="BU32" s="47">
        <f t="shared" si="14"/>
        <v>42070.606708763473</v>
      </c>
      <c r="BV32" s="47">
        <f t="shared" si="15"/>
        <v>10368.393291236529</v>
      </c>
      <c r="BW32" s="425"/>
    </row>
    <row r="33" spans="2:75" x14ac:dyDescent="0.25">
      <c r="B33" s="266"/>
      <c r="C33" s="416">
        <v>1998</v>
      </c>
      <c r="D33" s="47">
        <v>175892.54479230233</v>
      </c>
      <c r="F33" s="47">
        <v>3283.3906773058125</v>
      </c>
      <c r="G33" s="47">
        <v>5133.1541149965087</v>
      </c>
      <c r="J33" s="47">
        <v>96272</v>
      </c>
      <c r="K33" s="47">
        <v>23675</v>
      </c>
      <c r="L33" s="47">
        <v>47529</v>
      </c>
      <c r="M33" s="47">
        <f t="shared" si="0"/>
        <v>167476</v>
      </c>
      <c r="N33" s="267"/>
      <c r="P33" s="266"/>
      <c r="Q33" s="416">
        <v>1998</v>
      </c>
      <c r="R33" s="416"/>
      <c r="S33" s="416"/>
      <c r="T33" s="416"/>
      <c r="U33" s="416"/>
      <c r="V33" s="47">
        <v>1107.8742709008425</v>
      </c>
      <c r="W33" s="47">
        <v>392.12572909915752</v>
      </c>
      <c r="Y33" s="47">
        <v>22771</v>
      </c>
      <c r="Z33" s="47">
        <v>41</v>
      </c>
      <c r="AA33" s="47">
        <v>232</v>
      </c>
      <c r="AC33" s="47">
        <v>7795</v>
      </c>
      <c r="AD33" s="47">
        <v>2586</v>
      </c>
      <c r="AE33" s="47">
        <f t="shared" si="1"/>
        <v>34925</v>
      </c>
      <c r="AG33" s="47">
        <v>31714.874270900844</v>
      </c>
      <c r="AH33" s="47">
        <v>3210.1257290991575</v>
      </c>
      <c r="AI33" s="425"/>
      <c r="AK33" s="266"/>
      <c r="AL33" s="416">
        <v>1998</v>
      </c>
      <c r="AM33" s="47"/>
      <c r="AN33" s="47">
        <f t="shared" si="2"/>
        <v>167476</v>
      </c>
      <c r="AO33" s="47">
        <v>34189</v>
      </c>
      <c r="AP33" s="47">
        <v>12101</v>
      </c>
      <c r="AQ33" s="47">
        <f t="shared" si="8"/>
        <v>3589.2572201958201</v>
      </c>
      <c r="AR33" s="425">
        <f t="shared" si="9"/>
        <v>117596.74277980418</v>
      </c>
      <c r="AT33" s="266"/>
      <c r="AU33" s="416">
        <v>1998</v>
      </c>
      <c r="AV33" s="441">
        <v>54387</v>
      </c>
      <c r="AW33" s="47">
        <v>904</v>
      </c>
      <c r="AX33" s="47">
        <v>32610</v>
      </c>
      <c r="AY33" s="425">
        <f t="shared" si="10"/>
        <v>87901</v>
      </c>
      <c r="BA33" s="266"/>
      <c r="BB33" s="416">
        <v>1998</v>
      </c>
      <c r="BC33" s="441">
        <v>54387</v>
      </c>
      <c r="BD33" s="47">
        <v>34189</v>
      </c>
      <c r="BE33" s="47">
        <f t="shared" si="3"/>
        <v>88576</v>
      </c>
      <c r="BG33" s="47">
        <v>32610</v>
      </c>
      <c r="BH33" s="47">
        <v>12101</v>
      </c>
      <c r="BI33" s="47">
        <f t="shared" si="4"/>
        <v>44711</v>
      </c>
      <c r="BK33" s="47">
        <v>7323</v>
      </c>
      <c r="BL33" s="47">
        <f t="shared" si="5"/>
        <v>4496.4324534862717</v>
      </c>
      <c r="BM33" s="47">
        <f t="shared" si="11"/>
        <v>2826.5675465137283</v>
      </c>
      <c r="BN33" s="47" t="b">
        <f t="shared" si="6"/>
        <v>1</v>
      </c>
      <c r="BP33" s="47">
        <v>2818</v>
      </c>
      <c r="BQ33" s="47">
        <f t="shared" si="12"/>
        <v>2055.3103263179082</v>
      </c>
      <c r="BR33" s="47">
        <f t="shared" si="13"/>
        <v>762.68967368209167</v>
      </c>
      <c r="BS33" s="47" t="b">
        <f t="shared" si="7"/>
        <v>1</v>
      </c>
      <c r="BT33" s="47">
        <v>22771</v>
      </c>
      <c r="BU33" s="47">
        <f t="shared" si="14"/>
        <v>29322.742779804179</v>
      </c>
      <c r="BV33" s="47">
        <f t="shared" si="15"/>
        <v>3589.2572201958201</v>
      </c>
      <c r="BW33" s="425"/>
    </row>
    <row r="34" spans="2:75" x14ac:dyDescent="0.25">
      <c r="B34" s="266"/>
      <c r="C34" s="416">
        <v>1999</v>
      </c>
      <c r="D34" s="47">
        <v>289059.37110786448</v>
      </c>
      <c r="F34" s="47">
        <v>5520.1298877525733</v>
      </c>
      <c r="G34" s="47">
        <v>9713.2412201119223</v>
      </c>
      <c r="J34" s="47">
        <v>126869</v>
      </c>
      <c r="K34" s="47">
        <v>21972</v>
      </c>
      <c r="L34" s="47">
        <v>124985</v>
      </c>
      <c r="M34" s="47">
        <f t="shared" si="0"/>
        <v>273826</v>
      </c>
      <c r="N34" s="267"/>
      <c r="P34" s="266"/>
      <c r="Q34" s="416">
        <v>1999</v>
      </c>
      <c r="R34" s="416"/>
      <c r="S34" s="416"/>
      <c r="T34" s="416"/>
      <c r="U34" s="416"/>
      <c r="V34" s="47">
        <v>1859.6057418149639</v>
      </c>
      <c r="W34" s="47">
        <v>440.39425818503605</v>
      </c>
      <c r="Y34" s="47">
        <v>21521</v>
      </c>
      <c r="Z34" s="47">
        <v>13975</v>
      </c>
      <c r="AA34" s="47">
        <v>43636</v>
      </c>
      <c r="AC34" s="47">
        <v>20218</v>
      </c>
      <c r="AD34" s="47">
        <v>9054</v>
      </c>
      <c r="AE34" s="47">
        <f t="shared" si="1"/>
        <v>110704</v>
      </c>
      <c r="AG34" s="47">
        <v>57573.605741814965</v>
      </c>
      <c r="AH34" s="47">
        <v>53130.394258185035</v>
      </c>
      <c r="AI34" s="425"/>
      <c r="AK34" s="266"/>
      <c r="AL34" s="416">
        <v>1999</v>
      </c>
      <c r="AM34" s="47"/>
      <c r="AN34" s="47">
        <f t="shared" si="2"/>
        <v>273826</v>
      </c>
      <c r="AO34" s="47">
        <v>32894</v>
      </c>
      <c r="AP34" s="47">
        <v>7790</v>
      </c>
      <c r="AQ34" s="47">
        <f t="shared" si="8"/>
        <v>17693.584467080407</v>
      </c>
      <c r="AR34" s="425">
        <f t="shared" si="9"/>
        <v>215448.41553291958</v>
      </c>
      <c r="AT34" s="266"/>
      <c r="AU34" s="416">
        <v>1999</v>
      </c>
      <c r="AV34" s="441">
        <v>59565</v>
      </c>
      <c r="AW34" s="47">
        <v>451</v>
      </c>
      <c r="AX34" s="47">
        <v>64504.999999999993</v>
      </c>
      <c r="AY34" s="425">
        <f t="shared" si="10"/>
        <v>124521</v>
      </c>
      <c r="BA34" s="266"/>
      <c r="BB34" s="416">
        <v>1999</v>
      </c>
      <c r="BC34" s="441">
        <v>59565</v>
      </c>
      <c r="BD34" s="47">
        <v>32894</v>
      </c>
      <c r="BE34" s="47">
        <f t="shared" si="3"/>
        <v>92459</v>
      </c>
      <c r="BG34" s="47">
        <v>64504.999999999993</v>
      </c>
      <c r="BH34" s="47">
        <v>7790</v>
      </c>
      <c r="BI34" s="47">
        <f t="shared" si="4"/>
        <v>72295</v>
      </c>
      <c r="BK34" s="47">
        <v>33775</v>
      </c>
      <c r="BL34" s="47">
        <f t="shared" si="5"/>
        <v>21758.918818070713</v>
      </c>
      <c r="BM34" s="47">
        <f t="shared" si="11"/>
        <v>12016.081181929289</v>
      </c>
      <c r="BN34" s="47" t="b">
        <f t="shared" si="6"/>
        <v>1</v>
      </c>
      <c r="BP34" s="47">
        <v>52690</v>
      </c>
      <c r="BQ34" s="47">
        <f t="shared" si="12"/>
        <v>47012.496714848879</v>
      </c>
      <c r="BR34" s="47">
        <f t="shared" si="13"/>
        <v>5677.5032851511169</v>
      </c>
      <c r="BS34" s="47" t="b">
        <f t="shared" si="7"/>
        <v>1</v>
      </c>
      <c r="BT34" s="47">
        <v>21521</v>
      </c>
      <c r="BU34" s="47">
        <f t="shared" si="14"/>
        <v>90292.415532919593</v>
      </c>
      <c r="BV34" s="47">
        <f t="shared" si="15"/>
        <v>17693.584467080407</v>
      </c>
      <c r="BW34" s="425"/>
    </row>
    <row r="35" spans="2:75" x14ac:dyDescent="0.25">
      <c r="B35" s="266"/>
      <c r="C35" s="416">
        <v>2000</v>
      </c>
      <c r="D35" s="47">
        <v>558334.6</v>
      </c>
      <c r="F35" s="47">
        <v>6518.85</v>
      </c>
      <c r="G35" s="47">
        <v>7104.75</v>
      </c>
      <c r="J35" s="47">
        <v>264842</v>
      </c>
      <c r="K35" s="47">
        <v>58601</v>
      </c>
      <c r="L35" s="47">
        <v>221268</v>
      </c>
      <c r="M35" s="47">
        <f t="shared" si="0"/>
        <v>544711</v>
      </c>
      <c r="N35" s="267"/>
      <c r="P35" s="266"/>
      <c r="Q35" s="416">
        <v>2000</v>
      </c>
      <c r="R35" s="416"/>
      <c r="S35" s="416"/>
      <c r="T35" s="416"/>
      <c r="U35" s="416"/>
      <c r="V35" s="47">
        <v>4333.5532230382141</v>
      </c>
      <c r="W35" s="47">
        <v>1966.4467769617859</v>
      </c>
      <c r="Y35" s="47">
        <v>58242</v>
      </c>
      <c r="Z35" s="47">
        <v>20249</v>
      </c>
      <c r="AA35" s="47">
        <v>89912</v>
      </c>
      <c r="AC35" s="47">
        <v>47278</v>
      </c>
      <c r="AD35" s="47">
        <v>13172</v>
      </c>
      <c r="AE35" s="47">
        <f t="shared" si="1"/>
        <v>235153</v>
      </c>
      <c r="AG35" s="47">
        <v>130102.55322303821</v>
      </c>
      <c r="AH35" s="47">
        <v>105050.44677696179</v>
      </c>
      <c r="AI35" s="425"/>
      <c r="AK35" s="266"/>
      <c r="AL35" s="416">
        <v>2000</v>
      </c>
      <c r="AM35" s="47"/>
      <c r="AN35" s="47">
        <f t="shared" si="2"/>
        <v>544711</v>
      </c>
      <c r="AO35" s="47">
        <v>58915</v>
      </c>
      <c r="AP35" s="47">
        <v>26734</v>
      </c>
      <c r="AQ35" s="47">
        <f t="shared" si="8"/>
        <v>43272.589107160413</v>
      </c>
      <c r="AR35" s="425">
        <f t="shared" si="9"/>
        <v>415789.4108928396</v>
      </c>
      <c r="AT35" s="266"/>
      <c r="AU35" s="416">
        <v>2000</v>
      </c>
      <c r="AV35" s="441">
        <v>136800.00000000003</v>
      </c>
      <c r="AW35" s="47">
        <v>359</v>
      </c>
      <c r="AX35" s="47">
        <v>91450</v>
      </c>
      <c r="AY35" s="425">
        <f t="shared" si="10"/>
        <v>228609.00000000003</v>
      </c>
      <c r="BA35" s="266"/>
      <c r="BB35" s="416">
        <v>2000</v>
      </c>
      <c r="BC35" s="441">
        <v>136800.00000000003</v>
      </c>
      <c r="BD35" s="47">
        <v>58915</v>
      </c>
      <c r="BE35" s="47">
        <f t="shared" si="3"/>
        <v>195715.00000000003</v>
      </c>
      <c r="BG35" s="47">
        <v>91450</v>
      </c>
      <c r="BH35" s="47">
        <v>26734</v>
      </c>
      <c r="BI35" s="47">
        <f t="shared" si="4"/>
        <v>118184</v>
      </c>
      <c r="BK35" s="47">
        <v>66288</v>
      </c>
      <c r="BL35" s="47">
        <f t="shared" si="5"/>
        <v>46333.691336892931</v>
      </c>
      <c r="BM35" s="47">
        <f t="shared" si="11"/>
        <v>19954.308663107066</v>
      </c>
      <c r="BN35" s="47" t="b">
        <f t="shared" si="6"/>
        <v>1</v>
      </c>
      <c r="BP35" s="47">
        <v>103084</v>
      </c>
      <c r="BQ35" s="47">
        <f t="shared" si="12"/>
        <v>79765.719555946649</v>
      </c>
      <c r="BR35" s="47">
        <f t="shared" si="13"/>
        <v>23318.280444053344</v>
      </c>
      <c r="BS35" s="47" t="b">
        <f t="shared" si="7"/>
        <v>1</v>
      </c>
      <c r="BT35" s="47">
        <v>58242</v>
      </c>
      <c r="BU35" s="47">
        <f t="shared" si="14"/>
        <v>184341.41089283957</v>
      </c>
      <c r="BV35" s="47">
        <f t="shared" si="15"/>
        <v>43272.589107160413</v>
      </c>
      <c r="BW35" s="425"/>
    </row>
    <row r="36" spans="2:75" x14ac:dyDescent="0.25">
      <c r="B36" s="266"/>
      <c r="C36" s="416">
        <v>2001</v>
      </c>
      <c r="D36" s="47">
        <v>1128344</v>
      </c>
      <c r="F36" s="47">
        <v>12364.1</v>
      </c>
      <c r="G36" s="47">
        <v>15103.9</v>
      </c>
      <c r="J36" s="47">
        <v>649896</v>
      </c>
      <c r="K36" s="47">
        <v>37006</v>
      </c>
      <c r="L36" s="47">
        <v>413974</v>
      </c>
      <c r="M36" s="47">
        <f t="shared" si="0"/>
        <v>1100876</v>
      </c>
      <c r="N36" s="267"/>
      <c r="P36" s="266"/>
      <c r="Q36" s="416">
        <v>2001</v>
      </c>
      <c r="R36" s="416"/>
      <c r="S36" s="416"/>
      <c r="T36" s="416"/>
      <c r="U36" s="416"/>
      <c r="V36" s="47">
        <v>4666.6424434845931</v>
      </c>
      <c r="W36" s="47">
        <v>707.35755651540694</v>
      </c>
      <c r="Y36" s="47">
        <v>33677</v>
      </c>
      <c r="Z36" s="47">
        <v>67773</v>
      </c>
      <c r="AA36" s="47">
        <v>150912</v>
      </c>
      <c r="AC36" s="47">
        <v>160120</v>
      </c>
      <c r="AD36" s="47">
        <v>52494</v>
      </c>
      <c r="AE36" s="47">
        <f t="shared" si="1"/>
        <v>470350</v>
      </c>
      <c r="AG36" s="47">
        <v>266236.64244348463</v>
      </c>
      <c r="AH36" s="47">
        <v>204113.3575565154</v>
      </c>
      <c r="AI36" s="425"/>
      <c r="AK36" s="266"/>
      <c r="AL36" s="416">
        <v>2001</v>
      </c>
      <c r="AM36" s="47"/>
      <c r="AN36" s="47">
        <f t="shared" si="2"/>
        <v>1100876</v>
      </c>
      <c r="AO36" s="47">
        <v>225370</v>
      </c>
      <c r="AP36" s="47">
        <v>34161</v>
      </c>
      <c r="AQ36" s="47">
        <f t="shared" si="8"/>
        <v>153046.92125311401</v>
      </c>
      <c r="AR36" s="425">
        <f t="shared" si="9"/>
        <v>688298.07874688599</v>
      </c>
      <c r="AT36" s="266"/>
      <c r="AU36" s="416">
        <v>2001</v>
      </c>
      <c r="AV36" s="441">
        <v>197526</v>
      </c>
      <c r="AW36" s="47">
        <v>3329</v>
      </c>
      <c r="AX36" s="47">
        <v>176407</v>
      </c>
      <c r="AY36" s="425">
        <f t="shared" si="10"/>
        <v>377262</v>
      </c>
      <c r="BA36" s="266"/>
      <c r="BB36" s="416">
        <v>2001</v>
      </c>
      <c r="BC36" s="441">
        <v>197526</v>
      </c>
      <c r="BD36" s="47">
        <v>225370</v>
      </c>
      <c r="BE36" s="47">
        <f t="shared" si="3"/>
        <v>422896</v>
      </c>
      <c r="BG36" s="47">
        <v>176407</v>
      </c>
      <c r="BH36" s="47">
        <v>34161</v>
      </c>
      <c r="BI36" s="47">
        <f t="shared" si="4"/>
        <v>210568</v>
      </c>
      <c r="BK36" s="47">
        <v>225264</v>
      </c>
      <c r="BL36" s="47">
        <f t="shared" si="5"/>
        <v>105216.16866558208</v>
      </c>
      <c r="BM36" s="47">
        <f t="shared" si="11"/>
        <v>120047.83133441792</v>
      </c>
      <c r="BN36" s="47" t="b">
        <f t="shared" si="6"/>
        <v>1</v>
      </c>
      <c r="BP36" s="47">
        <v>203406</v>
      </c>
      <c r="BQ36" s="47">
        <f t="shared" si="12"/>
        <v>170406.91008130388</v>
      </c>
      <c r="BR36" s="47">
        <f t="shared" si="13"/>
        <v>32999.089918696096</v>
      </c>
      <c r="BS36" s="47" t="b">
        <f t="shared" si="7"/>
        <v>1</v>
      </c>
      <c r="BT36" s="47">
        <v>33677</v>
      </c>
      <c r="BU36" s="47">
        <f t="shared" si="14"/>
        <v>309300.07874688599</v>
      </c>
      <c r="BV36" s="47">
        <f t="shared" si="15"/>
        <v>153046.92125311401</v>
      </c>
      <c r="BW36" s="425"/>
    </row>
    <row r="37" spans="2:75" x14ac:dyDescent="0.25">
      <c r="B37" s="266"/>
      <c r="C37" s="416">
        <v>2002</v>
      </c>
      <c r="D37" s="47">
        <v>535840</v>
      </c>
      <c r="F37" s="47">
        <v>14312.15</v>
      </c>
      <c r="G37" s="47">
        <v>23401.85</v>
      </c>
      <c r="J37" s="47">
        <v>225250</v>
      </c>
      <c r="K37" s="47">
        <v>69408</v>
      </c>
      <c r="L37" s="47">
        <v>203468</v>
      </c>
      <c r="M37" s="47">
        <f t="shared" si="0"/>
        <v>498126</v>
      </c>
      <c r="N37" s="267"/>
      <c r="P37" s="266"/>
      <c r="Q37" s="416">
        <v>2002</v>
      </c>
      <c r="R37" s="416"/>
      <c r="S37" s="416"/>
      <c r="T37" s="416"/>
      <c r="U37" s="416"/>
      <c r="V37" s="47">
        <v>943.24582216974693</v>
      </c>
      <c r="W37" s="47">
        <v>705.75417783025307</v>
      </c>
      <c r="Y37" s="47">
        <v>68077</v>
      </c>
      <c r="Z37" s="47">
        <v>48114</v>
      </c>
      <c r="AA37" s="47">
        <v>46762</v>
      </c>
      <c r="AC37" s="47">
        <v>27443</v>
      </c>
      <c r="AD37" s="47">
        <v>8972</v>
      </c>
      <c r="AE37" s="47">
        <f t="shared" si="1"/>
        <v>201017</v>
      </c>
      <c r="AG37" s="47">
        <v>144577.24582216976</v>
      </c>
      <c r="AH37" s="47">
        <v>56439.754177830255</v>
      </c>
      <c r="AI37" s="425"/>
      <c r="AK37" s="266"/>
      <c r="AL37" s="416">
        <v>2002</v>
      </c>
      <c r="AM37" s="47"/>
      <c r="AN37" s="47">
        <f t="shared" si="2"/>
        <v>498126</v>
      </c>
      <c r="AO37" s="47">
        <v>50385</v>
      </c>
      <c r="AP37" s="47">
        <v>37699</v>
      </c>
      <c r="AQ37" s="47">
        <f t="shared" si="8"/>
        <v>38630.498792019702</v>
      </c>
      <c r="AR37" s="425">
        <f t="shared" si="9"/>
        <v>371411.50120798033</v>
      </c>
      <c r="AT37" s="266"/>
      <c r="AU37" s="416">
        <v>2002</v>
      </c>
      <c r="AV37" s="441">
        <v>99782</v>
      </c>
      <c r="AW37" s="47">
        <v>1331</v>
      </c>
      <c r="AX37" s="47">
        <v>110035</v>
      </c>
      <c r="AY37" s="425">
        <f t="shared" si="10"/>
        <v>211148</v>
      </c>
      <c r="BA37" s="266"/>
      <c r="BB37" s="416">
        <v>2002</v>
      </c>
      <c r="BC37" s="441">
        <v>99782</v>
      </c>
      <c r="BD37" s="47">
        <v>50385</v>
      </c>
      <c r="BE37" s="47">
        <f t="shared" si="3"/>
        <v>150167</v>
      </c>
      <c r="BG37" s="47">
        <v>110035</v>
      </c>
      <c r="BH37" s="47">
        <v>37699</v>
      </c>
      <c r="BI37" s="47">
        <f t="shared" si="4"/>
        <v>147734</v>
      </c>
      <c r="BK37" s="47">
        <v>72746</v>
      </c>
      <c r="BL37" s="47">
        <f t="shared" si="5"/>
        <v>48337.793070381646</v>
      </c>
      <c r="BM37" s="47">
        <f t="shared" si="11"/>
        <v>24408.206929618358</v>
      </c>
      <c r="BN37" s="47" t="b">
        <f t="shared" si="6"/>
        <v>1</v>
      </c>
      <c r="BP37" s="47">
        <v>55734</v>
      </c>
      <c r="BQ37" s="47">
        <f t="shared" si="12"/>
        <v>41511.70813759866</v>
      </c>
      <c r="BR37" s="47">
        <f t="shared" si="13"/>
        <v>14222.291862401344</v>
      </c>
      <c r="BS37" s="47" t="b">
        <f t="shared" si="7"/>
        <v>1</v>
      </c>
      <c r="BT37" s="47">
        <v>68077</v>
      </c>
      <c r="BU37" s="47">
        <f t="shared" si="14"/>
        <v>157926.5012079803</v>
      </c>
      <c r="BV37" s="47">
        <f t="shared" si="15"/>
        <v>38630.498792019702</v>
      </c>
      <c r="BW37" s="425"/>
    </row>
    <row r="38" spans="2:75" x14ac:dyDescent="0.25">
      <c r="B38" s="266"/>
      <c r="C38" s="416">
        <v>2003</v>
      </c>
      <c r="D38" s="47">
        <v>713214</v>
      </c>
      <c r="F38" s="47">
        <v>16250.4</v>
      </c>
      <c r="G38" s="47">
        <v>22589.599999999999</v>
      </c>
      <c r="J38" s="47">
        <v>378330</v>
      </c>
      <c r="K38" s="47">
        <v>115607</v>
      </c>
      <c r="L38" s="47">
        <v>180437</v>
      </c>
      <c r="M38" s="47">
        <f t="shared" si="0"/>
        <v>674374</v>
      </c>
      <c r="N38" s="267"/>
      <c r="P38" s="266"/>
      <c r="Q38" s="416">
        <v>2003</v>
      </c>
      <c r="R38" s="416"/>
      <c r="S38" s="416"/>
      <c r="T38" s="416"/>
      <c r="U38" s="416"/>
      <c r="V38" s="47">
        <v>4299.0807917736975</v>
      </c>
      <c r="W38" s="47">
        <v>1462.9192082263025</v>
      </c>
      <c r="Y38" s="47">
        <v>113506</v>
      </c>
      <c r="Z38" s="47">
        <v>71247</v>
      </c>
      <c r="AA38" s="47">
        <v>72545</v>
      </c>
      <c r="AC38" s="47">
        <v>67803</v>
      </c>
      <c r="AD38" s="47">
        <v>11916</v>
      </c>
      <c r="AE38" s="47">
        <f t="shared" si="1"/>
        <v>342779</v>
      </c>
      <c r="AG38" s="47">
        <v>256855.08079177371</v>
      </c>
      <c r="AH38" s="47">
        <v>85923.919208226303</v>
      </c>
      <c r="AI38" s="425"/>
      <c r="AK38" s="266"/>
      <c r="AL38" s="416">
        <v>2003</v>
      </c>
      <c r="AM38" s="47"/>
      <c r="AN38" s="47">
        <f t="shared" si="2"/>
        <v>674374</v>
      </c>
      <c r="AO38" s="47">
        <v>93818</v>
      </c>
      <c r="AP38" s="47">
        <v>31925</v>
      </c>
      <c r="AQ38" s="47">
        <f t="shared" si="8"/>
        <v>83399.83728194001</v>
      </c>
      <c r="AR38" s="425">
        <f t="shared" si="9"/>
        <v>465231.16271805996</v>
      </c>
      <c r="AT38" s="266"/>
      <c r="AU38" s="416">
        <v>2003</v>
      </c>
      <c r="AV38" s="441">
        <v>139226</v>
      </c>
      <c r="AW38" s="47">
        <v>2101</v>
      </c>
      <c r="AX38" s="47">
        <v>64050.999999999985</v>
      </c>
      <c r="AY38" s="425">
        <f t="shared" si="10"/>
        <v>205378</v>
      </c>
      <c r="BA38" s="266"/>
      <c r="BB38" s="416">
        <v>2003</v>
      </c>
      <c r="BC38" s="441">
        <v>139226</v>
      </c>
      <c r="BD38" s="47">
        <v>93818</v>
      </c>
      <c r="BE38" s="47">
        <f t="shared" si="3"/>
        <v>233044</v>
      </c>
      <c r="BG38" s="47">
        <v>64050.999999999985</v>
      </c>
      <c r="BH38" s="47">
        <v>31925</v>
      </c>
      <c r="BI38" s="47">
        <f t="shared" si="4"/>
        <v>95975.999999999985</v>
      </c>
      <c r="BK38" s="47">
        <v>137378</v>
      </c>
      <c r="BL38" s="47">
        <f t="shared" si="5"/>
        <v>82072.867904773346</v>
      </c>
      <c r="BM38" s="47">
        <f t="shared" si="11"/>
        <v>55305.132095226654</v>
      </c>
      <c r="BN38" s="47" t="b">
        <f t="shared" si="6"/>
        <v>1</v>
      </c>
      <c r="BP38" s="47">
        <v>84461</v>
      </c>
      <c r="BQ38" s="47">
        <f t="shared" si="12"/>
        <v>56366.294813286651</v>
      </c>
      <c r="BR38" s="47">
        <f t="shared" si="13"/>
        <v>28094.705186713349</v>
      </c>
      <c r="BS38" s="47" t="b">
        <f t="shared" si="7"/>
        <v>1</v>
      </c>
      <c r="BT38" s="47">
        <v>113506</v>
      </c>
      <c r="BU38" s="47">
        <f t="shared" si="14"/>
        <v>251945.16271805999</v>
      </c>
      <c r="BV38" s="47">
        <f t="shared" si="15"/>
        <v>83399.83728194001</v>
      </c>
      <c r="BW38" s="425"/>
    </row>
    <row r="39" spans="2:75" x14ac:dyDescent="0.25">
      <c r="B39" s="266"/>
      <c r="C39" s="416">
        <v>2004</v>
      </c>
      <c r="D39" s="47">
        <v>463544</v>
      </c>
      <c r="F39" s="47">
        <v>10533.95</v>
      </c>
      <c r="G39" s="47">
        <v>13226.05</v>
      </c>
      <c r="J39" s="47">
        <v>237559.03</v>
      </c>
      <c r="K39" s="47">
        <v>54218</v>
      </c>
      <c r="L39" s="47">
        <v>148006.97</v>
      </c>
      <c r="M39" s="47">
        <f t="shared" si="0"/>
        <v>439784</v>
      </c>
      <c r="N39" s="267"/>
      <c r="P39" s="266"/>
      <c r="Q39" s="416">
        <v>2004</v>
      </c>
      <c r="R39" s="416"/>
      <c r="S39" s="416"/>
      <c r="T39" s="416"/>
      <c r="U39" s="416"/>
      <c r="V39" s="47">
        <v>7650.6214827757067</v>
      </c>
      <c r="W39" s="47">
        <v>2636.3785172242933</v>
      </c>
      <c r="Y39" s="47">
        <v>53022</v>
      </c>
      <c r="Z39" s="47">
        <v>16641</v>
      </c>
      <c r="AA39" s="47">
        <v>49985</v>
      </c>
      <c r="AC39" s="47">
        <v>26127.03</v>
      </c>
      <c r="AD39" s="47">
        <v>4756.97</v>
      </c>
      <c r="AE39" s="47">
        <f t="shared" si="1"/>
        <v>160819</v>
      </c>
      <c r="AG39" s="47">
        <v>103440.65148277571</v>
      </c>
      <c r="AH39" s="47">
        <v>57378.348517224294</v>
      </c>
      <c r="AI39" s="425"/>
      <c r="AK39" s="266"/>
      <c r="AL39" s="416">
        <v>2004</v>
      </c>
      <c r="AM39" s="47"/>
      <c r="AN39" s="47">
        <f t="shared" si="2"/>
        <v>439784</v>
      </c>
      <c r="AO39" s="47">
        <v>85558</v>
      </c>
      <c r="AP39" s="47">
        <v>29483</v>
      </c>
      <c r="AQ39" s="47">
        <f t="shared" si="8"/>
        <v>35236.629242727824</v>
      </c>
      <c r="AR39" s="425">
        <f t="shared" si="9"/>
        <v>289506.37075727218</v>
      </c>
      <c r="AT39" s="266"/>
      <c r="AU39" s="416">
        <v>2004</v>
      </c>
      <c r="AV39" s="441">
        <v>108483.99999999999</v>
      </c>
      <c r="AW39" s="47">
        <v>1196</v>
      </c>
      <c r="AX39" s="47">
        <v>63782</v>
      </c>
      <c r="AY39" s="425">
        <f t="shared" si="10"/>
        <v>173462</v>
      </c>
      <c r="BA39" s="266"/>
      <c r="BB39" s="416">
        <v>2004</v>
      </c>
      <c r="BC39" s="441">
        <v>108483.99999999999</v>
      </c>
      <c r="BD39" s="47">
        <v>85558</v>
      </c>
      <c r="BE39" s="47">
        <f t="shared" si="3"/>
        <v>194042</v>
      </c>
      <c r="BG39" s="47">
        <v>63782</v>
      </c>
      <c r="BH39" s="47">
        <v>29483</v>
      </c>
      <c r="BI39" s="47">
        <f t="shared" si="4"/>
        <v>93265</v>
      </c>
      <c r="BK39" s="47">
        <v>40668.03</v>
      </c>
      <c r="BL39" s="47">
        <f t="shared" si="5"/>
        <v>22736.472343719397</v>
      </c>
      <c r="BM39" s="47">
        <f t="shared" si="11"/>
        <v>17931.557656280598</v>
      </c>
      <c r="BN39" s="47" t="b">
        <f t="shared" si="6"/>
        <v>1</v>
      </c>
      <c r="BP39" s="47">
        <v>54741.97</v>
      </c>
      <c r="BQ39" s="47">
        <f t="shared" si="12"/>
        <v>37436.898413552786</v>
      </c>
      <c r="BR39" s="47">
        <f t="shared" si="13"/>
        <v>17305.071586447222</v>
      </c>
      <c r="BS39" s="47" t="b">
        <f t="shared" si="7"/>
        <v>1</v>
      </c>
      <c r="BT39" s="47">
        <v>53022</v>
      </c>
      <c r="BU39" s="47">
        <f t="shared" si="14"/>
        <v>113195.37075727218</v>
      </c>
      <c r="BV39" s="47">
        <f t="shared" si="15"/>
        <v>35236.629242727824</v>
      </c>
      <c r="BW39" s="425"/>
    </row>
    <row r="40" spans="2:75" x14ac:dyDescent="0.25">
      <c r="B40" s="266"/>
      <c r="C40" s="416">
        <v>2005</v>
      </c>
      <c r="D40" s="47">
        <v>353716.60598949174</v>
      </c>
      <c r="F40" s="47">
        <v>7117.162096322123</v>
      </c>
      <c r="G40" s="47">
        <v>8572.4438931696586</v>
      </c>
      <c r="H40" s="47">
        <f t="shared" ref="H40:H52" si="16">SUM(F40:G40)</f>
        <v>15689.605989491782</v>
      </c>
      <c r="J40" s="47">
        <v>181028.86</v>
      </c>
      <c r="K40" s="47">
        <v>63524</v>
      </c>
      <c r="L40" s="47">
        <v>93474.14</v>
      </c>
      <c r="M40" s="47">
        <f t="shared" si="0"/>
        <v>338027</v>
      </c>
      <c r="N40" s="267" t="b">
        <f t="shared" ref="N40:N52" si="17">(H40+M40)=D40</f>
        <v>1</v>
      </c>
      <c r="P40" s="266"/>
      <c r="Q40" s="416">
        <v>2005</v>
      </c>
      <c r="R40" s="47">
        <f>H40</f>
        <v>15689.605989491782</v>
      </c>
      <c r="S40" s="438">
        <v>7.0000000000000007E-2</v>
      </c>
      <c r="T40" s="437">
        <f>R40*S40</f>
        <v>1098.2724192644248</v>
      </c>
      <c r="U40" s="416"/>
      <c r="V40" s="47">
        <v>3705.5414440909904</v>
      </c>
      <c r="W40" s="47">
        <v>1148.4585559090096</v>
      </c>
      <c r="Y40" s="47">
        <v>63496</v>
      </c>
      <c r="Z40" s="47">
        <v>14341</v>
      </c>
      <c r="AA40" s="47">
        <v>15943</v>
      </c>
      <c r="AC40" s="47">
        <v>15323.86</v>
      </c>
      <c r="AD40" s="47">
        <v>3593.14</v>
      </c>
      <c r="AE40" s="47">
        <f t="shared" si="1"/>
        <v>117551</v>
      </c>
      <c r="AG40" s="47">
        <v>96866.401444090996</v>
      </c>
      <c r="AH40" s="47">
        <v>20684.598555909008</v>
      </c>
      <c r="AI40" s="425" t="b">
        <f t="shared" ref="AI40:AI51" si="18">AE40=(AG40+AH40)</f>
        <v>1</v>
      </c>
      <c r="AK40" s="266"/>
      <c r="AL40" s="416">
        <v>2005</v>
      </c>
      <c r="AM40" s="47">
        <f>H40</f>
        <v>15689.605989491782</v>
      </c>
      <c r="AN40" s="47">
        <f t="shared" si="2"/>
        <v>338027</v>
      </c>
      <c r="AO40" s="47">
        <v>63595</v>
      </c>
      <c r="AP40" s="47">
        <v>19710</v>
      </c>
      <c r="AQ40" s="47">
        <f t="shared" si="8"/>
        <v>16996.954133312101</v>
      </c>
      <c r="AR40" s="425">
        <f t="shared" si="9"/>
        <v>237725.0458666879</v>
      </c>
      <c r="AS40" s="47"/>
      <c r="AT40" s="266"/>
      <c r="AU40" s="416">
        <v>2005</v>
      </c>
      <c r="AV40" s="441">
        <v>88008</v>
      </c>
      <c r="AW40" s="47">
        <v>28</v>
      </c>
      <c r="AX40" s="47">
        <v>54227.999999999993</v>
      </c>
      <c r="AY40" s="425">
        <f t="shared" si="10"/>
        <v>142264</v>
      </c>
      <c r="BA40" s="266"/>
      <c r="BB40" s="416">
        <v>2005</v>
      </c>
      <c r="BC40" s="441">
        <v>88008</v>
      </c>
      <c r="BD40" s="47">
        <v>63595</v>
      </c>
      <c r="BE40" s="47">
        <f t="shared" si="3"/>
        <v>151603</v>
      </c>
      <c r="BG40" s="47">
        <v>54227.999999999993</v>
      </c>
      <c r="BH40" s="47">
        <v>19710</v>
      </c>
      <c r="BI40" s="47">
        <f t="shared" si="4"/>
        <v>73938</v>
      </c>
      <c r="BK40" s="47">
        <v>28103.86</v>
      </c>
      <c r="BL40" s="47">
        <f t="shared" si="5"/>
        <v>16314.746481797853</v>
      </c>
      <c r="BM40" s="47">
        <f t="shared" si="11"/>
        <v>11789.113518202146</v>
      </c>
      <c r="BN40" s="47" t="b">
        <f t="shared" si="6"/>
        <v>1</v>
      </c>
      <c r="BP40" s="47">
        <v>19536.14</v>
      </c>
      <c r="BQ40" s="47">
        <f t="shared" si="12"/>
        <v>14328.299384890041</v>
      </c>
      <c r="BR40" s="47">
        <f t="shared" si="13"/>
        <v>5207.8406151099562</v>
      </c>
      <c r="BS40" s="47" t="b">
        <f t="shared" si="7"/>
        <v>1</v>
      </c>
      <c r="BT40" s="47">
        <v>63496</v>
      </c>
      <c r="BU40" s="47">
        <f t="shared" si="14"/>
        <v>94139.045866687899</v>
      </c>
      <c r="BV40" s="47">
        <f t="shared" si="15"/>
        <v>16996.954133312101</v>
      </c>
      <c r="BW40" s="425">
        <f t="shared" ref="BW40:BW52" si="19">T40</f>
        <v>1098.2724192644248</v>
      </c>
    </row>
    <row r="41" spans="2:75" x14ac:dyDescent="0.25">
      <c r="B41" s="266"/>
      <c r="C41" s="416">
        <v>2006</v>
      </c>
      <c r="D41" s="47">
        <v>409692.02117427328</v>
      </c>
      <c r="F41" s="47">
        <v>12571.857410995657</v>
      </c>
      <c r="G41" s="47">
        <v>14579.163763277651</v>
      </c>
      <c r="H41" s="47">
        <f t="shared" si="16"/>
        <v>27151.021174273308</v>
      </c>
      <c r="J41" s="47">
        <v>195010.46</v>
      </c>
      <c r="K41" s="47">
        <v>36179</v>
      </c>
      <c r="L41" s="47">
        <v>151351.54</v>
      </c>
      <c r="M41" s="47">
        <f t="shared" si="0"/>
        <v>382541</v>
      </c>
      <c r="N41" s="267" t="b">
        <f t="shared" si="17"/>
        <v>1</v>
      </c>
      <c r="P41" s="266"/>
      <c r="Q41" s="416">
        <v>2006</v>
      </c>
      <c r="R41" s="47">
        <f t="shared" ref="R41:R52" si="20">H41</f>
        <v>27151.021174273308</v>
      </c>
      <c r="S41" s="438">
        <v>7.0000000000000007E-2</v>
      </c>
      <c r="T41" s="437">
        <f t="shared" ref="T41:T52" si="21">R41*S41</f>
        <v>1900.5714821991317</v>
      </c>
      <c r="U41" s="416"/>
      <c r="V41" s="47">
        <v>5177.6612070745305</v>
      </c>
      <c r="W41" s="47">
        <v>2873.3387929254695</v>
      </c>
      <c r="Y41" s="47">
        <v>36163</v>
      </c>
      <c r="Z41" s="47">
        <v>9253</v>
      </c>
      <c r="AA41" s="47">
        <v>17964</v>
      </c>
      <c r="AC41" s="47">
        <v>16400.46</v>
      </c>
      <c r="AD41" s="47">
        <v>5660.54</v>
      </c>
      <c r="AE41" s="47">
        <f t="shared" si="1"/>
        <v>93491.999999999985</v>
      </c>
      <c r="AG41" s="47">
        <v>66994.121207074524</v>
      </c>
      <c r="AH41" s="47">
        <v>26497.878792925469</v>
      </c>
      <c r="AI41" s="425" t="b">
        <f t="shared" si="18"/>
        <v>1</v>
      </c>
      <c r="AK41" s="266"/>
      <c r="AL41" s="416">
        <v>2006</v>
      </c>
      <c r="AM41" s="47">
        <f t="shared" ref="AM41:AM52" si="22">H41</f>
        <v>27151.021174273308</v>
      </c>
      <c r="AN41" s="47">
        <f t="shared" si="2"/>
        <v>382541</v>
      </c>
      <c r="AO41" s="47">
        <v>65415.000000000007</v>
      </c>
      <c r="AP41" s="47">
        <v>36302</v>
      </c>
      <c r="AQ41" s="47">
        <f t="shared" si="8"/>
        <v>16132.225880502509</v>
      </c>
      <c r="AR41" s="425">
        <f t="shared" si="9"/>
        <v>264691.77411949751</v>
      </c>
      <c r="AS41" s="47"/>
      <c r="AT41" s="266"/>
      <c r="AU41" s="416">
        <v>2006</v>
      </c>
      <c r="AV41" s="441">
        <v>99644</v>
      </c>
      <c r="AW41" s="47">
        <v>16</v>
      </c>
      <c r="AX41" s="47">
        <v>91425</v>
      </c>
      <c r="AY41" s="425">
        <f t="shared" si="10"/>
        <v>191085</v>
      </c>
      <c r="BA41" s="266"/>
      <c r="BB41" s="416">
        <v>2006</v>
      </c>
      <c r="BC41" s="441">
        <v>99644</v>
      </c>
      <c r="BD41" s="47">
        <v>65415.000000000007</v>
      </c>
      <c r="BE41" s="47">
        <f t="shared" si="3"/>
        <v>165059</v>
      </c>
      <c r="BG41" s="47">
        <v>91425</v>
      </c>
      <c r="BH41" s="47">
        <v>36302</v>
      </c>
      <c r="BI41" s="47">
        <f t="shared" si="4"/>
        <v>127727</v>
      </c>
      <c r="BK41" s="47">
        <v>23763.46</v>
      </c>
      <c r="BL41" s="47">
        <f t="shared" si="5"/>
        <v>14345.695831429972</v>
      </c>
      <c r="BM41" s="47">
        <f t="shared" si="11"/>
        <v>9417.7641685700273</v>
      </c>
      <c r="BN41" s="47" t="b">
        <f t="shared" si="6"/>
        <v>1</v>
      </c>
      <c r="BO41" t="s">
        <v>814</v>
      </c>
      <c r="BP41" s="47">
        <v>23624.54</v>
      </c>
      <c r="BQ41" s="47">
        <f t="shared" si="12"/>
        <v>16910.078288067518</v>
      </c>
      <c r="BR41" s="47">
        <f t="shared" si="13"/>
        <v>6714.4617119324812</v>
      </c>
      <c r="BS41" s="47" t="b">
        <f t="shared" si="7"/>
        <v>1</v>
      </c>
      <c r="BT41" s="47">
        <v>36163</v>
      </c>
      <c r="BU41" s="47">
        <f t="shared" si="14"/>
        <v>67418.774119497481</v>
      </c>
      <c r="BV41" s="47">
        <f t="shared" si="15"/>
        <v>16132.225880502509</v>
      </c>
      <c r="BW41" s="425">
        <f t="shared" si="19"/>
        <v>1900.5714821991317</v>
      </c>
    </row>
    <row r="42" spans="2:75" x14ac:dyDescent="0.25">
      <c r="B42" s="266"/>
      <c r="C42" s="416">
        <v>2007</v>
      </c>
      <c r="D42" s="47">
        <v>349022.27530538075</v>
      </c>
      <c r="F42" s="47">
        <v>9264.6963568832543</v>
      </c>
      <c r="G42" s="47">
        <v>9954.5789484974721</v>
      </c>
      <c r="H42" s="47">
        <f t="shared" si="16"/>
        <v>19219.275305380725</v>
      </c>
      <c r="J42" s="47">
        <v>201231.97</v>
      </c>
      <c r="K42" s="47">
        <v>10147</v>
      </c>
      <c r="L42" s="47">
        <v>118424.03</v>
      </c>
      <c r="M42" s="47">
        <f t="shared" si="0"/>
        <v>329803</v>
      </c>
      <c r="N42" s="267" t="b">
        <f t="shared" si="17"/>
        <v>1</v>
      </c>
      <c r="P42" s="266"/>
      <c r="Q42" s="416">
        <v>2007</v>
      </c>
      <c r="R42" s="47">
        <f t="shared" si="20"/>
        <v>19219.275305380725</v>
      </c>
      <c r="S42" s="438">
        <v>7.0000000000000007E-2</v>
      </c>
      <c r="T42" s="437">
        <f t="shared" si="21"/>
        <v>1345.3492713766509</v>
      </c>
      <c r="U42" s="416"/>
      <c r="V42" s="47">
        <v>5592.3696300114289</v>
      </c>
      <c r="W42" s="47">
        <v>2437.6303699885711</v>
      </c>
      <c r="Y42" s="47">
        <v>10095</v>
      </c>
      <c r="Z42" s="47">
        <v>7910</v>
      </c>
      <c r="AA42" s="47">
        <v>22283</v>
      </c>
      <c r="AC42" s="47">
        <v>28618.97</v>
      </c>
      <c r="AD42" s="47">
        <v>7636.03</v>
      </c>
      <c r="AE42" s="47">
        <f t="shared" si="1"/>
        <v>84573</v>
      </c>
      <c r="AG42" s="47">
        <v>52216.339630011425</v>
      </c>
      <c r="AH42" s="47">
        <v>32356.660369988571</v>
      </c>
      <c r="AI42" s="425" t="b">
        <f t="shared" si="18"/>
        <v>1</v>
      </c>
      <c r="AK42" s="266"/>
      <c r="AL42" s="416">
        <v>2007</v>
      </c>
      <c r="AM42" s="47">
        <f t="shared" si="22"/>
        <v>19219.275305380725</v>
      </c>
      <c r="AN42" s="47">
        <f t="shared" si="2"/>
        <v>329803</v>
      </c>
      <c r="AO42" s="47">
        <v>62154</v>
      </c>
      <c r="AP42" s="47">
        <v>27092</v>
      </c>
      <c r="AQ42" s="47">
        <f t="shared" si="8"/>
        <v>21780.30940846822</v>
      </c>
      <c r="AR42" s="425">
        <f t="shared" si="9"/>
        <v>218776.69059153178</v>
      </c>
      <c r="AS42" s="47"/>
      <c r="AT42" s="266"/>
      <c r="AU42" s="416">
        <v>2007</v>
      </c>
      <c r="AV42" s="441">
        <v>99560</v>
      </c>
      <c r="AW42" s="47">
        <v>52.000000000000007</v>
      </c>
      <c r="AX42" s="47">
        <v>61413</v>
      </c>
      <c r="AY42" s="425">
        <f t="shared" si="10"/>
        <v>161025</v>
      </c>
      <c r="BA42" s="266"/>
      <c r="BB42" s="416">
        <v>2007</v>
      </c>
      <c r="BC42" s="441">
        <v>99560</v>
      </c>
      <c r="BD42" s="47">
        <v>62154</v>
      </c>
      <c r="BE42" s="47">
        <f t="shared" si="3"/>
        <v>161714</v>
      </c>
      <c r="BG42" s="47">
        <v>61413</v>
      </c>
      <c r="BH42" s="47">
        <v>27092</v>
      </c>
      <c r="BI42" s="47">
        <f t="shared" si="4"/>
        <v>88505</v>
      </c>
      <c r="BK42" s="47">
        <v>32839.97</v>
      </c>
      <c r="BL42" s="47">
        <f t="shared" si="5"/>
        <v>20218.085095910064</v>
      </c>
      <c r="BM42" s="47">
        <f t="shared" si="11"/>
        <v>12621.884904089937</v>
      </c>
      <c r="BN42" s="47" t="b">
        <f t="shared" si="6"/>
        <v>1</v>
      </c>
      <c r="BP42" s="47">
        <v>29919.03</v>
      </c>
      <c r="BQ42" s="47">
        <f t="shared" si="12"/>
        <v>20760.605495621716</v>
      </c>
      <c r="BR42" s="47">
        <f t="shared" si="13"/>
        <v>9158.424504378283</v>
      </c>
      <c r="BS42" s="47" t="b">
        <f t="shared" si="7"/>
        <v>1</v>
      </c>
      <c r="BT42" s="47">
        <v>10095</v>
      </c>
      <c r="BU42" s="47">
        <f t="shared" si="14"/>
        <v>51073.690591531777</v>
      </c>
      <c r="BV42" s="47">
        <f t="shared" si="15"/>
        <v>21780.30940846822</v>
      </c>
      <c r="BW42" s="425">
        <f t="shared" si="19"/>
        <v>1345.3492713766509</v>
      </c>
    </row>
    <row r="43" spans="2:75" x14ac:dyDescent="0.25">
      <c r="B43" s="266"/>
      <c r="C43" s="416">
        <v>2008</v>
      </c>
      <c r="D43" s="47">
        <v>520763.86864967365</v>
      </c>
      <c r="F43" s="47">
        <v>12442.054027385777</v>
      </c>
      <c r="G43" s="47">
        <v>15867.814622287875</v>
      </c>
      <c r="H43" s="47">
        <f t="shared" si="16"/>
        <v>28309.868649673652</v>
      </c>
      <c r="J43" s="47">
        <v>260034.01</v>
      </c>
      <c r="K43" s="47">
        <v>47372</v>
      </c>
      <c r="L43" s="47">
        <v>185047.99</v>
      </c>
      <c r="M43" s="47">
        <f t="shared" si="0"/>
        <v>492454</v>
      </c>
      <c r="N43" s="267" t="b">
        <f t="shared" si="17"/>
        <v>1</v>
      </c>
      <c r="P43" s="266"/>
      <c r="Q43" s="416">
        <v>2008</v>
      </c>
      <c r="R43" s="47">
        <f t="shared" si="20"/>
        <v>28309.868649673652</v>
      </c>
      <c r="S43" s="438">
        <v>0.04</v>
      </c>
      <c r="T43" s="437">
        <f t="shared" si="21"/>
        <v>1132.3947459869462</v>
      </c>
      <c r="U43" s="416"/>
      <c r="V43" s="47">
        <v>13563.252589794292</v>
      </c>
      <c r="W43" s="47">
        <v>8061.7474102057076</v>
      </c>
      <c r="Y43" s="47">
        <v>47280</v>
      </c>
      <c r="Z43" s="47">
        <v>4414.5</v>
      </c>
      <c r="AA43" s="47">
        <v>8692.5</v>
      </c>
      <c r="AC43" s="47">
        <v>38097.51</v>
      </c>
      <c r="AD43" s="47">
        <v>16261.49</v>
      </c>
      <c r="AE43" s="47">
        <f t="shared" si="1"/>
        <v>136371</v>
      </c>
      <c r="AG43" s="47">
        <v>103355.26258979429</v>
      </c>
      <c r="AH43" s="47">
        <v>33015.737410205707</v>
      </c>
      <c r="AI43" s="425" t="b">
        <f t="shared" si="18"/>
        <v>1</v>
      </c>
      <c r="AK43" s="266"/>
      <c r="AL43" s="416">
        <v>2008</v>
      </c>
      <c r="AM43" s="47">
        <f t="shared" si="22"/>
        <v>28309.868649673652</v>
      </c>
      <c r="AN43" s="47">
        <f t="shared" si="2"/>
        <v>492454</v>
      </c>
      <c r="AO43" s="47">
        <v>85006</v>
      </c>
      <c r="AP43" s="47">
        <v>50526</v>
      </c>
      <c r="AQ43" s="47">
        <f t="shared" si="8"/>
        <v>23504.254136369651</v>
      </c>
      <c r="AR43" s="425">
        <f t="shared" si="9"/>
        <v>333417.74586363032</v>
      </c>
      <c r="AS43" s="47"/>
      <c r="AT43" s="266"/>
      <c r="AU43" s="416">
        <v>2008</v>
      </c>
      <c r="AV43" s="441">
        <v>131225</v>
      </c>
      <c r="AW43" s="47">
        <v>92</v>
      </c>
      <c r="AX43" s="47">
        <v>109568</v>
      </c>
      <c r="AY43" s="425">
        <f t="shared" si="10"/>
        <v>240885</v>
      </c>
      <c r="BA43" s="266"/>
      <c r="BB43" s="416">
        <v>2008</v>
      </c>
      <c r="BC43" s="441">
        <v>131225</v>
      </c>
      <c r="BD43" s="47">
        <v>85006</v>
      </c>
      <c r="BE43" s="47">
        <f t="shared" si="3"/>
        <v>216231</v>
      </c>
      <c r="BG43" s="47">
        <v>109568</v>
      </c>
      <c r="BH43" s="47">
        <v>50526</v>
      </c>
      <c r="BI43" s="47">
        <f t="shared" si="4"/>
        <v>160094</v>
      </c>
      <c r="BK43" s="47">
        <v>39755.01</v>
      </c>
      <c r="BL43" s="47">
        <f t="shared" si="5"/>
        <v>24126.287106150365</v>
      </c>
      <c r="BM43" s="47">
        <f t="shared" si="11"/>
        <v>15628.722893849634</v>
      </c>
      <c r="BN43" s="47" t="b">
        <f t="shared" si="6"/>
        <v>1</v>
      </c>
      <c r="BP43" s="47">
        <v>24953.989999999998</v>
      </c>
      <c r="BQ43" s="47">
        <f t="shared" si="12"/>
        <v>17078.458757479981</v>
      </c>
      <c r="BR43" s="47">
        <f t="shared" si="13"/>
        <v>7875.5312425200191</v>
      </c>
      <c r="BS43" s="47" t="b">
        <f t="shared" si="7"/>
        <v>1</v>
      </c>
      <c r="BT43" s="47">
        <v>47280</v>
      </c>
      <c r="BU43" s="47">
        <f t="shared" si="14"/>
        <v>88484.745863630349</v>
      </c>
      <c r="BV43" s="47">
        <f t="shared" si="15"/>
        <v>23504.254136369651</v>
      </c>
      <c r="BW43" s="425">
        <f t="shared" si="19"/>
        <v>1132.3947459869462</v>
      </c>
    </row>
    <row r="44" spans="2:75" x14ac:dyDescent="0.25">
      <c r="B44" s="266"/>
      <c r="C44" s="416">
        <v>2009</v>
      </c>
      <c r="D44" s="47">
        <v>760161</v>
      </c>
      <c r="F44" s="47">
        <v>18173</v>
      </c>
      <c r="G44" s="47">
        <v>18483</v>
      </c>
      <c r="H44" s="47">
        <f t="shared" si="16"/>
        <v>36656</v>
      </c>
      <c r="J44" s="47">
        <v>389568.62</v>
      </c>
      <c r="K44" s="47">
        <v>82019</v>
      </c>
      <c r="L44" s="47">
        <v>251917.38</v>
      </c>
      <c r="M44" s="47">
        <f t="shared" si="0"/>
        <v>723505</v>
      </c>
      <c r="N44" s="267" t="b">
        <f t="shared" si="17"/>
        <v>1</v>
      </c>
      <c r="P44" s="266"/>
      <c r="Q44" s="416">
        <v>2009</v>
      </c>
      <c r="R44" s="47">
        <f t="shared" si="20"/>
        <v>36656</v>
      </c>
      <c r="S44" s="438">
        <v>0.11</v>
      </c>
      <c r="T44" s="437">
        <f t="shared" si="21"/>
        <v>4032.16</v>
      </c>
      <c r="U44" s="416"/>
      <c r="V44" s="47">
        <v>5365.7508438171217</v>
      </c>
      <c r="W44" s="47">
        <v>3535.2491561828783</v>
      </c>
      <c r="Y44" s="47">
        <v>80412</v>
      </c>
      <c r="Z44" s="47">
        <v>20736</v>
      </c>
      <c r="AA44" s="47">
        <v>23081</v>
      </c>
      <c r="AC44" s="47">
        <v>70129.62</v>
      </c>
      <c r="AD44" s="47">
        <v>23761.38</v>
      </c>
      <c r="AE44" s="47">
        <f t="shared" si="1"/>
        <v>227021</v>
      </c>
      <c r="AG44" s="47">
        <v>176643.37084381713</v>
      </c>
      <c r="AH44" s="47">
        <v>50377.629156182884</v>
      </c>
      <c r="AI44" s="425" t="b">
        <f t="shared" si="18"/>
        <v>1</v>
      </c>
      <c r="AK44" s="266"/>
      <c r="AL44" s="416">
        <v>2009</v>
      </c>
      <c r="AM44" s="47">
        <f t="shared" si="22"/>
        <v>36656</v>
      </c>
      <c r="AN44" s="47">
        <f t="shared" si="2"/>
        <v>723505</v>
      </c>
      <c r="AO44" s="47">
        <v>135558</v>
      </c>
      <c r="AP44" s="47">
        <v>89313</v>
      </c>
      <c r="AQ44" s="47">
        <f t="shared" si="8"/>
        <v>62062.234683420262</v>
      </c>
      <c r="AR44" s="425">
        <f t="shared" si="9"/>
        <v>436571.76531657972</v>
      </c>
      <c r="AS44" s="47"/>
      <c r="AT44" s="266"/>
      <c r="AU44" s="416">
        <v>2009</v>
      </c>
      <c r="AV44" s="441">
        <v>143078</v>
      </c>
      <c r="AW44" s="47">
        <v>1607.0000000000002</v>
      </c>
      <c r="AX44" s="47">
        <v>115762</v>
      </c>
      <c r="AY44" s="425">
        <f t="shared" si="10"/>
        <v>260447</v>
      </c>
      <c r="BA44" s="266"/>
      <c r="BB44" s="416">
        <v>2009</v>
      </c>
      <c r="BC44" s="441">
        <v>143078</v>
      </c>
      <c r="BD44" s="47">
        <v>135558</v>
      </c>
      <c r="BE44" s="47">
        <f t="shared" si="3"/>
        <v>278636</v>
      </c>
      <c r="BG44" s="47">
        <v>115762</v>
      </c>
      <c r="BH44" s="47">
        <v>89313</v>
      </c>
      <c r="BI44" s="47">
        <f t="shared" si="4"/>
        <v>205075</v>
      </c>
      <c r="BK44" s="47">
        <v>85634.62</v>
      </c>
      <c r="BL44" s="47">
        <f t="shared" si="5"/>
        <v>43972.889936548039</v>
      </c>
      <c r="BM44" s="47">
        <f t="shared" si="11"/>
        <v>41661.730063451956</v>
      </c>
      <c r="BN44" s="47" t="b">
        <f t="shared" si="6"/>
        <v>1</v>
      </c>
      <c r="BP44" s="47">
        <v>46842.380000000005</v>
      </c>
      <c r="BQ44" s="47">
        <f t="shared" si="12"/>
        <v>26441.875380031699</v>
      </c>
      <c r="BR44" s="47">
        <f t="shared" si="13"/>
        <v>20400.504619968306</v>
      </c>
      <c r="BS44" s="47" t="b">
        <f t="shared" si="7"/>
        <v>1</v>
      </c>
      <c r="BT44" s="47">
        <v>80412</v>
      </c>
      <c r="BU44" s="47">
        <f t="shared" si="14"/>
        <v>150826.76531657972</v>
      </c>
      <c r="BV44" s="47">
        <f t="shared" si="15"/>
        <v>62062.234683420262</v>
      </c>
      <c r="BW44" s="425">
        <f t="shared" si="19"/>
        <v>4032.16</v>
      </c>
    </row>
    <row r="45" spans="2:75" x14ac:dyDescent="0.25">
      <c r="B45" s="266"/>
      <c r="C45" s="416">
        <v>2010</v>
      </c>
      <c r="D45" s="47">
        <v>466530</v>
      </c>
      <c r="F45" s="47">
        <v>13901.2</v>
      </c>
      <c r="G45" s="47">
        <v>14325.800000000001</v>
      </c>
      <c r="H45" s="47">
        <f t="shared" si="16"/>
        <v>28227</v>
      </c>
      <c r="J45" s="47">
        <v>172360.6</v>
      </c>
      <c r="K45" s="47">
        <v>58674</v>
      </c>
      <c r="L45" s="47">
        <v>207268.4</v>
      </c>
      <c r="M45" s="47">
        <f t="shared" si="0"/>
        <v>438303</v>
      </c>
      <c r="N45" s="267" t="b">
        <f t="shared" si="17"/>
        <v>1</v>
      </c>
      <c r="P45" s="266"/>
      <c r="Q45" s="416">
        <v>2010</v>
      </c>
      <c r="R45" s="47">
        <f t="shared" si="20"/>
        <v>28227</v>
      </c>
      <c r="S45" s="438">
        <v>7.0000000000000007E-2</v>
      </c>
      <c r="T45" s="437">
        <f t="shared" si="21"/>
        <v>1975.89</v>
      </c>
      <c r="U45" s="416"/>
      <c r="V45" s="47">
        <v>3308.4900847745557</v>
      </c>
      <c r="W45" s="47">
        <v>3794.5099152254443</v>
      </c>
      <c r="Y45" s="47">
        <v>57367</v>
      </c>
      <c r="Z45" s="47">
        <v>3015</v>
      </c>
      <c r="AA45" s="47">
        <v>15905</v>
      </c>
      <c r="AC45" s="47">
        <v>21762.6</v>
      </c>
      <c r="AD45" s="47">
        <v>13070.4</v>
      </c>
      <c r="AE45" s="47">
        <f t="shared" si="1"/>
        <v>118223</v>
      </c>
      <c r="AG45" s="47">
        <v>85453.090084774565</v>
      </c>
      <c r="AH45" s="47">
        <v>32769.909915225442</v>
      </c>
      <c r="AI45" s="425" t="b">
        <f t="shared" si="18"/>
        <v>1</v>
      </c>
      <c r="AK45" s="266"/>
      <c r="AL45" s="416">
        <v>2010</v>
      </c>
      <c r="AM45" s="47">
        <f t="shared" si="22"/>
        <v>28227</v>
      </c>
      <c r="AN45" s="47">
        <f t="shared" si="2"/>
        <v>438303</v>
      </c>
      <c r="AO45" s="47">
        <v>56208</v>
      </c>
      <c r="AP45" s="47">
        <v>64465</v>
      </c>
      <c r="AQ45" s="47">
        <f t="shared" si="8"/>
        <v>19931.872686495302</v>
      </c>
      <c r="AR45" s="425">
        <f t="shared" si="9"/>
        <v>297698.12731350469</v>
      </c>
      <c r="AS45" s="47"/>
      <c r="AT45" s="266"/>
      <c r="AU45" s="416">
        <v>2010</v>
      </c>
      <c r="AV45" s="441">
        <v>74125</v>
      </c>
      <c r="AW45" s="47">
        <v>1307</v>
      </c>
      <c r="AX45" s="47">
        <v>113828</v>
      </c>
      <c r="AY45" s="425">
        <f t="shared" si="10"/>
        <v>189260</v>
      </c>
      <c r="BA45" s="266"/>
      <c r="BB45" s="416">
        <v>2010</v>
      </c>
      <c r="BC45" s="441">
        <v>74125</v>
      </c>
      <c r="BD45" s="47">
        <v>56208</v>
      </c>
      <c r="BE45" s="47">
        <f t="shared" si="3"/>
        <v>130333</v>
      </c>
      <c r="BG45" s="47">
        <v>113828</v>
      </c>
      <c r="BH45" s="47">
        <v>64465</v>
      </c>
      <c r="BI45" s="47">
        <f t="shared" si="4"/>
        <v>178293</v>
      </c>
      <c r="BK45" s="47">
        <v>21924.6</v>
      </c>
      <c r="BL45" s="47">
        <f t="shared" si="5"/>
        <v>12469.297683625789</v>
      </c>
      <c r="BM45" s="47">
        <f t="shared" si="11"/>
        <v>9455.3023163742091</v>
      </c>
      <c r="BN45" s="47" t="b">
        <f t="shared" si="6"/>
        <v>1</v>
      </c>
      <c r="BP45" s="47">
        <v>28975.4</v>
      </c>
      <c r="BQ45" s="47">
        <f t="shared" si="12"/>
        <v>18498.829629878906</v>
      </c>
      <c r="BR45" s="47">
        <f t="shared" si="13"/>
        <v>10476.570370121093</v>
      </c>
      <c r="BS45" s="47" t="b">
        <f t="shared" si="7"/>
        <v>1</v>
      </c>
      <c r="BT45" s="47">
        <v>57367</v>
      </c>
      <c r="BU45" s="47">
        <f t="shared" si="14"/>
        <v>88335.127313504694</v>
      </c>
      <c r="BV45" s="47">
        <f t="shared" si="15"/>
        <v>19931.872686495302</v>
      </c>
      <c r="BW45" s="425">
        <f t="shared" si="19"/>
        <v>1975.89</v>
      </c>
    </row>
    <row r="46" spans="2:75" x14ac:dyDescent="0.25">
      <c r="B46" s="266"/>
      <c r="C46" s="416">
        <v>2011</v>
      </c>
      <c r="D46" s="47">
        <v>378050</v>
      </c>
      <c r="F46" s="47">
        <v>15796.199999999999</v>
      </c>
      <c r="G46" s="47">
        <v>16187.800000000001</v>
      </c>
      <c r="H46" s="47">
        <f t="shared" si="16"/>
        <v>31984</v>
      </c>
      <c r="J46" s="47">
        <v>185719.18</v>
      </c>
      <c r="K46" s="47">
        <v>51597</v>
      </c>
      <c r="L46" s="47">
        <v>108749.82</v>
      </c>
      <c r="M46" s="47">
        <f t="shared" si="0"/>
        <v>346066</v>
      </c>
      <c r="N46" s="267" t="b">
        <f t="shared" si="17"/>
        <v>1</v>
      </c>
      <c r="P46" s="266"/>
      <c r="Q46" s="416">
        <v>2011</v>
      </c>
      <c r="R46" s="47">
        <f t="shared" si="20"/>
        <v>31984</v>
      </c>
      <c r="S46" s="438">
        <v>0.08</v>
      </c>
      <c r="T46" s="437">
        <f t="shared" si="21"/>
        <v>2558.7200000000003</v>
      </c>
      <c r="U46" s="416"/>
      <c r="V46" s="47">
        <v>26719.76305514219</v>
      </c>
      <c r="W46" s="47">
        <v>6539.2369448578102</v>
      </c>
      <c r="Y46" s="47">
        <v>48787</v>
      </c>
      <c r="Z46" s="47">
        <v>6189</v>
      </c>
      <c r="AA46" s="47">
        <v>7293</v>
      </c>
      <c r="AC46" s="47">
        <v>16176.18</v>
      </c>
      <c r="AD46" s="47">
        <v>12518.82</v>
      </c>
      <c r="AE46" s="47">
        <f t="shared" si="1"/>
        <v>124223</v>
      </c>
      <c r="AG46" s="47">
        <v>97871.943055142183</v>
      </c>
      <c r="AH46" s="47">
        <v>26351.05694485781</v>
      </c>
      <c r="AI46" s="425" t="b">
        <f t="shared" si="18"/>
        <v>1</v>
      </c>
      <c r="AK46" s="266"/>
      <c r="AL46" s="416">
        <v>2011</v>
      </c>
      <c r="AM46" s="47">
        <f t="shared" si="22"/>
        <v>31984</v>
      </c>
      <c r="AN46" s="47">
        <f t="shared" si="2"/>
        <v>346066</v>
      </c>
      <c r="AO46" s="47">
        <v>117691</v>
      </c>
      <c r="AP46" s="47">
        <v>28803</v>
      </c>
      <c r="AQ46" s="47">
        <f t="shared" si="8"/>
        <v>20356.605282389737</v>
      </c>
      <c r="AR46" s="425">
        <f t="shared" si="9"/>
        <v>179215.39471761027</v>
      </c>
      <c r="AS46" s="47"/>
      <c r="AT46" s="266"/>
      <c r="AU46" s="416">
        <v>2011</v>
      </c>
      <c r="AV46" s="441">
        <v>45325.000000000007</v>
      </c>
      <c r="AW46" s="47">
        <v>2810</v>
      </c>
      <c r="AX46" s="47">
        <v>60135</v>
      </c>
      <c r="AY46" s="425">
        <f t="shared" si="10"/>
        <v>108270</v>
      </c>
      <c r="BA46" s="266"/>
      <c r="BB46" s="416">
        <v>2011</v>
      </c>
      <c r="BC46" s="441">
        <v>45325.000000000007</v>
      </c>
      <c r="BD46" s="47">
        <v>117691</v>
      </c>
      <c r="BE46" s="47">
        <f t="shared" si="3"/>
        <v>163016</v>
      </c>
      <c r="BG46" s="47">
        <v>60135</v>
      </c>
      <c r="BH46" s="47">
        <v>28803</v>
      </c>
      <c r="BI46" s="47">
        <f t="shared" si="4"/>
        <v>88938</v>
      </c>
      <c r="BK46" s="47">
        <v>19309.18</v>
      </c>
      <c r="BL46" s="47">
        <f t="shared" si="5"/>
        <v>5368.728121779458</v>
      </c>
      <c r="BM46" s="47">
        <f t="shared" si="11"/>
        <v>13940.451878220541</v>
      </c>
      <c r="BN46" s="47" t="b">
        <f t="shared" si="6"/>
        <v>1</v>
      </c>
      <c r="BP46" s="47">
        <v>19811.82</v>
      </c>
      <c r="BQ46" s="47">
        <f t="shared" si="12"/>
        <v>13395.666595830802</v>
      </c>
      <c r="BR46" s="47">
        <f t="shared" si="13"/>
        <v>6416.1534041691966</v>
      </c>
      <c r="BS46" s="47" t="b">
        <f t="shared" si="7"/>
        <v>1</v>
      </c>
      <c r="BT46" s="47">
        <v>48787</v>
      </c>
      <c r="BU46" s="47">
        <f t="shared" si="14"/>
        <v>67551.394717610267</v>
      </c>
      <c r="BV46" s="47">
        <f t="shared" si="15"/>
        <v>20356.605282389737</v>
      </c>
      <c r="BW46" s="425">
        <f t="shared" si="19"/>
        <v>2558.7200000000003</v>
      </c>
    </row>
    <row r="47" spans="2:75" x14ac:dyDescent="0.25">
      <c r="B47" s="266"/>
      <c r="C47" s="416">
        <v>2012</v>
      </c>
      <c r="D47" s="47">
        <v>152376</v>
      </c>
      <c r="F47" s="47">
        <v>9376.65</v>
      </c>
      <c r="G47" s="47">
        <v>10366.35</v>
      </c>
      <c r="H47" s="47">
        <f t="shared" si="16"/>
        <v>19743</v>
      </c>
      <c r="J47" s="47">
        <v>77911.199999999997</v>
      </c>
      <c r="K47" s="47">
        <v>15558</v>
      </c>
      <c r="L47" s="47">
        <v>39163.800000000003</v>
      </c>
      <c r="M47" s="47">
        <f t="shared" si="0"/>
        <v>132633</v>
      </c>
      <c r="N47" s="267" t="b">
        <f t="shared" si="17"/>
        <v>1</v>
      </c>
      <c r="P47" s="266"/>
      <c r="Q47" s="416">
        <v>2012</v>
      </c>
      <c r="R47" s="47">
        <f t="shared" si="20"/>
        <v>19743</v>
      </c>
      <c r="S47" s="438">
        <v>0.03</v>
      </c>
      <c r="T47" s="437">
        <f t="shared" si="21"/>
        <v>592.29</v>
      </c>
      <c r="U47" s="416"/>
      <c r="V47" s="47">
        <v>4763.3201244473557</v>
      </c>
      <c r="W47" s="47">
        <v>1608.6798755526443</v>
      </c>
      <c r="Y47" s="47">
        <v>14485</v>
      </c>
      <c r="Z47" s="47">
        <v>823</v>
      </c>
      <c r="AA47" s="47">
        <v>1792</v>
      </c>
      <c r="AC47" s="47">
        <v>10389.200000000001</v>
      </c>
      <c r="AD47" s="47">
        <v>3636.8</v>
      </c>
      <c r="AE47" s="47">
        <f t="shared" si="1"/>
        <v>37498</v>
      </c>
      <c r="AG47" s="47">
        <v>30460.520124447357</v>
      </c>
      <c r="AH47" s="47">
        <v>7037.4798755526444</v>
      </c>
      <c r="AI47" s="425" t="b">
        <f t="shared" si="18"/>
        <v>1</v>
      </c>
      <c r="AK47" s="266"/>
      <c r="AL47" s="416">
        <v>2012</v>
      </c>
      <c r="AM47" s="47">
        <f t="shared" si="22"/>
        <v>19743</v>
      </c>
      <c r="AN47" s="47">
        <f t="shared" si="2"/>
        <v>132633</v>
      </c>
      <c r="AO47" s="47">
        <v>41087</v>
      </c>
      <c r="AP47" s="47">
        <v>13876</v>
      </c>
      <c r="AQ47" s="47">
        <f t="shared" si="8"/>
        <v>8347.5106531241781</v>
      </c>
      <c r="AR47" s="425">
        <f t="shared" si="9"/>
        <v>69322.489346875824</v>
      </c>
      <c r="AS47" s="47"/>
      <c r="AT47" s="266"/>
      <c r="AU47" s="416">
        <v>2012</v>
      </c>
      <c r="AV47" s="441">
        <v>21010</v>
      </c>
      <c r="AW47" s="47">
        <v>1073</v>
      </c>
      <c r="AX47" s="47">
        <v>19859</v>
      </c>
      <c r="AY47" s="425">
        <f t="shared" si="10"/>
        <v>41942</v>
      </c>
      <c r="BA47" s="266"/>
      <c r="BB47" s="416">
        <v>2012</v>
      </c>
      <c r="BC47" s="441">
        <v>21010</v>
      </c>
      <c r="BD47" s="47">
        <v>41087</v>
      </c>
      <c r="BE47" s="47">
        <f t="shared" si="3"/>
        <v>62097</v>
      </c>
      <c r="BG47" s="47">
        <v>19859</v>
      </c>
      <c r="BH47" s="47">
        <v>13876</v>
      </c>
      <c r="BI47" s="47">
        <f t="shared" si="4"/>
        <v>33735</v>
      </c>
      <c r="BK47" s="47">
        <v>9241.2000000000007</v>
      </c>
      <c r="BL47" s="47">
        <f t="shared" si="5"/>
        <v>3126.6826416735107</v>
      </c>
      <c r="BM47" s="47">
        <f t="shared" si="11"/>
        <v>6114.5173583264896</v>
      </c>
      <c r="BN47" s="47" t="b">
        <f t="shared" si="6"/>
        <v>1</v>
      </c>
      <c r="BP47" s="47">
        <v>5428.8</v>
      </c>
      <c r="BQ47" s="47">
        <f t="shared" si="12"/>
        <v>3195.8067052023121</v>
      </c>
      <c r="BR47" s="47">
        <f t="shared" si="13"/>
        <v>2232.9932947976881</v>
      </c>
      <c r="BS47" s="47" t="b">
        <f t="shared" si="7"/>
        <v>1</v>
      </c>
      <c r="BT47" s="47">
        <v>14485</v>
      </c>
      <c r="BU47" s="47">
        <f t="shared" si="14"/>
        <v>20807.489346875824</v>
      </c>
      <c r="BV47" s="47">
        <f t="shared" si="15"/>
        <v>8347.5106531241781</v>
      </c>
      <c r="BW47" s="425">
        <f t="shared" si="19"/>
        <v>592.29</v>
      </c>
    </row>
    <row r="48" spans="2:75" x14ac:dyDescent="0.25">
      <c r="B48" s="266"/>
      <c r="C48" s="416">
        <v>2013</v>
      </c>
      <c r="D48" s="47">
        <v>252763.85901027077</v>
      </c>
      <c r="F48" s="47">
        <v>11115.8</v>
      </c>
      <c r="G48" s="47">
        <v>14842.2</v>
      </c>
      <c r="H48" s="47">
        <f t="shared" si="16"/>
        <v>25958</v>
      </c>
      <c r="J48" s="47">
        <v>107273.33253968254</v>
      </c>
      <c r="K48" s="47">
        <v>39509</v>
      </c>
      <c r="L48" s="47">
        <v>80023.526470588229</v>
      </c>
      <c r="M48" s="47">
        <f t="shared" si="0"/>
        <v>226805.85901027077</v>
      </c>
      <c r="N48" s="267" t="b">
        <f t="shared" si="17"/>
        <v>1</v>
      </c>
      <c r="P48" s="266"/>
      <c r="Q48" s="416">
        <v>2013</v>
      </c>
      <c r="R48" s="47">
        <f t="shared" si="20"/>
        <v>25958</v>
      </c>
      <c r="S48" s="438">
        <v>0.03</v>
      </c>
      <c r="T48" s="437">
        <f t="shared" si="21"/>
        <v>778.74</v>
      </c>
      <c r="U48" s="416"/>
      <c r="V48" s="47">
        <v>4875.7993625230665</v>
      </c>
      <c r="W48" s="47">
        <v>3924.2006374769335</v>
      </c>
      <c r="Y48" s="47">
        <v>38591</v>
      </c>
      <c r="Z48" s="47">
        <v>3645</v>
      </c>
      <c r="AA48" s="47">
        <v>6122</v>
      </c>
      <c r="AC48" s="47">
        <v>12750.65</v>
      </c>
      <c r="AD48" s="47">
        <v>8067.35</v>
      </c>
      <c r="AE48" s="47">
        <f t="shared" si="1"/>
        <v>77976</v>
      </c>
      <c r="AG48" s="47">
        <v>59862.449362523068</v>
      </c>
      <c r="AH48" s="47">
        <v>18113.550637476932</v>
      </c>
      <c r="AI48" s="425" t="b">
        <f t="shared" si="18"/>
        <v>1</v>
      </c>
      <c r="AK48" s="266"/>
      <c r="AL48" s="416">
        <v>2013</v>
      </c>
      <c r="AM48" s="47">
        <f t="shared" si="22"/>
        <v>25958</v>
      </c>
      <c r="AN48" s="47">
        <f t="shared" si="2"/>
        <v>226805.85901027077</v>
      </c>
      <c r="AO48" s="47">
        <v>33028</v>
      </c>
      <c r="AP48" s="47">
        <v>26582</v>
      </c>
      <c r="AQ48" s="47">
        <f t="shared" si="8"/>
        <v>11869.68560765347</v>
      </c>
      <c r="AR48" s="425">
        <f t="shared" si="9"/>
        <v>155326.17340261731</v>
      </c>
      <c r="AS48" s="47"/>
      <c r="AT48" s="266"/>
      <c r="AU48" s="416">
        <v>2013</v>
      </c>
      <c r="AV48" s="441">
        <v>41713.682539682544</v>
      </c>
      <c r="AW48" s="47">
        <v>917.99999999999989</v>
      </c>
      <c r="AX48" s="47">
        <v>39252.176470588231</v>
      </c>
      <c r="AY48" s="425">
        <f t="shared" si="10"/>
        <v>81883.859010270768</v>
      </c>
      <c r="BA48" s="266"/>
      <c r="BB48" s="416">
        <v>2013</v>
      </c>
      <c r="BC48" s="441">
        <v>41713.682539682544</v>
      </c>
      <c r="BD48" s="47">
        <v>33028</v>
      </c>
      <c r="BE48" s="47">
        <f t="shared" si="3"/>
        <v>74741.682539682544</v>
      </c>
      <c r="BG48" s="47">
        <v>39252.176470588231</v>
      </c>
      <c r="BH48" s="47">
        <v>26582</v>
      </c>
      <c r="BI48" s="47">
        <f t="shared" si="4"/>
        <v>65834.176470588223</v>
      </c>
      <c r="BK48" s="47">
        <v>13895.65</v>
      </c>
      <c r="BL48" s="47">
        <f t="shared" si="5"/>
        <v>7755.2272451826666</v>
      </c>
      <c r="BM48" s="47">
        <f t="shared" si="11"/>
        <v>6140.4227548173321</v>
      </c>
      <c r="BN48" s="47" t="b">
        <f t="shared" si="6"/>
        <v>1</v>
      </c>
      <c r="BP48" s="47">
        <v>14189.35</v>
      </c>
      <c r="BQ48" s="47">
        <f t="shared" si="12"/>
        <v>8460.0871471638638</v>
      </c>
      <c r="BR48" s="47">
        <f t="shared" si="13"/>
        <v>5729.2628528361374</v>
      </c>
      <c r="BS48" s="47" t="b">
        <f t="shared" si="7"/>
        <v>1</v>
      </c>
      <c r="BT48" s="47">
        <v>38591</v>
      </c>
      <c r="BU48" s="47">
        <f t="shared" si="14"/>
        <v>54806.314392346532</v>
      </c>
      <c r="BV48" s="47">
        <f t="shared" si="15"/>
        <v>11869.68560765347</v>
      </c>
      <c r="BW48" s="425">
        <f t="shared" si="19"/>
        <v>778.74</v>
      </c>
    </row>
    <row r="49" spans="2:75" x14ac:dyDescent="0.25">
      <c r="B49" s="266"/>
      <c r="C49" s="416">
        <v>2014</v>
      </c>
      <c r="D49" s="47">
        <v>1020520</v>
      </c>
      <c r="F49" s="47">
        <v>40510.35</v>
      </c>
      <c r="G49" s="47">
        <v>41722.65</v>
      </c>
      <c r="H49" s="47">
        <f t="shared" si="16"/>
        <v>82233</v>
      </c>
      <c r="J49" s="47">
        <v>408959.78</v>
      </c>
      <c r="K49" s="47">
        <v>173896</v>
      </c>
      <c r="L49" s="47">
        <v>355431.22</v>
      </c>
      <c r="M49" s="47">
        <f t="shared" si="0"/>
        <v>938287</v>
      </c>
      <c r="N49" s="267" t="b">
        <f t="shared" si="17"/>
        <v>1</v>
      </c>
      <c r="P49" s="266"/>
      <c r="Q49" s="416">
        <v>2014</v>
      </c>
      <c r="R49" s="47">
        <f t="shared" si="20"/>
        <v>82233</v>
      </c>
      <c r="S49" s="438">
        <v>0.05</v>
      </c>
      <c r="T49" s="437">
        <f t="shared" si="21"/>
        <v>4111.6500000000005</v>
      </c>
      <c r="U49" s="416"/>
      <c r="V49" s="47">
        <v>25461.521686751297</v>
      </c>
      <c r="W49" s="47">
        <v>13777.478313248703</v>
      </c>
      <c r="Y49" s="47">
        <v>166851</v>
      </c>
      <c r="Z49" s="47">
        <v>18206.5</v>
      </c>
      <c r="AA49" s="47">
        <v>52236.5</v>
      </c>
      <c r="AC49" s="47">
        <v>74671.28</v>
      </c>
      <c r="AD49" s="47">
        <v>40513.72</v>
      </c>
      <c r="AE49" s="47">
        <f t="shared" si="1"/>
        <v>391718</v>
      </c>
      <c r="AG49" s="47">
        <v>285190.30168675131</v>
      </c>
      <c r="AH49" s="47">
        <v>106527.69831324871</v>
      </c>
      <c r="AI49" s="425" t="b">
        <f t="shared" si="18"/>
        <v>1</v>
      </c>
      <c r="AK49" s="266"/>
      <c r="AL49" s="416">
        <v>2014</v>
      </c>
      <c r="AM49" s="47">
        <f t="shared" si="22"/>
        <v>82233</v>
      </c>
      <c r="AN49" s="47">
        <f t="shared" si="2"/>
        <v>938287</v>
      </c>
      <c r="AO49" s="47">
        <v>181514</v>
      </c>
      <c r="AP49" s="47">
        <v>98219</v>
      </c>
      <c r="AQ49" s="47">
        <f t="shared" si="8"/>
        <v>87142.096323693448</v>
      </c>
      <c r="AR49" s="425">
        <f t="shared" si="9"/>
        <v>571411.9036763066</v>
      </c>
      <c r="AS49" s="47"/>
      <c r="AT49" s="266"/>
      <c r="AU49" s="416">
        <v>2014</v>
      </c>
      <c r="AV49" s="441">
        <v>121736.99999999999</v>
      </c>
      <c r="AW49" s="47">
        <v>7045</v>
      </c>
      <c r="AX49" s="47">
        <v>164462</v>
      </c>
      <c r="AY49" s="425">
        <f t="shared" si="10"/>
        <v>293244</v>
      </c>
      <c r="BA49" s="266"/>
      <c r="BB49" s="416">
        <v>2014</v>
      </c>
      <c r="BC49" s="441">
        <v>121736.99999999999</v>
      </c>
      <c r="BD49" s="47">
        <v>181514</v>
      </c>
      <c r="BE49" s="47">
        <f t="shared" si="3"/>
        <v>303251</v>
      </c>
      <c r="BG49" s="47">
        <v>164462</v>
      </c>
      <c r="BH49" s="47">
        <v>98219</v>
      </c>
      <c r="BI49" s="47">
        <f t="shared" si="4"/>
        <v>262681</v>
      </c>
      <c r="BK49" s="47">
        <v>87646.78</v>
      </c>
      <c r="BL49" s="47">
        <f t="shared" si="5"/>
        <v>35184.899825095381</v>
      </c>
      <c r="BM49" s="47">
        <f t="shared" si="11"/>
        <v>52461.880174904611</v>
      </c>
      <c r="BN49" s="47" t="b">
        <f t="shared" si="6"/>
        <v>1</v>
      </c>
      <c r="BP49" s="47">
        <v>92750.22</v>
      </c>
      <c r="BQ49" s="47">
        <f t="shared" si="12"/>
        <v>58070.003851211164</v>
      </c>
      <c r="BR49" s="47">
        <f t="shared" si="13"/>
        <v>34680.216148788837</v>
      </c>
      <c r="BS49" s="47" t="b">
        <f t="shared" si="7"/>
        <v>1</v>
      </c>
      <c r="BT49" s="47">
        <v>166851</v>
      </c>
      <c r="BU49" s="47">
        <f t="shared" si="14"/>
        <v>260105.90367630654</v>
      </c>
      <c r="BV49" s="47">
        <f t="shared" si="15"/>
        <v>87142.096323693448</v>
      </c>
      <c r="BW49" s="425">
        <f t="shared" si="19"/>
        <v>4111.6500000000005</v>
      </c>
    </row>
    <row r="50" spans="2:75" x14ac:dyDescent="0.25">
      <c r="B50" s="266"/>
      <c r="C50" s="416">
        <v>2015</v>
      </c>
      <c r="D50" s="47">
        <v>169580</v>
      </c>
      <c r="F50" s="47">
        <v>5083.2</v>
      </c>
      <c r="G50" s="47">
        <v>5098.8</v>
      </c>
      <c r="H50" s="47">
        <f t="shared" si="16"/>
        <v>10182</v>
      </c>
      <c r="J50" s="47">
        <v>84195.900000000009</v>
      </c>
      <c r="K50" s="47">
        <v>28525</v>
      </c>
      <c r="L50" s="47">
        <v>46677.1</v>
      </c>
      <c r="M50" s="47">
        <f t="shared" si="0"/>
        <v>159398</v>
      </c>
      <c r="N50" s="267" t="b">
        <f t="shared" si="17"/>
        <v>1</v>
      </c>
      <c r="P50" s="266"/>
      <c r="Q50" s="416">
        <v>2015</v>
      </c>
      <c r="R50" s="47">
        <f t="shared" si="20"/>
        <v>10182</v>
      </c>
      <c r="S50" s="438">
        <v>7.0000000000000007E-2</v>
      </c>
      <c r="T50" s="437">
        <f t="shared" si="21"/>
        <v>712.74000000000012</v>
      </c>
      <c r="U50" s="416"/>
      <c r="V50" s="47">
        <v>1637.2433292337309</v>
      </c>
      <c r="W50" s="47">
        <v>637.75667076626905</v>
      </c>
      <c r="Y50" s="47">
        <v>26636</v>
      </c>
      <c r="Z50" s="47">
        <v>1238.5</v>
      </c>
      <c r="AA50" s="47">
        <v>3217.5</v>
      </c>
      <c r="AC50" s="47">
        <v>36169.400000000009</v>
      </c>
      <c r="AD50" s="47">
        <v>8793.6</v>
      </c>
      <c r="AE50" s="47">
        <f t="shared" si="1"/>
        <v>78330.000000000015</v>
      </c>
      <c r="AG50" s="47">
        <v>65681.143329233746</v>
      </c>
      <c r="AH50" s="47">
        <v>12648.856670766269</v>
      </c>
      <c r="AI50" s="425" t="b">
        <f t="shared" si="18"/>
        <v>1</v>
      </c>
      <c r="AK50" s="266"/>
      <c r="AL50" s="416">
        <v>2015</v>
      </c>
      <c r="AM50" s="47">
        <f t="shared" si="22"/>
        <v>10182</v>
      </c>
      <c r="AN50" s="47">
        <f t="shared" si="2"/>
        <v>159398</v>
      </c>
      <c r="AO50" s="47">
        <v>26917</v>
      </c>
      <c r="AP50" s="47">
        <v>10485</v>
      </c>
      <c r="AQ50" s="47">
        <f t="shared" si="8"/>
        <v>26221.262901047165</v>
      </c>
      <c r="AR50" s="425">
        <f t="shared" si="9"/>
        <v>95774.737098952843</v>
      </c>
      <c r="AS50" s="47"/>
      <c r="AT50" s="266"/>
      <c r="AU50" s="416">
        <v>2015</v>
      </c>
      <c r="AV50" s="441">
        <v>17421.000000000004</v>
      </c>
      <c r="AW50" s="47">
        <v>1889</v>
      </c>
      <c r="AX50" s="47">
        <v>24181</v>
      </c>
      <c r="AY50" s="425">
        <f t="shared" si="10"/>
        <v>43491</v>
      </c>
      <c r="BA50" s="266"/>
      <c r="BB50" s="416">
        <v>2015</v>
      </c>
      <c r="BC50" s="441">
        <v>17421.000000000004</v>
      </c>
      <c r="BD50" s="47">
        <v>26917</v>
      </c>
      <c r="BE50" s="47">
        <f t="shared" si="3"/>
        <v>44338</v>
      </c>
      <c r="BG50" s="47">
        <v>24181</v>
      </c>
      <c r="BH50" s="47">
        <v>10485</v>
      </c>
      <c r="BI50" s="47">
        <f t="shared" si="4"/>
        <v>34666</v>
      </c>
      <c r="BK50" s="47">
        <v>37207.900000000009</v>
      </c>
      <c r="BL50" s="47">
        <f t="shared" si="5"/>
        <v>14619.487254725072</v>
      </c>
      <c r="BM50" s="47">
        <f t="shared" si="11"/>
        <v>22588.412745274938</v>
      </c>
      <c r="BN50" s="47" t="b">
        <f t="shared" si="6"/>
        <v>1</v>
      </c>
      <c r="BP50" s="47">
        <v>12011.1</v>
      </c>
      <c r="BQ50" s="47">
        <f t="shared" si="12"/>
        <v>8378.2498442277738</v>
      </c>
      <c r="BR50" s="47">
        <f t="shared" si="13"/>
        <v>3632.8501557722266</v>
      </c>
      <c r="BS50" s="47" t="b">
        <f t="shared" si="7"/>
        <v>1</v>
      </c>
      <c r="BT50" s="47">
        <v>26636</v>
      </c>
      <c r="BU50" s="47">
        <f t="shared" si="14"/>
        <v>49633.737098952843</v>
      </c>
      <c r="BV50" s="47">
        <f t="shared" si="15"/>
        <v>26221.262901047165</v>
      </c>
      <c r="BW50" s="425">
        <f t="shared" si="19"/>
        <v>712.74000000000012</v>
      </c>
    </row>
    <row r="51" spans="2:75" x14ac:dyDescent="0.25">
      <c r="B51" s="266"/>
      <c r="C51" s="416">
        <v>2016</v>
      </c>
      <c r="D51" s="47">
        <v>204947</v>
      </c>
      <c r="F51" s="47">
        <v>10536.2</v>
      </c>
      <c r="G51" s="47">
        <v>12772.800000000001</v>
      </c>
      <c r="H51" s="47">
        <f t="shared" si="16"/>
        <v>23309</v>
      </c>
      <c r="J51" s="47">
        <v>76717.34</v>
      </c>
      <c r="K51" s="47">
        <v>32375</v>
      </c>
      <c r="L51" s="47">
        <v>72545.659999999989</v>
      </c>
      <c r="M51" s="47">
        <f t="shared" si="0"/>
        <v>181638</v>
      </c>
      <c r="N51" s="267" t="b">
        <f t="shared" si="17"/>
        <v>1</v>
      </c>
      <c r="P51" s="266"/>
      <c r="Q51" s="416">
        <v>2016</v>
      </c>
      <c r="R51" s="47">
        <f t="shared" si="20"/>
        <v>23309</v>
      </c>
      <c r="S51" s="438">
        <v>0.02</v>
      </c>
      <c r="T51" s="437">
        <f t="shared" si="21"/>
        <v>466.18</v>
      </c>
      <c r="U51" s="416"/>
      <c r="V51" s="47">
        <v>3434.2869109947642</v>
      </c>
      <c r="W51" s="47">
        <v>1557.7130890052358</v>
      </c>
      <c r="Y51" s="47">
        <v>30286</v>
      </c>
      <c r="Z51" s="47">
        <v>889</v>
      </c>
      <c r="AA51" s="47">
        <v>258</v>
      </c>
      <c r="AC51" s="47">
        <v>13759.34</v>
      </c>
      <c r="AD51" s="47">
        <v>9089.66</v>
      </c>
      <c r="AE51" s="47">
        <f t="shared" si="1"/>
        <v>59274</v>
      </c>
      <c r="AG51" s="47">
        <v>48368.626910994761</v>
      </c>
      <c r="AH51" s="47">
        <v>10905.373089005236</v>
      </c>
      <c r="AI51" s="425" t="b">
        <f t="shared" si="18"/>
        <v>1</v>
      </c>
      <c r="AK51" s="266"/>
      <c r="AL51" s="416">
        <v>2016</v>
      </c>
      <c r="AM51" s="47">
        <f t="shared" si="22"/>
        <v>23309</v>
      </c>
      <c r="AN51" s="47">
        <f t="shared" si="2"/>
        <v>181638</v>
      </c>
      <c r="AO51" s="47">
        <v>28908</v>
      </c>
      <c r="AP51" s="47">
        <v>13112</v>
      </c>
      <c r="AQ51" s="47">
        <f t="shared" si="8"/>
        <v>8270.4827253670592</v>
      </c>
      <c r="AR51" s="425">
        <f t="shared" si="9"/>
        <v>131347.51727463293</v>
      </c>
      <c r="AS51" s="47"/>
      <c r="AT51" s="266"/>
      <c r="AU51" s="416">
        <v>2016</v>
      </c>
      <c r="AV51" s="441">
        <v>31927</v>
      </c>
      <c r="AW51" s="47">
        <v>2089</v>
      </c>
      <c r="AX51" s="47">
        <v>50085.999999999993</v>
      </c>
      <c r="AY51" s="425">
        <f t="shared" si="10"/>
        <v>84102</v>
      </c>
      <c r="BA51" s="266"/>
      <c r="BB51" s="416">
        <v>2016</v>
      </c>
      <c r="BC51" s="441">
        <v>31927</v>
      </c>
      <c r="BD51" s="47">
        <v>28908</v>
      </c>
      <c r="BE51" s="47">
        <f t="shared" si="3"/>
        <v>60835</v>
      </c>
      <c r="BG51" s="47">
        <v>50085.999999999993</v>
      </c>
      <c r="BH51" s="47">
        <v>13112</v>
      </c>
      <c r="BI51" s="47">
        <f t="shared" si="4"/>
        <v>63197.999999999993</v>
      </c>
      <c r="BK51" s="47">
        <v>13323.34</v>
      </c>
      <c r="BL51" s="47">
        <f t="shared" si="5"/>
        <v>6992.2622861839409</v>
      </c>
      <c r="BM51" s="47">
        <f t="shared" si="11"/>
        <v>6331.0777138160602</v>
      </c>
      <c r="BN51" s="47" t="b">
        <f t="shared" si="6"/>
        <v>1</v>
      </c>
      <c r="BP51" s="47">
        <v>9347.66</v>
      </c>
      <c r="BQ51" s="47">
        <f t="shared" si="12"/>
        <v>7408.2549884490018</v>
      </c>
      <c r="BR51" s="47">
        <f t="shared" si="13"/>
        <v>1939.4050115509986</v>
      </c>
      <c r="BS51" s="47" t="b">
        <f t="shared" si="7"/>
        <v>1</v>
      </c>
      <c r="BT51" s="47">
        <v>30286</v>
      </c>
      <c r="BU51" s="47">
        <f t="shared" si="14"/>
        <v>44686.517274632941</v>
      </c>
      <c r="BV51" s="47">
        <f t="shared" si="15"/>
        <v>8270.4827253670592</v>
      </c>
      <c r="BW51" s="425">
        <f t="shared" si="19"/>
        <v>466.18</v>
      </c>
    </row>
    <row r="52" spans="2:75" x14ac:dyDescent="0.25">
      <c r="B52" s="266"/>
      <c r="C52" s="416">
        <v>2017</v>
      </c>
      <c r="D52" s="47">
        <v>235656</v>
      </c>
      <c r="F52" s="47">
        <v>15914.15</v>
      </c>
      <c r="G52" s="47">
        <v>13228.85</v>
      </c>
      <c r="H52" s="47">
        <f t="shared" si="16"/>
        <v>29143</v>
      </c>
      <c r="J52" s="47">
        <v>98106.89</v>
      </c>
      <c r="K52" s="47">
        <v>37616</v>
      </c>
      <c r="L52" s="47">
        <v>70790.11</v>
      </c>
      <c r="M52" s="47">
        <f t="shared" si="0"/>
        <v>206513</v>
      </c>
      <c r="N52" s="267" t="b">
        <f t="shared" si="17"/>
        <v>1</v>
      </c>
      <c r="O52" s="47"/>
      <c r="P52" s="266"/>
      <c r="Q52" s="416">
        <v>2017</v>
      </c>
      <c r="R52" s="47">
        <f t="shared" si="20"/>
        <v>29143</v>
      </c>
      <c r="S52" s="438">
        <v>0.04</v>
      </c>
      <c r="T52" s="437">
        <f t="shared" si="21"/>
        <v>1165.72</v>
      </c>
      <c r="U52" s="416"/>
      <c r="V52" s="47">
        <v>3654.4448878002527</v>
      </c>
      <c r="W52" s="47">
        <v>2214.5551121997473</v>
      </c>
      <c r="Y52" s="47">
        <v>36895</v>
      </c>
      <c r="Z52" s="47">
        <v>575</v>
      </c>
      <c r="AA52" s="47">
        <v>357</v>
      </c>
      <c r="AC52" s="47">
        <v>22436.89</v>
      </c>
      <c r="AD52" s="47">
        <v>7833.1100000000006</v>
      </c>
      <c r="AE52" s="47">
        <f t="shared" si="1"/>
        <v>73966</v>
      </c>
      <c r="AG52" s="47">
        <v>63561.334887800251</v>
      </c>
      <c r="AH52" s="47">
        <v>10404.665112199747</v>
      </c>
      <c r="AI52" s="425" t="b">
        <f>AE52=(AG52+AH52)</f>
        <v>1</v>
      </c>
      <c r="AK52" s="266"/>
      <c r="AL52" s="416">
        <v>2017</v>
      </c>
      <c r="AM52" s="47">
        <f t="shared" si="22"/>
        <v>29143</v>
      </c>
      <c r="AN52" s="47">
        <f t="shared" si="2"/>
        <v>206513</v>
      </c>
      <c r="AO52" s="47">
        <v>47283</v>
      </c>
      <c r="AP52" s="47">
        <v>28653</v>
      </c>
      <c r="AQ52" s="47">
        <f t="shared" si="8"/>
        <v>17406.637398869574</v>
      </c>
      <c r="AR52" s="425">
        <f t="shared" si="9"/>
        <v>113170.36260113043</v>
      </c>
      <c r="AS52" s="47"/>
      <c r="AT52" s="266"/>
      <c r="AU52" s="416">
        <v>2017</v>
      </c>
      <c r="AV52" s="441">
        <v>26477</v>
      </c>
      <c r="AW52" s="47">
        <v>721</v>
      </c>
      <c r="AX52" s="47">
        <v>33947</v>
      </c>
      <c r="AY52" s="425">
        <f t="shared" si="10"/>
        <v>61145</v>
      </c>
      <c r="BA52" s="266"/>
      <c r="BB52" s="416">
        <v>2017</v>
      </c>
      <c r="BC52" s="441">
        <v>26477</v>
      </c>
      <c r="BD52" s="47">
        <v>47283</v>
      </c>
      <c r="BE52" s="47">
        <f>BC52+BD52</f>
        <v>73760</v>
      </c>
      <c r="BG52" s="47">
        <v>33947</v>
      </c>
      <c r="BH52" s="47">
        <v>28653</v>
      </c>
      <c r="BI52" s="47">
        <f>BG52+BH52</f>
        <v>62600</v>
      </c>
      <c r="BK52" s="47">
        <v>21305.89</v>
      </c>
      <c r="BL52" s="47">
        <f t="shared" ref="BL52" si="23">BK52*(BC52/BE52)</f>
        <v>7647.9941639099789</v>
      </c>
      <c r="BM52" s="47">
        <f t="shared" si="11"/>
        <v>13657.895836090021</v>
      </c>
      <c r="BN52" s="47" t="b">
        <f>BK52=BL52+BM52</f>
        <v>1</v>
      </c>
      <c r="BP52" s="47">
        <v>8190.1100000000006</v>
      </c>
      <c r="BQ52" s="47">
        <f t="shared" si="12"/>
        <v>4441.368437220448</v>
      </c>
      <c r="BR52" s="47">
        <f t="shared" si="13"/>
        <v>3748.7415627795531</v>
      </c>
      <c r="BS52" s="47" t="b">
        <f>BP52=BQ52+BR52</f>
        <v>1</v>
      </c>
      <c r="BT52" s="47">
        <v>36895</v>
      </c>
      <c r="BU52" s="47">
        <f t="shared" si="14"/>
        <v>48984.36260113043</v>
      </c>
      <c r="BV52" s="47">
        <f t="shared" si="15"/>
        <v>17406.637398869574</v>
      </c>
      <c r="BW52" s="425">
        <f t="shared" si="19"/>
        <v>1165.72</v>
      </c>
    </row>
    <row r="53" spans="2:75" x14ac:dyDescent="0.25">
      <c r="B53" s="266"/>
      <c r="C53" s="416"/>
      <c r="D53" s="47"/>
      <c r="J53" s="47"/>
      <c r="K53" s="47"/>
      <c r="L53" s="47"/>
      <c r="N53" s="267"/>
      <c r="P53" s="266"/>
      <c r="Q53" s="416"/>
      <c r="R53" s="416"/>
      <c r="S53" s="416"/>
      <c r="T53" s="416"/>
      <c r="U53" s="416"/>
      <c r="W53" s="47"/>
      <c r="AH53" s="47"/>
      <c r="AI53" s="267"/>
      <c r="AK53" s="266"/>
      <c r="AL53" s="416"/>
      <c r="AR53" s="267"/>
      <c r="AT53" s="266"/>
      <c r="AU53" s="416"/>
      <c r="AY53" s="267"/>
      <c r="BA53" s="266"/>
      <c r="BB53" s="416"/>
      <c r="BW53" s="267"/>
    </row>
    <row r="54" spans="2:75" x14ac:dyDescent="0.25">
      <c r="B54" s="419" t="s">
        <v>701</v>
      </c>
      <c r="C54" s="420"/>
      <c r="D54" s="421">
        <f>AVERAGE(D43:D52)</f>
        <v>416134.77276599442</v>
      </c>
      <c r="E54" s="25"/>
      <c r="F54" s="25"/>
      <c r="G54" s="25"/>
      <c r="H54" s="421">
        <f>AVERAGE(H43:H52)</f>
        <v>31574.486864967366</v>
      </c>
      <c r="I54" s="25"/>
      <c r="J54" s="363"/>
      <c r="K54" s="363"/>
      <c r="L54" s="363"/>
      <c r="M54" s="421">
        <f>AVERAGE(M43:M52)</f>
        <v>384560.28590102709</v>
      </c>
      <c r="N54" s="422"/>
      <c r="P54" s="419" t="s">
        <v>701</v>
      </c>
      <c r="Q54" s="420"/>
      <c r="R54" s="420"/>
      <c r="S54" s="420"/>
      <c r="T54" s="439">
        <f>AVERAGE(T43:T52)</f>
        <v>1752.6484745986945</v>
      </c>
      <c r="U54" s="420"/>
      <c r="V54" s="25"/>
      <c r="W54" s="363"/>
      <c r="X54" s="25"/>
      <c r="Y54" s="25"/>
      <c r="Z54" s="25"/>
      <c r="AA54" s="25"/>
      <c r="AB54" s="25"/>
      <c r="AC54" s="25"/>
      <c r="AD54" s="25"/>
      <c r="AE54" s="421">
        <f>AVERAGE(AE43:AE52)</f>
        <v>132460</v>
      </c>
      <c r="AF54" s="25"/>
      <c r="AG54" s="25"/>
      <c r="AH54" s="25"/>
      <c r="AI54" s="422"/>
      <c r="AK54" s="419" t="s">
        <v>701</v>
      </c>
      <c r="AL54" s="420"/>
      <c r="AM54" s="421">
        <f>AVERAGE(AM43:AM52)</f>
        <v>31574.486864967366</v>
      </c>
      <c r="AN54" s="363"/>
      <c r="AO54" s="363"/>
      <c r="AP54" s="363"/>
      <c r="AQ54" s="363"/>
      <c r="AR54" s="440">
        <f>AVERAGE(AR43:AR52)</f>
        <v>238325.62166118406</v>
      </c>
      <c r="AT54" s="419" t="s">
        <v>701</v>
      </c>
      <c r="AU54" s="420"/>
      <c r="AV54" s="25"/>
      <c r="AW54" s="25"/>
      <c r="AX54" s="25"/>
      <c r="AY54" s="440">
        <f>AVERAGE(AY43:AY52)</f>
        <v>140466.98590102707</v>
      </c>
      <c r="BA54" s="419" t="s">
        <v>701</v>
      </c>
      <c r="BB54" s="420"/>
      <c r="BC54" s="25"/>
      <c r="BD54" s="25"/>
      <c r="BE54" s="25"/>
      <c r="BF54" s="25"/>
      <c r="BG54" s="25"/>
      <c r="BH54" s="25"/>
      <c r="BI54" s="25"/>
      <c r="BJ54" s="25"/>
      <c r="BK54" s="25"/>
      <c r="BL54" s="25"/>
      <c r="BM54" s="25"/>
      <c r="BN54" s="25"/>
      <c r="BO54" s="25"/>
      <c r="BP54" s="25"/>
      <c r="BQ54" s="25"/>
      <c r="BR54" s="25"/>
      <c r="BS54" s="25"/>
      <c r="BT54" s="25"/>
      <c r="BU54" s="421">
        <f>AVERAGE(BU43:BU52)</f>
        <v>87422.235760157011</v>
      </c>
      <c r="BV54" s="363"/>
      <c r="BW54" s="440">
        <f>AVERAGE(BW43:BW52)</f>
        <v>1752.6484745986945</v>
      </c>
    </row>
    <row r="55" spans="2:75" ht="15" customHeight="1" x14ac:dyDescent="0.25">
      <c r="B55" s="266"/>
      <c r="N55" s="267"/>
      <c r="P55" s="266"/>
      <c r="W55" s="47"/>
      <c r="AI55" s="267"/>
      <c r="AK55" s="266"/>
      <c r="AR55" s="267"/>
      <c r="AT55" s="266"/>
      <c r="AY55" s="267"/>
      <c r="BA55" s="266"/>
      <c r="BW55" s="267"/>
    </row>
    <row r="56" spans="2:75" ht="15" customHeight="1" x14ac:dyDescent="0.25">
      <c r="B56" s="266"/>
      <c r="C56" t="s">
        <v>868</v>
      </c>
      <c r="N56" s="267"/>
      <c r="P56" s="266"/>
      <c r="Q56" t="s">
        <v>830</v>
      </c>
      <c r="AI56" s="267"/>
      <c r="AK56" s="266"/>
      <c r="AL56" t="s">
        <v>860</v>
      </c>
      <c r="AR56" s="267"/>
      <c r="AT56" s="266"/>
      <c r="AU56" s="265" t="s">
        <v>872</v>
      </c>
      <c r="AV56" s="444"/>
      <c r="AW56" s="444"/>
      <c r="AX56" s="444"/>
      <c r="AY56" s="445"/>
      <c r="BA56" s="266"/>
      <c r="BB56" t="s">
        <v>874</v>
      </c>
      <c r="BW56" s="267"/>
    </row>
    <row r="57" spans="2:75" ht="15.75" thickBot="1" x14ac:dyDescent="0.3">
      <c r="B57" s="266"/>
      <c r="C57" t="s">
        <v>869</v>
      </c>
      <c r="N57" s="267"/>
      <c r="P57" s="266"/>
      <c r="Q57" t="s">
        <v>831</v>
      </c>
      <c r="AI57" s="267"/>
      <c r="AK57" s="266"/>
      <c r="AL57" t="s">
        <v>855</v>
      </c>
      <c r="AR57" s="267"/>
      <c r="AT57" s="269"/>
      <c r="AU57" s="270"/>
      <c r="AV57" s="270"/>
      <c r="AW57" s="270"/>
      <c r="AX57" s="270"/>
      <c r="AY57" s="272"/>
      <c r="BA57" s="266"/>
      <c r="BB57" t="s">
        <v>873</v>
      </c>
      <c r="BW57" s="267"/>
    </row>
    <row r="58" spans="2:75" ht="15.75" customHeight="1" thickBot="1" x14ac:dyDescent="0.3">
      <c r="B58" s="269"/>
      <c r="C58" s="270"/>
      <c r="D58" s="270"/>
      <c r="E58" s="270"/>
      <c r="F58" s="270"/>
      <c r="G58" s="270"/>
      <c r="H58" s="270"/>
      <c r="I58" s="270"/>
      <c r="J58" s="270"/>
      <c r="K58" s="270"/>
      <c r="L58" s="270"/>
      <c r="M58" s="270"/>
      <c r="N58" s="272"/>
      <c r="P58" s="266"/>
      <c r="Q58" t="s">
        <v>832</v>
      </c>
      <c r="AI58" s="267"/>
      <c r="AK58" s="266"/>
      <c r="AL58" t="s">
        <v>870</v>
      </c>
      <c r="AR58" s="267"/>
      <c r="BA58" s="266"/>
      <c r="BB58" s="265" t="s">
        <v>875</v>
      </c>
      <c r="BC58" s="265"/>
      <c r="BD58" s="265"/>
      <c r="BE58" s="265"/>
      <c r="BF58" s="265"/>
      <c r="BG58" s="265"/>
      <c r="BH58" s="265"/>
      <c r="BI58" s="265"/>
      <c r="BJ58" s="265"/>
      <c r="BK58" s="265"/>
      <c r="BL58" s="265"/>
      <c r="BM58" s="265"/>
      <c r="BN58" s="265"/>
      <c r="BO58" s="265"/>
      <c r="BP58" s="265"/>
      <c r="BQ58" s="265"/>
      <c r="BR58" s="265"/>
      <c r="BS58" s="265"/>
      <c r="BT58" s="265"/>
      <c r="BU58" s="265"/>
      <c r="BV58" s="265"/>
      <c r="BW58" s="446"/>
    </row>
    <row r="59" spans="2:75" ht="15" customHeight="1" x14ac:dyDescent="0.25">
      <c r="P59" s="266"/>
      <c r="Q59" t="s">
        <v>834</v>
      </c>
      <c r="AI59" s="267"/>
      <c r="AK59" s="266"/>
      <c r="AL59" s="656" t="s">
        <v>871</v>
      </c>
      <c r="AM59" s="656"/>
      <c r="AN59" s="656"/>
      <c r="AO59" s="656"/>
      <c r="AP59" s="656"/>
      <c r="AQ59" s="656"/>
      <c r="AR59" s="784"/>
      <c r="BA59" s="266"/>
      <c r="BB59" s="265" t="s">
        <v>876</v>
      </c>
      <c r="BC59" s="265"/>
      <c r="BD59" s="265"/>
      <c r="BE59" s="265"/>
      <c r="BF59" s="265"/>
      <c r="BG59" s="265"/>
      <c r="BH59" s="265"/>
      <c r="BI59" s="265"/>
      <c r="BJ59" s="265"/>
      <c r="BK59" s="265"/>
      <c r="BL59" s="265"/>
      <c r="BM59" s="265"/>
      <c r="BN59" s="265"/>
      <c r="BO59" s="265"/>
      <c r="BP59" s="265"/>
      <c r="BQ59" s="265"/>
      <c r="BR59" s="265"/>
      <c r="BS59" s="265"/>
      <c r="BT59" s="265"/>
      <c r="BU59" s="265"/>
      <c r="BV59" s="265"/>
      <c r="BW59" s="446"/>
    </row>
    <row r="60" spans="2:75" ht="15" customHeight="1" thickBot="1" x14ac:dyDescent="0.3">
      <c r="P60" s="269"/>
      <c r="Q60" s="270"/>
      <c r="R60" s="270"/>
      <c r="S60" s="270"/>
      <c r="T60" s="270"/>
      <c r="U60" s="270"/>
      <c r="V60" s="270"/>
      <c r="W60" s="270"/>
      <c r="X60" s="270"/>
      <c r="Y60" s="270"/>
      <c r="Z60" s="270"/>
      <c r="AA60" s="270"/>
      <c r="AB60" s="270"/>
      <c r="AC60" s="270"/>
      <c r="AD60" s="270"/>
      <c r="AE60" s="270"/>
      <c r="AF60" s="270"/>
      <c r="AG60" s="270"/>
      <c r="AH60" s="270"/>
      <c r="AI60" s="272"/>
      <c r="AK60" s="266"/>
      <c r="AL60" s="656"/>
      <c r="AM60" s="656"/>
      <c r="AN60" s="656"/>
      <c r="AO60" s="656"/>
      <c r="AP60" s="656"/>
      <c r="AQ60" s="656"/>
      <c r="AR60" s="784"/>
      <c r="AT60" s="58"/>
      <c r="AU60" s="58"/>
      <c r="AV60" s="58"/>
      <c r="AW60" s="58"/>
      <c r="AX60" s="58"/>
      <c r="AY60" s="58"/>
      <c r="BA60" s="266"/>
      <c r="BB60" s="265" t="s">
        <v>877</v>
      </c>
      <c r="BC60" s="265"/>
      <c r="BD60" s="265"/>
      <c r="BE60" s="265"/>
      <c r="BF60" s="265"/>
      <c r="BG60" s="265"/>
      <c r="BH60" s="265"/>
      <c r="BI60" s="265"/>
      <c r="BJ60" s="265"/>
      <c r="BK60" s="265"/>
      <c r="BL60" s="265"/>
      <c r="BM60" s="265"/>
      <c r="BN60" s="265"/>
      <c r="BO60" s="265"/>
      <c r="BP60" s="265"/>
      <c r="BQ60" s="265"/>
      <c r="BR60" s="265"/>
      <c r="BS60" s="265"/>
      <c r="BT60" s="265"/>
      <c r="BU60" s="265"/>
      <c r="BV60" s="265"/>
      <c r="BW60" s="446"/>
    </row>
    <row r="61" spans="2:75" x14ac:dyDescent="0.25">
      <c r="AK61" s="266"/>
      <c r="AR61" s="267"/>
      <c r="AT61" s="58"/>
      <c r="AU61" s="58"/>
      <c r="AV61" s="58"/>
      <c r="AW61" s="58"/>
      <c r="AX61" s="58"/>
      <c r="AY61" s="58"/>
      <c r="AZ61" s="443"/>
      <c r="BA61" s="266"/>
      <c r="BB61" s="265" t="s">
        <v>878</v>
      </c>
      <c r="BC61" s="265"/>
      <c r="BD61" s="265"/>
      <c r="BE61" s="265"/>
      <c r="BF61" s="265"/>
      <c r="BG61" s="265"/>
      <c r="BH61" s="265"/>
      <c r="BI61" s="265"/>
      <c r="BJ61" s="265"/>
      <c r="BK61" s="265"/>
      <c r="BL61" s="265"/>
      <c r="BM61" s="265"/>
      <c r="BN61" s="265"/>
      <c r="BO61" s="265"/>
      <c r="BP61" s="265"/>
      <c r="BQ61" s="265"/>
      <c r="BR61" s="265"/>
      <c r="BS61" s="265"/>
      <c r="BT61" s="265"/>
      <c r="BU61" s="265"/>
      <c r="BV61" s="265"/>
      <c r="BW61" s="446"/>
    </row>
    <row r="62" spans="2:75" ht="15" customHeight="1" thickBot="1" x14ac:dyDescent="0.3">
      <c r="AK62" s="269"/>
      <c r="AL62" s="270"/>
      <c r="AM62" s="270"/>
      <c r="AN62" s="270"/>
      <c r="AO62" s="270"/>
      <c r="AP62" s="270"/>
      <c r="AQ62" s="270"/>
      <c r="AR62" s="272"/>
      <c r="AT62" s="58"/>
      <c r="AU62" s="58"/>
      <c r="AV62" s="58"/>
      <c r="AW62" s="58"/>
      <c r="AX62" s="58"/>
      <c r="AY62" s="58"/>
      <c r="AZ62" s="443"/>
      <c r="BA62" s="266"/>
      <c r="BB62" s="265" t="s">
        <v>879</v>
      </c>
      <c r="BC62" s="265"/>
      <c r="BD62" s="265"/>
      <c r="BE62" s="265"/>
      <c r="BF62" s="265"/>
      <c r="BG62" s="265"/>
      <c r="BH62" s="265"/>
      <c r="BI62" s="265"/>
      <c r="BJ62" s="265"/>
      <c r="BK62" s="265"/>
      <c r="BL62" s="265"/>
      <c r="BM62" s="265"/>
      <c r="BN62" s="265"/>
      <c r="BO62" s="265"/>
      <c r="BP62" s="265"/>
      <c r="BQ62" s="265"/>
      <c r="BR62" s="265"/>
      <c r="BS62" s="265"/>
      <c r="BT62" s="265"/>
      <c r="BU62" s="265"/>
      <c r="BV62" s="265"/>
      <c r="BW62" s="446"/>
    </row>
    <row r="63" spans="2:75" x14ac:dyDescent="0.25">
      <c r="AZ63" s="443"/>
      <c r="BA63" s="266"/>
      <c r="BB63" s="265" t="s">
        <v>883</v>
      </c>
      <c r="BC63" s="265"/>
      <c r="BD63" s="265"/>
      <c r="BE63" s="265"/>
      <c r="BF63" s="265"/>
      <c r="BG63" s="265"/>
      <c r="BH63" s="265"/>
      <c r="BI63" s="265"/>
      <c r="BJ63" s="265"/>
      <c r="BK63" s="265"/>
      <c r="BL63" s="265"/>
      <c r="BM63" s="265"/>
      <c r="BN63" s="265"/>
      <c r="BO63" s="265"/>
      <c r="BP63" s="265"/>
      <c r="BQ63" s="265"/>
      <c r="BR63" s="265"/>
      <c r="BS63" s="265"/>
      <c r="BT63" s="265"/>
      <c r="BU63" s="265"/>
      <c r="BV63" s="265"/>
      <c r="BW63" s="446"/>
    </row>
    <row r="64" spans="2:75" ht="15" customHeight="1" x14ac:dyDescent="0.25">
      <c r="BA64" s="266"/>
      <c r="BB64" s="265" t="s">
        <v>884</v>
      </c>
      <c r="BC64" s="265"/>
      <c r="BD64" s="265"/>
      <c r="BE64" s="265"/>
      <c r="BF64" s="265"/>
      <c r="BG64" s="265"/>
      <c r="BH64" s="265"/>
      <c r="BI64" s="265"/>
      <c r="BJ64" s="265"/>
      <c r="BK64" s="265"/>
      <c r="BL64" s="265"/>
      <c r="BM64" s="265"/>
      <c r="BN64" s="265"/>
      <c r="BO64" s="265"/>
      <c r="BP64" s="265"/>
      <c r="BQ64" s="265"/>
      <c r="BR64" s="265"/>
      <c r="BS64" s="265"/>
      <c r="BT64" s="265"/>
      <c r="BU64" s="265"/>
      <c r="BV64" s="265"/>
      <c r="BW64" s="446"/>
    </row>
    <row r="65" spans="53:75" ht="15.75" thickBot="1" x14ac:dyDescent="0.3">
      <c r="BA65" s="269" t="s">
        <v>393</v>
      </c>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2"/>
    </row>
  </sheetData>
  <mergeCells count="29">
    <mergeCell ref="BC5:BE5"/>
    <mergeCell ref="BK5:BM5"/>
    <mergeCell ref="BP5:BR5"/>
    <mergeCell ref="AL59:AR60"/>
    <mergeCell ref="AM5:AM6"/>
    <mergeCell ref="AL5:AL6"/>
    <mergeCell ref="AN5:AN6"/>
    <mergeCell ref="AO5:AP5"/>
    <mergeCell ref="BU5:BV5"/>
    <mergeCell ref="V5:W5"/>
    <mergeCell ref="AV5:AY5"/>
    <mergeCell ref="AT3:AY4"/>
    <mergeCell ref="Y5:AA5"/>
    <mergeCell ref="AC5:AD5"/>
    <mergeCell ref="P4:AI4"/>
    <mergeCell ref="AE5:AE6"/>
    <mergeCell ref="AG5:AI5"/>
    <mergeCell ref="AQ5:AQ6"/>
    <mergeCell ref="AR5:AR6"/>
    <mergeCell ref="AK3:AR4"/>
    <mergeCell ref="BA4:BW4"/>
    <mergeCell ref="BW5:BW6"/>
    <mergeCell ref="BG5:BI5"/>
    <mergeCell ref="BT5:BT6"/>
    <mergeCell ref="D5:D6"/>
    <mergeCell ref="C5:C6"/>
    <mergeCell ref="F5:H5"/>
    <mergeCell ref="J5:M5"/>
    <mergeCell ref="R5:T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2:O204"/>
  <sheetViews>
    <sheetView zoomScaleNormal="100" workbookViewId="0"/>
  </sheetViews>
  <sheetFormatPr defaultRowHeight="15" x14ac:dyDescent="0.25"/>
  <cols>
    <col min="1" max="1" width="3.28515625" customWidth="1"/>
    <col min="2" max="2" width="26.140625" customWidth="1"/>
    <col min="3" max="3" width="29.85546875" customWidth="1"/>
    <col min="4" max="4" width="39.85546875" customWidth="1"/>
    <col min="5" max="5" width="28.5703125" customWidth="1"/>
    <col min="6" max="6" width="11.7109375" customWidth="1"/>
    <col min="7" max="8" width="33.85546875" customWidth="1"/>
    <col min="9" max="9" width="125" customWidth="1"/>
    <col min="10" max="10" width="28.140625" customWidth="1"/>
    <col min="11" max="11" width="58.42578125" customWidth="1"/>
    <col min="12" max="12" width="86.5703125" customWidth="1"/>
    <col min="13" max="13" width="116.5703125" customWidth="1"/>
    <col min="14" max="14" width="186.5703125" style="58" customWidth="1"/>
  </cols>
  <sheetData>
    <row r="2" spans="1:14" x14ac:dyDescent="0.25">
      <c r="A2" s="338"/>
      <c r="B2" s="338" t="s">
        <v>482</v>
      </c>
      <c r="C2" s="338" t="s">
        <v>546</v>
      </c>
      <c r="D2" s="338" t="s">
        <v>549</v>
      </c>
      <c r="E2" s="338" t="s">
        <v>550</v>
      </c>
      <c r="F2" s="339" t="s">
        <v>551</v>
      </c>
      <c r="G2" s="338" t="s">
        <v>552</v>
      </c>
      <c r="H2" s="338" t="s">
        <v>0</v>
      </c>
      <c r="I2" s="338" t="s">
        <v>555</v>
      </c>
      <c r="J2" s="338" t="s">
        <v>557</v>
      </c>
      <c r="K2" s="338" t="s">
        <v>560</v>
      </c>
      <c r="L2" s="338" t="s">
        <v>566</v>
      </c>
      <c r="M2" s="338" t="s">
        <v>567</v>
      </c>
      <c r="N2" s="340" t="s">
        <v>571</v>
      </c>
    </row>
    <row r="3" spans="1:14" ht="15" customHeight="1" x14ac:dyDescent="0.25">
      <c r="B3" t="s">
        <v>364</v>
      </c>
      <c r="C3" t="s">
        <v>196</v>
      </c>
      <c r="D3" s="342" t="s">
        <v>11</v>
      </c>
      <c r="E3" t="s">
        <v>262</v>
      </c>
      <c r="F3" s="47">
        <f>Summary!U5</f>
        <v>398.8249413419685</v>
      </c>
      <c r="G3" t="s">
        <v>897</v>
      </c>
      <c r="H3" t="s">
        <v>896</v>
      </c>
      <c r="I3" t="s">
        <v>759</v>
      </c>
      <c r="J3" t="s">
        <v>572</v>
      </c>
      <c r="K3" t="s">
        <v>561</v>
      </c>
      <c r="L3" t="s">
        <v>578</v>
      </c>
      <c r="M3" t="s">
        <v>579</v>
      </c>
      <c r="N3" s="58" t="s">
        <v>596</v>
      </c>
    </row>
    <row r="4" spans="1:14" ht="15" customHeight="1" x14ac:dyDescent="0.25">
      <c r="B4" t="s">
        <v>364</v>
      </c>
      <c r="C4" t="s">
        <v>196</v>
      </c>
      <c r="D4" s="342" t="s">
        <v>948</v>
      </c>
      <c r="E4" t="s">
        <v>262</v>
      </c>
      <c r="F4" s="47">
        <f>Summary!U6</f>
        <v>438.86694693791668</v>
      </c>
      <c r="G4" t="s">
        <v>897</v>
      </c>
      <c r="H4" t="s">
        <v>896</v>
      </c>
      <c r="I4" t="s">
        <v>759</v>
      </c>
      <c r="J4" t="s">
        <v>572</v>
      </c>
      <c r="K4" t="s">
        <v>561</v>
      </c>
      <c r="L4" t="s">
        <v>578</v>
      </c>
      <c r="M4" t="s">
        <v>579</v>
      </c>
      <c r="N4" s="58" t="s">
        <v>596</v>
      </c>
    </row>
    <row r="5" spans="1:14" ht="15" customHeight="1" x14ac:dyDescent="0.25">
      <c r="B5" t="s">
        <v>364</v>
      </c>
      <c r="C5" t="s">
        <v>196</v>
      </c>
      <c r="D5" s="342" t="s">
        <v>949</v>
      </c>
      <c r="E5" t="s">
        <v>262</v>
      </c>
      <c r="F5" s="47">
        <f>Summary!U7</f>
        <v>604.71908928841435</v>
      </c>
      <c r="G5" t="s">
        <v>897</v>
      </c>
      <c r="H5" t="s">
        <v>896</v>
      </c>
      <c r="I5" t="s">
        <v>759</v>
      </c>
      <c r="J5" t="s">
        <v>572</v>
      </c>
      <c r="K5" t="s">
        <v>561</v>
      </c>
      <c r="L5" t="s">
        <v>578</v>
      </c>
      <c r="M5" t="s">
        <v>579</v>
      </c>
      <c r="N5" s="58" t="s">
        <v>596</v>
      </c>
    </row>
    <row r="6" spans="1:14" x14ac:dyDescent="0.25">
      <c r="B6" t="s">
        <v>364</v>
      </c>
      <c r="C6" t="s">
        <v>196</v>
      </c>
      <c r="D6" s="342" t="s">
        <v>61</v>
      </c>
      <c r="E6" t="s">
        <v>262</v>
      </c>
      <c r="F6" s="47">
        <f>Summary!U8</f>
        <v>79</v>
      </c>
      <c r="G6" t="s">
        <v>897</v>
      </c>
      <c r="H6" t="s">
        <v>896</v>
      </c>
      <c r="I6" t="s">
        <v>761</v>
      </c>
      <c r="J6" t="s">
        <v>587</v>
      </c>
      <c r="K6" t="s">
        <v>561</v>
      </c>
      <c r="L6" t="s">
        <v>575</v>
      </c>
      <c r="M6" s="341" t="s">
        <v>568</v>
      </c>
      <c r="N6" s="58" t="s">
        <v>597</v>
      </c>
    </row>
    <row r="7" spans="1:14" x14ac:dyDescent="0.25">
      <c r="B7" t="s">
        <v>364</v>
      </c>
      <c r="C7" t="s">
        <v>196</v>
      </c>
      <c r="D7" s="342" t="s">
        <v>265</v>
      </c>
      <c r="E7" t="s">
        <v>262</v>
      </c>
      <c r="F7" s="47">
        <f>Summary!U9</f>
        <v>349</v>
      </c>
      <c r="G7" t="s">
        <v>897</v>
      </c>
      <c r="H7" t="s">
        <v>896</v>
      </c>
      <c r="I7" t="s">
        <v>761</v>
      </c>
      <c r="J7" t="s">
        <v>587</v>
      </c>
      <c r="K7" t="s">
        <v>561</v>
      </c>
      <c r="L7" t="s">
        <v>575</v>
      </c>
      <c r="M7" s="447" t="s">
        <v>568</v>
      </c>
      <c r="N7" s="58" t="s">
        <v>597</v>
      </c>
    </row>
    <row r="8" spans="1:14" x14ac:dyDescent="0.25">
      <c r="B8" t="s">
        <v>364</v>
      </c>
      <c r="C8" t="s">
        <v>196</v>
      </c>
      <c r="D8" s="342" t="s">
        <v>62</v>
      </c>
      <c r="E8" t="s">
        <v>262</v>
      </c>
      <c r="F8" s="47">
        <f>Summary!U10</f>
        <v>867</v>
      </c>
      <c r="G8" t="s">
        <v>897</v>
      </c>
      <c r="H8" t="s">
        <v>896</v>
      </c>
      <c r="I8" t="s">
        <v>761</v>
      </c>
      <c r="J8" t="s">
        <v>588</v>
      </c>
      <c r="K8" t="s">
        <v>561</v>
      </c>
      <c r="L8" t="s">
        <v>575</v>
      </c>
      <c r="M8" s="341" t="s">
        <v>568</v>
      </c>
    </row>
    <row r="9" spans="1:14" x14ac:dyDescent="0.25">
      <c r="B9" t="s">
        <v>364</v>
      </c>
      <c r="C9" t="s">
        <v>196</v>
      </c>
      <c r="D9" s="342" t="s">
        <v>245</v>
      </c>
      <c r="E9" t="s">
        <v>262</v>
      </c>
      <c r="F9" s="47">
        <f>Summary!U11</f>
        <v>629</v>
      </c>
      <c r="G9" t="s">
        <v>897</v>
      </c>
      <c r="H9" t="s">
        <v>896</v>
      </c>
      <c r="I9" t="s">
        <v>761</v>
      </c>
      <c r="J9" t="s">
        <v>588</v>
      </c>
      <c r="K9" t="s">
        <v>561</v>
      </c>
      <c r="L9" t="s">
        <v>575</v>
      </c>
      <c r="M9" s="341" t="s">
        <v>568</v>
      </c>
    </row>
    <row r="10" spans="1:14" ht="15" customHeight="1" x14ac:dyDescent="0.25">
      <c r="B10" t="s">
        <v>364</v>
      </c>
      <c r="C10" t="s">
        <v>196</v>
      </c>
      <c r="D10" s="342" t="s">
        <v>573</v>
      </c>
      <c r="E10" t="s">
        <v>262</v>
      </c>
      <c r="F10" s="47">
        <f>Summary!U12</f>
        <v>4423</v>
      </c>
      <c r="G10" t="s">
        <v>897</v>
      </c>
      <c r="H10" t="s">
        <v>896</v>
      </c>
      <c r="I10" t="s">
        <v>759</v>
      </c>
      <c r="J10" t="s">
        <v>572</v>
      </c>
      <c r="K10" t="s">
        <v>561</v>
      </c>
      <c r="L10" t="s">
        <v>578</v>
      </c>
      <c r="M10" t="s">
        <v>579</v>
      </c>
      <c r="N10" s="58" t="s">
        <v>596</v>
      </c>
    </row>
    <row r="11" spans="1:14" ht="15" customHeight="1" x14ac:dyDescent="0.25">
      <c r="B11" t="s">
        <v>364</v>
      </c>
      <c r="C11" t="s">
        <v>196</v>
      </c>
      <c r="D11" s="342" t="s">
        <v>64</v>
      </c>
      <c r="E11" t="s">
        <v>262</v>
      </c>
      <c r="F11" s="47">
        <f>Summary!U13</f>
        <v>2046.2076282416047</v>
      </c>
      <c r="G11" t="s">
        <v>897</v>
      </c>
      <c r="H11" t="s">
        <v>896</v>
      </c>
      <c r="I11" t="s">
        <v>759</v>
      </c>
      <c r="J11" t="s">
        <v>572</v>
      </c>
      <c r="K11" t="s">
        <v>561</v>
      </c>
      <c r="L11" t="s">
        <v>578</v>
      </c>
      <c r="M11" t="s">
        <v>579</v>
      </c>
      <c r="N11" s="58" t="s">
        <v>596</v>
      </c>
    </row>
    <row r="12" spans="1:14" ht="15" customHeight="1" x14ac:dyDescent="0.25">
      <c r="B12" t="s">
        <v>364</v>
      </c>
      <c r="C12" t="s">
        <v>196</v>
      </c>
      <c r="D12" s="342" t="s">
        <v>950</v>
      </c>
      <c r="E12" t="s">
        <v>262</v>
      </c>
      <c r="F12" s="47">
        <f>Summary!U14</f>
        <v>1791.9663108764062</v>
      </c>
      <c r="G12" t="s">
        <v>897</v>
      </c>
      <c r="H12" t="s">
        <v>896</v>
      </c>
      <c r="I12" t="s">
        <v>759</v>
      </c>
      <c r="J12" t="s">
        <v>572</v>
      </c>
      <c r="K12" t="s">
        <v>561</v>
      </c>
      <c r="L12" t="s">
        <v>578</v>
      </c>
      <c r="M12" t="s">
        <v>579</v>
      </c>
      <c r="N12" s="58" t="s">
        <v>596</v>
      </c>
    </row>
    <row r="13" spans="1:14" ht="30" customHeight="1" x14ac:dyDescent="0.25">
      <c r="B13" t="s">
        <v>364</v>
      </c>
      <c r="C13" t="s">
        <v>196</v>
      </c>
      <c r="D13" s="342" t="s">
        <v>645</v>
      </c>
      <c r="E13" t="s">
        <v>262</v>
      </c>
      <c r="F13" s="47">
        <f>Summary!U15</f>
        <v>1482.6641377148919</v>
      </c>
      <c r="G13" t="s">
        <v>897</v>
      </c>
      <c r="H13" t="s">
        <v>896</v>
      </c>
      <c r="I13" t="s">
        <v>760</v>
      </c>
      <c r="J13" t="s">
        <v>572</v>
      </c>
      <c r="K13" t="s">
        <v>561</v>
      </c>
      <c r="L13" t="s">
        <v>578</v>
      </c>
      <c r="M13" t="s">
        <v>579</v>
      </c>
      <c r="N13" s="58" t="s">
        <v>919</v>
      </c>
    </row>
    <row r="14" spans="1:14" ht="15" customHeight="1" x14ac:dyDescent="0.25">
      <c r="B14" t="s">
        <v>364</v>
      </c>
      <c r="C14" t="s">
        <v>196</v>
      </c>
      <c r="D14" s="342" t="s">
        <v>951</v>
      </c>
      <c r="E14" t="s">
        <v>262</v>
      </c>
      <c r="F14" s="32">
        <f>Summary!U16</f>
        <v>867.44498995817685</v>
      </c>
      <c r="G14" t="s">
        <v>897</v>
      </c>
      <c r="H14" t="s">
        <v>896</v>
      </c>
      <c r="I14" t="s">
        <v>556</v>
      </c>
      <c r="J14" s="148" t="s">
        <v>572</v>
      </c>
      <c r="K14" t="s">
        <v>561</v>
      </c>
      <c r="L14" t="s">
        <v>578</v>
      </c>
      <c r="M14" t="s">
        <v>579</v>
      </c>
      <c r="N14" s="346" t="s">
        <v>981</v>
      </c>
    </row>
    <row r="15" spans="1:14" x14ac:dyDescent="0.25">
      <c r="B15" t="s">
        <v>364</v>
      </c>
      <c r="C15" t="s">
        <v>196</v>
      </c>
      <c r="D15" s="342" t="s">
        <v>68</v>
      </c>
      <c r="E15" t="s">
        <v>262</v>
      </c>
      <c r="F15" s="32">
        <f>Summary!U16</f>
        <v>867.44498995817685</v>
      </c>
      <c r="G15" t="s">
        <v>897</v>
      </c>
      <c r="H15" t="s">
        <v>896</v>
      </c>
      <c r="I15" t="s">
        <v>556</v>
      </c>
      <c r="J15" s="148" t="s">
        <v>572</v>
      </c>
      <c r="K15" t="s">
        <v>561</v>
      </c>
      <c r="L15" t="s">
        <v>578</v>
      </c>
      <c r="M15" t="s">
        <v>579</v>
      </c>
      <c r="N15" s="58" t="s">
        <v>889</v>
      </c>
    </row>
    <row r="16" spans="1:14" x14ac:dyDescent="0.25">
      <c r="B16" t="s">
        <v>364</v>
      </c>
      <c r="C16" t="s">
        <v>196</v>
      </c>
      <c r="D16" s="342" t="s">
        <v>69</v>
      </c>
      <c r="E16" t="s">
        <v>262</v>
      </c>
      <c r="F16" s="32">
        <f>Summary!U18</f>
        <v>2227.9358733099953</v>
      </c>
      <c r="G16" t="s">
        <v>897</v>
      </c>
      <c r="H16" t="s">
        <v>896</v>
      </c>
      <c r="I16" t="s">
        <v>556</v>
      </c>
      <c r="J16" s="148" t="s">
        <v>572</v>
      </c>
      <c r="K16" t="s">
        <v>561</v>
      </c>
      <c r="L16" t="s">
        <v>578</v>
      </c>
      <c r="M16" t="s">
        <v>579</v>
      </c>
      <c r="N16" s="346" t="s">
        <v>574</v>
      </c>
    </row>
    <row r="17" spans="2:14" ht="15" customHeight="1" x14ac:dyDescent="0.25">
      <c r="B17" t="s">
        <v>364</v>
      </c>
      <c r="C17" t="s">
        <v>196</v>
      </c>
      <c r="D17" s="342" t="s">
        <v>16</v>
      </c>
      <c r="E17" t="s">
        <v>262</v>
      </c>
      <c r="F17" s="47">
        <f>Summary!U19</f>
        <v>18.495031581795629</v>
      </c>
      <c r="G17" t="s">
        <v>897</v>
      </c>
      <c r="H17" t="s">
        <v>896</v>
      </c>
      <c r="I17" t="s">
        <v>759</v>
      </c>
      <c r="J17" s="148" t="s">
        <v>572</v>
      </c>
      <c r="K17" t="s">
        <v>561</v>
      </c>
      <c r="L17" t="s">
        <v>578</v>
      </c>
      <c r="M17" t="s">
        <v>579</v>
      </c>
      <c r="N17" s="58" t="s">
        <v>596</v>
      </c>
    </row>
    <row r="18" spans="2:14" ht="30" customHeight="1" x14ac:dyDescent="0.25">
      <c r="B18" t="s">
        <v>364</v>
      </c>
      <c r="C18" t="s">
        <v>196</v>
      </c>
      <c r="D18" s="342" t="s">
        <v>952</v>
      </c>
      <c r="E18" t="s">
        <v>262</v>
      </c>
      <c r="F18" s="47">
        <f>Summary!U20</f>
        <v>916.56382017308829</v>
      </c>
      <c r="G18" t="s">
        <v>897</v>
      </c>
      <c r="H18" t="s">
        <v>896</v>
      </c>
      <c r="I18" t="s">
        <v>760</v>
      </c>
      <c r="J18" s="148" t="s">
        <v>572</v>
      </c>
      <c r="K18" t="s">
        <v>561</v>
      </c>
      <c r="L18" t="s">
        <v>578</v>
      </c>
      <c r="M18" t="s">
        <v>579</v>
      </c>
      <c r="N18" s="58" t="s">
        <v>659</v>
      </c>
    </row>
    <row r="19" spans="2:14" ht="15" customHeight="1" x14ac:dyDescent="0.25">
      <c r="B19" t="s">
        <v>364</v>
      </c>
      <c r="C19" t="s">
        <v>196</v>
      </c>
      <c r="D19" s="342" t="s">
        <v>953</v>
      </c>
      <c r="E19" t="s">
        <v>262</v>
      </c>
      <c r="F19" s="47">
        <f>Summary!U21</f>
        <v>911.69763914955763</v>
      </c>
      <c r="G19" t="s">
        <v>897</v>
      </c>
      <c r="H19" t="s">
        <v>896</v>
      </c>
      <c r="I19" t="s">
        <v>759</v>
      </c>
      <c r="J19" s="148" t="s">
        <v>572</v>
      </c>
      <c r="K19" t="s">
        <v>561</v>
      </c>
      <c r="L19" t="s">
        <v>578</v>
      </c>
      <c r="M19" t="s">
        <v>579</v>
      </c>
      <c r="N19" s="58" t="s">
        <v>596</v>
      </c>
    </row>
    <row r="20" spans="2:14" ht="15" customHeight="1" x14ac:dyDescent="0.25">
      <c r="B20" t="s">
        <v>364</v>
      </c>
      <c r="C20" t="s">
        <v>196</v>
      </c>
      <c r="D20" s="342" t="s">
        <v>17</v>
      </c>
      <c r="E20" t="s">
        <v>262</v>
      </c>
      <c r="F20" s="47">
        <f>Summary!U22</f>
        <v>1244.4003768613484</v>
      </c>
      <c r="G20" t="s">
        <v>897</v>
      </c>
      <c r="H20" t="s">
        <v>896</v>
      </c>
      <c r="I20" t="s">
        <v>759</v>
      </c>
      <c r="J20" s="148" t="s">
        <v>572</v>
      </c>
      <c r="K20" t="s">
        <v>561</v>
      </c>
      <c r="L20" t="s">
        <v>578</v>
      </c>
      <c r="M20" t="s">
        <v>579</v>
      </c>
      <c r="N20" s="58" t="s">
        <v>596</v>
      </c>
    </row>
    <row r="21" spans="2:14" ht="15" customHeight="1" x14ac:dyDescent="0.25">
      <c r="B21" t="s">
        <v>364</v>
      </c>
      <c r="C21" t="s">
        <v>196</v>
      </c>
      <c r="D21" s="342" t="s">
        <v>53</v>
      </c>
      <c r="E21" t="s">
        <v>262</v>
      </c>
      <c r="F21" s="47">
        <f>Summary!U23</f>
        <v>330.64886472458727</v>
      </c>
      <c r="G21" t="s">
        <v>897</v>
      </c>
      <c r="H21" t="s">
        <v>896</v>
      </c>
      <c r="I21" t="s">
        <v>759</v>
      </c>
      <c r="J21" s="148" t="s">
        <v>572</v>
      </c>
      <c r="K21" t="s">
        <v>561</v>
      </c>
      <c r="L21" t="s">
        <v>578</v>
      </c>
      <c r="M21" t="s">
        <v>579</v>
      </c>
      <c r="N21" s="58" t="s">
        <v>596</v>
      </c>
    </row>
    <row r="22" spans="2:14" ht="15" customHeight="1" x14ac:dyDescent="0.25">
      <c r="B22" t="s">
        <v>364</v>
      </c>
      <c r="C22" t="s">
        <v>196</v>
      </c>
      <c r="D22" s="342" t="s">
        <v>72</v>
      </c>
      <c r="E22" t="s">
        <v>262</v>
      </c>
      <c r="F22" s="47">
        <f>Summary!U24</f>
        <v>1393</v>
      </c>
      <c r="G22" t="s">
        <v>897</v>
      </c>
      <c r="H22" t="s">
        <v>896</v>
      </c>
      <c r="I22" t="s">
        <v>761</v>
      </c>
      <c r="J22" t="s">
        <v>588</v>
      </c>
      <c r="K22" t="s">
        <v>561</v>
      </c>
      <c r="L22" t="s">
        <v>575</v>
      </c>
      <c r="M22" s="341" t="s">
        <v>568</v>
      </c>
    </row>
    <row r="23" spans="2:14" ht="15" customHeight="1" x14ac:dyDescent="0.25">
      <c r="B23" t="s">
        <v>364</v>
      </c>
      <c r="C23" t="s">
        <v>196</v>
      </c>
      <c r="D23" s="342" t="s">
        <v>73</v>
      </c>
      <c r="E23" t="s">
        <v>262</v>
      </c>
      <c r="F23" s="47">
        <f>Summary!U25</f>
        <v>3023</v>
      </c>
      <c r="G23" t="s">
        <v>897</v>
      </c>
      <c r="H23" t="s">
        <v>896</v>
      </c>
      <c r="I23" t="s">
        <v>761</v>
      </c>
      <c r="J23" s="148" t="s">
        <v>588</v>
      </c>
      <c r="K23" t="s">
        <v>561</v>
      </c>
      <c r="L23" t="s">
        <v>575</v>
      </c>
      <c r="M23" s="341" t="s">
        <v>568</v>
      </c>
      <c r="N23" s="362" t="s">
        <v>652</v>
      </c>
    </row>
    <row r="24" spans="2:14" ht="30" customHeight="1" x14ac:dyDescent="0.25">
      <c r="B24" t="s">
        <v>364</v>
      </c>
      <c r="C24" t="s">
        <v>196</v>
      </c>
      <c r="D24" s="342" t="s">
        <v>544</v>
      </c>
      <c r="E24" t="s">
        <v>262</v>
      </c>
      <c r="F24" s="47">
        <f>Summary!U26</f>
        <v>259</v>
      </c>
      <c r="G24" s="58" t="s">
        <v>897</v>
      </c>
      <c r="H24" t="s">
        <v>896</v>
      </c>
      <c r="I24" s="58" t="s">
        <v>968</v>
      </c>
      <c r="J24" t="s">
        <v>986</v>
      </c>
      <c r="K24" t="s">
        <v>561</v>
      </c>
      <c r="L24" s="58" t="s">
        <v>966</v>
      </c>
      <c r="M24" t="s">
        <v>965</v>
      </c>
      <c r="N24" s="58" t="s">
        <v>967</v>
      </c>
    </row>
    <row r="25" spans="2:14" ht="15" customHeight="1" x14ac:dyDescent="0.25">
      <c r="B25" t="s">
        <v>364</v>
      </c>
      <c r="C25" t="s">
        <v>196</v>
      </c>
      <c r="D25" s="342" t="s">
        <v>954</v>
      </c>
      <c r="E25" t="s">
        <v>262</v>
      </c>
      <c r="F25" s="343">
        <f>Spnrs!BL43</f>
        <v>209.45165392422138</v>
      </c>
      <c r="G25" t="s">
        <v>897</v>
      </c>
      <c r="H25" t="s">
        <v>896</v>
      </c>
      <c r="I25" t="s">
        <v>761</v>
      </c>
      <c r="J25" t="s">
        <v>558</v>
      </c>
      <c r="K25" t="s">
        <v>561</v>
      </c>
      <c r="L25" t="s">
        <v>575</v>
      </c>
      <c r="M25" s="341" t="s">
        <v>568</v>
      </c>
      <c r="N25" s="58" t="s">
        <v>969</v>
      </c>
    </row>
    <row r="26" spans="2:14" ht="30" customHeight="1" x14ac:dyDescent="0.25">
      <c r="B26" t="s">
        <v>364</v>
      </c>
      <c r="C26" t="s">
        <v>196</v>
      </c>
      <c r="D26" s="342" t="s">
        <v>955</v>
      </c>
      <c r="E26" t="s">
        <v>262</v>
      </c>
      <c r="F26" s="47">
        <f>Spnrs!BM43</f>
        <v>50</v>
      </c>
      <c r="G26" t="s">
        <v>897</v>
      </c>
      <c r="H26" t="s">
        <v>896</v>
      </c>
      <c r="I26" t="s">
        <v>898</v>
      </c>
      <c r="J26" s="148" t="s">
        <v>559</v>
      </c>
      <c r="K26" t="s">
        <v>561</v>
      </c>
      <c r="L26" t="s">
        <v>894</v>
      </c>
      <c r="M26" s="341" t="s">
        <v>982</v>
      </c>
      <c r="N26" s="58" t="s">
        <v>979</v>
      </c>
    </row>
    <row r="27" spans="2:14" ht="30" customHeight="1" x14ac:dyDescent="0.25">
      <c r="B27" t="s">
        <v>364</v>
      </c>
      <c r="C27" t="s">
        <v>196</v>
      </c>
      <c r="D27" s="342" t="s">
        <v>956</v>
      </c>
      <c r="E27" t="s">
        <v>262</v>
      </c>
      <c r="F27" s="47">
        <f>Summary!U27</f>
        <v>140</v>
      </c>
      <c r="G27" s="58" t="s">
        <v>897</v>
      </c>
      <c r="H27" t="s">
        <v>896</v>
      </c>
      <c r="I27" s="58" t="s">
        <v>974</v>
      </c>
      <c r="J27" t="s">
        <v>893</v>
      </c>
      <c r="K27" t="s">
        <v>561</v>
      </c>
      <c r="L27" s="58" t="s">
        <v>971</v>
      </c>
      <c r="M27" t="s">
        <v>961</v>
      </c>
      <c r="N27" s="58" t="s">
        <v>983</v>
      </c>
    </row>
    <row r="28" spans="2:14" ht="15" customHeight="1" x14ac:dyDescent="0.25">
      <c r="B28" t="s">
        <v>364</v>
      </c>
      <c r="C28" t="s">
        <v>196</v>
      </c>
      <c r="D28" s="342" t="s">
        <v>957</v>
      </c>
      <c r="E28" t="s">
        <v>262</v>
      </c>
      <c r="F28" s="47">
        <f>Spnrs!BL44</f>
        <v>90.240977709274119</v>
      </c>
      <c r="G28" t="s">
        <v>897</v>
      </c>
      <c r="H28" t="s">
        <v>896</v>
      </c>
      <c r="I28" t="s">
        <v>761</v>
      </c>
      <c r="J28" t="s">
        <v>558</v>
      </c>
      <c r="K28" t="s">
        <v>561</v>
      </c>
      <c r="L28" t="s">
        <v>575</v>
      </c>
      <c r="M28" s="341" t="s">
        <v>568</v>
      </c>
      <c r="N28" s="58" t="s">
        <v>984</v>
      </c>
    </row>
    <row r="29" spans="2:14" ht="30" customHeight="1" x14ac:dyDescent="0.25">
      <c r="B29" t="s">
        <v>364</v>
      </c>
      <c r="C29" t="s">
        <v>196</v>
      </c>
      <c r="D29" s="342" t="s">
        <v>958</v>
      </c>
      <c r="E29" t="s">
        <v>262</v>
      </c>
      <c r="F29" s="47">
        <f>Spnrs!BM44</f>
        <v>50</v>
      </c>
      <c r="G29" t="s">
        <v>897</v>
      </c>
      <c r="H29" t="s">
        <v>896</v>
      </c>
      <c r="I29" t="s">
        <v>898</v>
      </c>
      <c r="J29" s="148" t="s">
        <v>559</v>
      </c>
      <c r="K29" t="s">
        <v>561</v>
      </c>
      <c r="L29" t="s">
        <v>894</v>
      </c>
      <c r="M29" s="341" t="s">
        <v>982</v>
      </c>
      <c r="N29" s="58" t="s">
        <v>980</v>
      </c>
    </row>
    <row r="30" spans="2:14" ht="15" customHeight="1" x14ac:dyDescent="0.25">
      <c r="B30" t="s">
        <v>364</v>
      </c>
      <c r="C30" t="s">
        <v>196</v>
      </c>
      <c r="D30" s="342" t="s">
        <v>959</v>
      </c>
      <c r="E30" t="s">
        <v>262</v>
      </c>
      <c r="F30" s="47">
        <f>Summary!U30</f>
        <v>7081.5269406586249</v>
      </c>
      <c r="G30" t="s">
        <v>897</v>
      </c>
      <c r="H30" t="s">
        <v>896</v>
      </c>
      <c r="I30" t="s">
        <v>576</v>
      </c>
      <c r="J30" s="148" t="s">
        <v>588</v>
      </c>
      <c r="K30" t="s">
        <v>561</v>
      </c>
      <c r="L30" t="s">
        <v>577</v>
      </c>
      <c r="M30" s="341" t="s">
        <v>570</v>
      </c>
    </row>
    <row r="31" spans="2:14" ht="15" customHeight="1" x14ac:dyDescent="0.25">
      <c r="B31" t="s">
        <v>364</v>
      </c>
      <c r="C31" t="s">
        <v>196</v>
      </c>
      <c r="D31" s="342" t="s">
        <v>11</v>
      </c>
      <c r="E31" t="s">
        <v>4</v>
      </c>
      <c r="F31" s="47">
        <f>Summary!V5</f>
        <v>3800</v>
      </c>
      <c r="G31" t="s">
        <v>897</v>
      </c>
      <c r="H31" t="s">
        <v>896</v>
      </c>
      <c r="I31" t="s">
        <v>590</v>
      </c>
      <c r="J31" s="148" t="s">
        <v>559</v>
      </c>
      <c r="K31" t="s">
        <v>561</v>
      </c>
      <c r="L31" t="s">
        <v>937</v>
      </c>
      <c r="M31" s="341" t="s">
        <v>982</v>
      </c>
    </row>
    <row r="32" spans="2:14" ht="15" customHeight="1" x14ac:dyDescent="0.25">
      <c r="B32" t="s">
        <v>364</v>
      </c>
      <c r="C32" t="s">
        <v>196</v>
      </c>
      <c r="D32" s="342" t="s">
        <v>948</v>
      </c>
      <c r="E32" t="s">
        <v>4</v>
      </c>
      <c r="F32" s="47">
        <f>Summary!V6</f>
        <v>6500</v>
      </c>
      <c r="G32" t="s">
        <v>897</v>
      </c>
      <c r="H32" t="s">
        <v>896</v>
      </c>
      <c r="I32" t="s">
        <v>590</v>
      </c>
      <c r="J32" s="148" t="s">
        <v>559</v>
      </c>
      <c r="K32" t="s">
        <v>561</v>
      </c>
      <c r="L32" t="s">
        <v>937</v>
      </c>
      <c r="M32" s="341" t="s">
        <v>982</v>
      </c>
      <c r="N32" s="341"/>
    </row>
    <row r="33" spans="2:15" ht="15" customHeight="1" x14ac:dyDescent="0.25">
      <c r="B33" t="s">
        <v>364</v>
      </c>
      <c r="C33" t="s">
        <v>196</v>
      </c>
      <c r="D33" s="342" t="s">
        <v>949</v>
      </c>
      <c r="E33" t="s">
        <v>4</v>
      </c>
      <c r="F33" s="47">
        <f>Summary!V7</f>
        <v>2800</v>
      </c>
      <c r="G33" t="s">
        <v>897</v>
      </c>
      <c r="H33" t="s">
        <v>896</v>
      </c>
      <c r="I33" t="s">
        <v>590</v>
      </c>
      <c r="J33" s="148" t="s">
        <v>559</v>
      </c>
      <c r="K33" t="s">
        <v>561</v>
      </c>
      <c r="L33" t="s">
        <v>937</v>
      </c>
      <c r="M33" s="341" t="s">
        <v>982</v>
      </c>
      <c r="N33" s="341"/>
    </row>
    <row r="34" spans="2:15" ht="15" customHeight="1" x14ac:dyDescent="0.25">
      <c r="B34" t="s">
        <v>364</v>
      </c>
      <c r="C34" t="s">
        <v>196</v>
      </c>
      <c r="D34" s="342" t="s">
        <v>61</v>
      </c>
      <c r="E34" t="s">
        <v>4</v>
      </c>
      <c r="F34" s="47">
        <f>Summary!V8</f>
        <v>18600</v>
      </c>
      <c r="G34" t="s">
        <v>897</v>
      </c>
      <c r="H34" t="s">
        <v>896</v>
      </c>
      <c r="I34" t="s">
        <v>589</v>
      </c>
      <c r="J34" s="148" t="s">
        <v>559</v>
      </c>
      <c r="K34" t="s">
        <v>561</v>
      </c>
      <c r="L34" t="s">
        <v>939</v>
      </c>
      <c r="M34" s="341" t="s">
        <v>569</v>
      </c>
      <c r="N34" s="341"/>
    </row>
    <row r="35" spans="2:15" ht="15" customHeight="1" x14ac:dyDescent="0.25">
      <c r="B35" t="s">
        <v>364</v>
      </c>
      <c r="C35" t="s">
        <v>196</v>
      </c>
      <c r="D35" s="342" t="s">
        <v>265</v>
      </c>
      <c r="E35" t="s">
        <v>4</v>
      </c>
      <c r="F35" s="47">
        <f>Summary!V9</f>
        <v>10800</v>
      </c>
      <c r="G35" t="s">
        <v>897</v>
      </c>
      <c r="H35" t="s">
        <v>896</v>
      </c>
      <c r="I35" t="s">
        <v>589</v>
      </c>
      <c r="J35" s="148" t="s">
        <v>559</v>
      </c>
      <c r="K35" t="s">
        <v>561</v>
      </c>
      <c r="L35" t="s">
        <v>939</v>
      </c>
      <c r="M35" s="341" t="s">
        <v>569</v>
      </c>
      <c r="N35" s="341"/>
    </row>
    <row r="36" spans="2:15" x14ac:dyDescent="0.25">
      <c r="B36" t="s">
        <v>364</v>
      </c>
      <c r="C36" t="s">
        <v>196</v>
      </c>
      <c r="D36" s="342" t="s">
        <v>62</v>
      </c>
      <c r="E36" t="s">
        <v>4</v>
      </c>
      <c r="F36" s="47">
        <f>Summary!V10</f>
        <v>16800</v>
      </c>
      <c r="G36" t="s">
        <v>897</v>
      </c>
      <c r="H36" t="s">
        <v>896</v>
      </c>
      <c r="I36" t="s">
        <v>589</v>
      </c>
      <c r="J36" s="148" t="s">
        <v>559</v>
      </c>
      <c r="K36" t="s">
        <v>561</v>
      </c>
      <c r="L36" t="s">
        <v>939</v>
      </c>
      <c r="M36" s="341" t="s">
        <v>569</v>
      </c>
    </row>
    <row r="37" spans="2:15" x14ac:dyDescent="0.25">
      <c r="B37" t="s">
        <v>364</v>
      </c>
      <c r="C37" t="s">
        <v>196</v>
      </c>
      <c r="D37" s="342" t="s">
        <v>245</v>
      </c>
      <c r="E37" t="s">
        <v>4</v>
      </c>
      <c r="F37" s="47">
        <f>Summary!V11</f>
        <v>22200</v>
      </c>
      <c r="G37" t="s">
        <v>897</v>
      </c>
      <c r="H37" t="s">
        <v>896</v>
      </c>
      <c r="I37" t="s">
        <v>589</v>
      </c>
      <c r="J37" s="148" t="s">
        <v>559</v>
      </c>
      <c r="K37" t="s">
        <v>561</v>
      </c>
      <c r="L37" t="s">
        <v>939</v>
      </c>
      <c r="M37" s="341" t="s">
        <v>569</v>
      </c>
    </row>
    <row r="38" spans="2:15" x14ac:dyDescent="0.25">
      <c r="B38" t="s">
        <v>364</v>
      </c>
      <c r="C38" t="s">
        <v>196</v>
      </c>
      <c r="D38" s="342" t="s">
        <v>573</v>
      </c>
      <c r="E38" t="s">
        <v>4</v>
      </c>
      <c r="F38" s="47">
        <f>Summary!V12</f>
        <v>18000</v>
      </c>
      <c r="G38" t="s">
        <v>897</v>
      </c>
      <c r="H38" t="s">
        <v>896</v>
      </c>
      <c r="I38" t="s">
        <v>590</v>
      </c>
      <c r="J38" t="s">
        <v>559</v>
      </c>
      <c r="K38" t="s">
        <v>561</v>
      </c>
      <c r="L38" t="s">
        <v>937</v>
      </c>
      <c r="M38" s="341" t="s">
        <v>982</v>
      </c>
    </row>
    <row r="39" spans="2:15" x14ac:dyDescent="0.25">
      <c r="B39" t="s">
        <v>364</v>
      </c>
      <c r="C39" t="s">
        <v>196</v>
      </c>
      <c r="D39" s="342" t="s">
        <v>64</v>
      </c>
      <c r="E39" t="s">
        <v>4</v>
      </c>
      <c r="F39" s="47">
        <f>Summary!V13</f>
        <v>5000</v>
      </c>
      <c r="G39" t="s">
        <v>897</v>
      </c>
      <c r="H39" t="s">
        <v>896</v>
      </c>
      <c r="I39" t="s">
        <v>590</v>
      </c>
      <c r="J39" t="s">
        <v>559</v>
      </c>
      <c r="K39" t="s">
        <v>561</v>
      </c>
      <c r="L39" t="s">
        <v>937</v>
      </c>
      <c r="M39" s="341" t="s">
        <v>982</v>
      </c>
    </row>
    <row r="40" spans="2:15" x14ac:dyDescent="0.25">
      <c r="B40" t="s">
        <v>364</v>
      </c>
      <c r="C40" t="s">
        <v>196</v>
      </c>
      <c r="D40" s="342" t="s">
        <v>950</v>
      </c>
      <c r="E40" t="s">
        <v>4</v>
      </c>
      <c r="F40" s="47">
        <f>Summary!V14</f>
        <v>27000</v>
      </c>
      <c r="G40" t="s">
        <v>897</v>
      </c>
      <c r="H40" t="s">
        <v>896</v>
      </c>
      <c r="I40" t="s">
        <v>590</v>
      </c>
      <c r="J40" t="s">
        <v>559</v>
      </c>
      <c r="K40" t="s">
        <v>561</v>
      </c>
      <c r="L40" t="s">
        <v>937</v>
      </c>
      <c r="M40" s="341" t="s">
        <v>982</v>
      </c>
      <c r="N40" s="58" t="s">
        <v>891</v>
      </c>
    </row>
    <row r="41" spans="2:15" x14ac:dyDescent="0.25">
      <c r="B41" t="s">
        <v>364</v>
      </c>
      <c r="C41" t="s">
        <v>196</v>
      </c>
      <c r="D41" s="342" t="s">
        <v>645</v>
      </c>
      <c r="E41" t="s">
        <v>4</v>
      </c>
      <c r="F41" s="47">
        <f>Summary!V14</f>
        <v>27000</v>
      </c>
      <c r="G41" t="s">
        <v>897</v>
      </c>
      <c r="H41" t="s">
        <v>896</v>
      </c>
      <c r="I41" t="s">
        <v>590</v>
      </c>
      <c r="J41" t="s">
        <v>559</v>
      </c>
      <c r="K41" t="s">
        <v>561</v>
      </c>
      <c r="L41" t="s">
        <v>937</v>
      </c>
      <c r="M41" s="341" t="s">
        <v>982</v>
      </c>
      <c r="N41" s="58" t="s">
        <v>890</v>
      </c>
    </row>
    <row r="42" spans="2:15" x14ac:dyDescent="0.25">
      <c r="B42" t="s">
        <v>364</v>
      </c>
      <c r="C42" t="s">
        <v>196</v>
      </c>
      <c r="D42" s="342" t="s">
        <v>951</v>
      </c>
      <c r="E42" t="s">
        <v>4</v>
      </c>
      <c r="F42" s="47">
        <f>Summary!V16</f>
        <v>18000</v>
      </c>
      <c r="G42" t="s">
        <v>897</v>
      </c>
      <c r="H42" t="s">
        <v>896</v>
      </c>
      <c r="I42" t="s">
        <v>590</v>
      </c>
      <c r="J42" t="s">
        <v>559</v>
      </c>
      <c r="K42" t="s">
        <v>561</v>
      </c>
      <c r="L42" t="s">
        <v>937</v>
      </c>
      <c r="M42" s="341" t="s">
        <v>982</v>
      </c>
      <c r="O42" s="341"/>
    </row>
    <row r="43" spans="2:15" x14ac:dyDescent="0.25">
      <c r="B43" t="s">
        <v>364</v>
      </c>
      <c r="C43" t="s">
        <v>196</v>
      </c>
      <c r="D43" s="342" t="s">
        <v>68</v>
      </c>
      <c r="E43" t="s">
        <v>4</v>
      </c>
      <c r="F43" s="47">
        <f>Summary!V17</f>
        <v>8000</v>
      </c>
      <c r="G43" t="s">
        <v>897</v>
      </c>
      <c r="H43" t="s">
        <v>896</v>
      </c>
      <c r="I43" t="s">
        <v>590</v>
      </c>
      <c r="J43" t="s">
        <v>559</v>
      </c>
      <c r="K43" t="s">
        <v>561</v>
      </c>
      <c r="L43" t="s">
        <v>937</v>
      </c>
      <c r="M43" s="341" t="s">
        <v>982</v>
      </c>
    </row>
    <row r="44" spans="2:15" x14ac:dyDescent="0.25">
      <c r="B44" t="s">
        <v>364</v>
      </c>
      <c r="C44" t="s">
        <v>196</v>
      </c>
      <c r="D44" s="342" t="s">
        <v>69</v>
      </c>
      <c r="E44" t="s">
        <v>4</v>
      </c>
      <c r="F44" s="47">
        <f>Summary!V18</f>
        <v>5600</v>
      </c>
      <c r="G44" t="s">
        <v>897</v>
      </c>
      <c r="H44" t="s">
        <v>896</v>
      </c>
      <c r="I44" t="s">
        <v>590</v>
      </c>
      <c r="J44" t="s">
        <v>559</v>
      </c>
      <c r="K44" t="s">
        <v>561</v>
      </c>
      <c r="L44" t="s">
        <v>937</v>
      </c>
      <c r="M44" s="341" t="s">
        <v>982</v>
      </c>
    </row>
    <row r="45" spans="2:15" x14ac:dyDescent="0.25">
      <c r="B45" t="s">
        <v>364</v>
      </c>
      <c r="C45" t="s">
        <v>196</v>
      </c>
      <c r="D45" s="342" t="s">
        <v>16</v>
      </c>
      <c r="E45" t="s">
        <v>4</v>
      </c>
      <c r="F45" s="47">
        <f>Summary!V19</f>
        <v>800</v>
      </c>
      <c r="G45" t="s">
        <v>897</v>
      </c>
      <c r="H45" t="s">
        <v>896</v>
      </c>
      <c r="I45" t="s">
        <v>590</v>
      </c>
      <c r="J45" t="s">
        <v>559</v>
      </c>
      <c r="K45" t="s">
        <v>561</v>
      </c>
      <c r="L45" t="s">
        <v>937</v>
      </c>
      <c r="M45" s="341" t="s">
        <v>982</v>
      </c>
    </row>
    <row r="46" spans="2:15" x14ac:dyDescent="0.25">
      <c r="B46" t="s">
        <v>364</v>
      </c>
      <c r="C46" t="s">
        <v>196</v>
      </c>
      <c r="D46" s="342" t="s">
        <v>952</v>
      </c>
      <c r="E46" t="s">
        <v>4</v>
      </c>
      <c r="F46" s="47">
        <f>Summary!V20</f>
        <v>40000</v>
      </c>
      <c r="G46" t="s">
        <v>897</v>
      </c>
      <c r="H46" t="s">
        <v>896</v>
      </c>
      <c r="I46" t="s">
        <v>590</v>
      </c>
      <c r="J46" t="s">
        <v>559</v>
      </c>
      <c r="K46" t="s">
        <v>561</v>
      </c>
      <c r="L46" t="s">
        <v>937</v>
      </c>
      <c r="M46" s="341" t="s">
        <v>982</v>
      </c>
    </row>
    <row r="47" spans="2:15" x14ac:dyDescent="0.25">
      <c r="B47" t="s">
        <v>364</v>
      </c>
      <c r="C47" t="s">
        <v>196</v>
      </c>
      <c r="D47" s="342" t="s">
        <v>953</v>
      </c>
      <c r="E47" t="s">
        <v>4</v>
      </c>
      <c r="F47" s="47">
        <f>Summary!V21</f>
        <v>3000</v>
      </c>
      <c r="G47" t="s">
        <v>897</v>
      </c>
      <c r="H47" t="s">
        <v>896</v>
      </c>
      <c r="I47" t="s">
        <v>590</v>
      </c>
      <c r="J47" t="s">
        <v>559</v>
      </c>
      <c r="K47" t="s">
        <v>561</v>
      </c>
      <c r="L47" t="s">
        <v>937</v>
      </c>
      <c r="M47" s="341" t="s">
        <v>982</v>
      </c>
    </row>
    <row r="48" spans="2:15" x14ac:dyDescent="0.25">
      <c r="B48" t="s">
        <v>364</v>
      </c>
      <c r="C48" t="s">
        <v>196</v>
      </c>
      <c r="D48" s="342" t="s">
        <v>17</v>
      </c>
      <c r="E48" t="s">
        <v>4</v>
      </c>
      <c r="F48" s="47">
        <f>Summary!V22</f>
        <v>5300</v>
      </c>
      <c r="G48" t="s">
        <v>897</v>
      </c>
      <c r="H48" t="s">
        <v>896</v>
      </c>
      <c r="I48" t="s">
        <v>590</v>
      </c>
      <c r="J48" t="s">
        <v>559</v>
      </c>
      <c r="K48" t="s">
        <v>561</v>
      </c>
      <c r="L48" t="s">
        <v>923</v>
      </c>
      <c r="M48" s="341" t="s">
        <v>603</v>
      </c>
      <c r="N48" s="58" t="s">
        <v>661</v>
      </c>
    </row>
    <row r="49" spans="2:14" x14ac:dyDescent="0.25">
      <c r="B49" t="s">
        <v>364</v>
      </c>
      <c r="C49" t="s">
        <v>196</v>
      </c>
      <c r="D49" s="342" t="s">
        <v>53</v>
      </c>
      <c r="E49" t="s">
        <v>4</v>
      </c>
      <c r="F49" s="47">
        <f>Summary!V23</f>
        <v>3000</v>
      </c>
      <c r="G49" t="s">
        <v>897</v>
      </c>
      <c r="H49" t="s">
        <v>896</v>
      </c>
      <c r="I49" t="s">
        <v>590</v>
      </c>
      <c r="J49" t="s">
        <v>559</v>
      </c>
      <c r="K49" t="s">
        <v>561</v>
      </c>
      <c r="L49" t="s">
        <v>937</v>
      </c>
      <c r="M49" s="341" t="s">
        <v>982</v>
      </c>
    </row>
    <row r="50" spans="2:14" x14ac:dyDescent="0.25">
      <c r="B50" t="s">
        <v>364</v>
      </c>
      <c r="C50" t="s">
        <v>196</v>
      </c>
      <c r="D50" s="342" t="s">
        <v>72</v>
      </c>
      <c r="E50" t="s">
        <v>4</v>
      </c>
      <c r="F50" s="47">
        <f>Summary!V24</f>
        <v>19600</v>
      </c>
      <c r="G50" t="s">
        <v>897</v>
      </c>
      <c r="H50" t="s">
        <v>896</v>
      </c>
      <c r="I50" t="s">
        <v>589</v>
      </c>
      <c r="J50" t="s">
        <v>559</v>
      </c>
      <c r="K50" t="s">
        <v>561</v>
      </c>
      <c r="L50" t="s">
        <v>939</v>
      </c>
      <c r="M50" s="341" t="s">
        <v>569</v>
      </c>
    </row>
    <row r="51" spans="2:14" x14ac:dyDescent="0.25">
      <c r="B51" t="s">
        <v>364</v>
      </c>
      <c r="C51" t="s">
        <v>196</v>
      </c>
      <c r="D51" s="342" t="s">
        <v>73</v>
      </c>
      <c r="E51" t="s">
        <v>4</v>
      </c>
      <c r="F51" s="47">
        <f>Summary!V25</f>
        <v>52600</v>
      </c>
      <c r="G51" t="s">
        <v>897</v>
      </c>
      <c r="H51" t="s">
        <v>896</v>
      </c>
      <c r="I51" t="s">
        <v>589</v>
      </c>
      <c r="J51" t="s">
        <v>559</v>
      </c>
      <c r="K51" t="s">
        <v>561</v>
      </c>
      <c r="L51" t="s">
        <v>939</v>
      </c>
      <c r="M51" s="341" t="s">
        <v>569</v>
      </c>
    </row>
    <row r="52" spans="2:14" ht="30" customHeight="1" x14ac:dyDescent="0.25">
      <c r="B52" t="s">
        <v>364</v>
      </c>
      <c r="C52" t="s">
        <v>196</v>
      </c>
      <c r="D52" s="342" t="s">
        <v>544</v>
      </c>
      <c r="E52" t="s">
        <v>4</v>
      </c>
      <c r="F52" s="47">
        <f>Summary!V26</f>
        <v>4700</v>
      </c>
      <c r="G52" s="58" t="s">
        <v>897</v>
      </c>
      <c r="H52" t="s">
        <v>896</v>
      </c>
      <c r="I52" s="58" t="s">
        <v>968</v>
      </c>
      <c r="J52" t="s">
        <v>559</v>
      </c>
      <c r="K52" t="s">
        <v>561</v>
      </c>
      <c r="L52" s="58" t="s">
        <v>966</v>
      </c>
      <c r="M52" t="s">
        <v>965</v>
      </c>
      <c r="N52" s="58" t="s">
        <v>967</v>
      </c>
    </row>
    <row r="53" spans="2:14" ht="15" customHeight="1" x14ac:dyDescent="0.25">
      <c r="B53" t="s">
        <v>364</v>
      </c>
      <c r="C53" t="s">
        <v>196</v>
      </c>
      <c r="D53" s="342" t="s">
        <v>954</v>
      </c>
      <c r="E53" t="s">
        <v>4</v>
      </c>
      <c r="F53" s="343">
        <f>Spnrs!CK66</f>
        <v>4423</v>
      </c>
      <c r="G53" t="s">
        <v>897</v>
      </c>
      <c r="H53" t="s">
        <v>896</v>
      </c>
      <c r="I53" t="s">
        <v>589</v>
      </c>
      <c r="J53" t="s">
        <v>559</v>
      </c>
      <c r="K53" t="s">
        <v>561</v>
      </c>
      <c r="L53" t="s">
        <v>939</v>
      </c>
      <c r="M53" s="341" t="s">
        <v>569</v>
      </c>
      <c r="N53" s="58" t="s">
        <v>969</v>
      </c>
    </row>
    <row r="54" spans="2:14" ht="15" customHeight="1" x14ac:dyDescent="0.25">
      <c r="B54" t="s">
        <v>364</v>
      </c>
      <c r="C54" t="s">
        <v>196</v>
      </c>
      <c r="D54" s="342" t="s">
        <v>955</v>
      </c>
      <c r="E54" t="s">
        <v>4</v>
      </c>
      <c r="F54" s="343">
        <f>Spnrs!CL66</f>
        <v>280</v>
      </c>
      <c r="G54" t="s">
        <v>897</v>
      </c>
      <c r="H54" t="s">
        <v>896</v>
      </c>
      <c r="I54" t="s">
        <v>590</v>
      </c>
      <c r="J54" t="s">
        <v>559</v>
      </c>
      <c r="K54" t="s">
        <v>561</v>
      </c>
      <c r="L54" t="s">
        <v>937</v>
      </c>
      <c r="M54" s="341" t="s">
        <v>982</v>
      </c>
      <c r="N54" s="58" t="s">
        <v>970</v>
      </c>
    </row>
    <row r="55" spans="2:14" ht="30" customHeight="1" x14ac:dyDescent="0.25">
      <c r="B55" t="s">
        <v>364</v>
      </c>
      <c r="C55" t="s">
        <v>196</v>
      </c>
      <c r="D55" s="342" t="s">
        <v>956</v>
      </c>
      <c r="E55" t="s">
        <v>4</v>
      </c>
      <c r="F55" s="47">
        <f>Summary!V27</f>
        <v>9800</v>
      </c>
      <c r="G55" s="58" t="s">
        <v>897</v>
      </c>
      <c r="H55" t="s">
        <v>896</v>
      </c>
      <c r="I55" t="s">
        <v>589</v>
      </c>
      <c r="J55" t="s">
        <v>559</v>
      </c>
      <c r="K55" t="s">
        <v>561</v>
      </c>
      <c r="L55" s="58" t="s">
        <v>971</v>
      </c>
      <c r="M55" t="s">
        <v>961</v>
      </c>
      <c r="N55" s="58" t="s">
        <v>983</v>
      </c>
    </row>
    <row r="56" spans="2:14" ht="15" customHeight="1" x14ac:dyDescent="0.25">
      <c r="B56" t="s">
        <v>364</v>
      </c>
      <c r="C56" t="s">
        <v>196</v>
      </c>
      <c r="D56" s="342" t="s">
        <v>957</v>
      </c>
      <c r="E56" t="s">
        <v>4</v>
      </c>
      <c r="F56" s="47">
        <f>Spnrs!CK67</f>
        <v>8846</v>
      </c>
      <c r="G56" t="s">
        <v>897</v>
      </c>
      <c r="H56" t="s">
        <v>896</v>
      </c>
      <c r="I56" t="s">
        <v>589</v>
      </c>
      <c r="J56" t="s">
        <v>559</v>
      </c>
      <c r="K56" t="s">
        <v>561</v>
      </c>
      <c r="L56" t="s">
        <v>939</v>
      </c>
      <c r="M56" s="341" t="s">
        <v>569</v>
      </c>
      <c r="N56" s="58" t="s">
        <v>984</v>
      </c>
    </row>
    <row r="57" spans="2:14" ht="15" customHeight="1" x14ac:dyDescent="0.25">
      <c r="B57" t="s">
        <v>364</v>
      </c>
      <c r="C57" t="s">
        <v>196</v>
      </c>
      <c r="D57" s="342" t="s">
        <v>958</v>
      </c>
      <c r="E57" t="s">
        <v>4</v>
      </c>
      <c r="F57" s="130">
        <f>Spnrs!CL67</f>
        <v>946</v>
      </c>
      <c r="G57" t="s">
        <v>897</v>
      </c>
      <c r="H57" t="s">
        <v>896</v>
      </c>
      <c r="I57" t="s">
        <v>589</v>
      </c>
      <c r="J57" t="s">
        <v>559</v>
      </c>
      <c r="K57" t="s">
        <v>561</v>
      </c>
      <c r="L57" t="s">
        <v>947</v>
      </c>
      <c r="M57" s="341" t="s">
        <v>603</v>
      </c>
      <c r="N57" s="58" t="s">
        <v>978</v>
      </c>
    </row>
    <row r="58" spans="2:14" x14ac:dyDescent="0.25">
      <c r="B58" t="s">
        <v>364</v>
      </c>
      <c r="C58" t="s">
        <v>196</v>
      </c>
      <c r="D58" s="342" t="s">
        <v>959</v>
      </c>
      <c r="E58" t="s">
        <v>4</v>
      </c>
      <c r="F58" s="47">
        <f>Summary!V30</f>
        <v>0</v>
      </c>
      <c r="G58" t="s">
        <v>897</v>
      </c>
      <c r="H58" t="s">
        <v>559</v>
      </c>
      <c r="I58" t="s">
        <v>559</v>
      </c>
      <c r="J58" t="s">
        <v>559</v>
      </c>
      <c r="K58" t="s">
        <v>561</v>
      </c>
      <c r="L58" t="s">
        <v>591</v>
      </c>
      <c r="M58" s="341" t="s">
        <v>592</v>
      </c>
      <c r="N58" s="58" t="s">
        <v>593</v>
      </c>
    </row>
    <row r="59" spans="2:14" x14ac:dyDescent="0.25">
      <c r="B59" t="s">
        <v>364</v>
      </c>
      <c r="C59" t="s">
        <v>196</v>
      </c>
      <c r="D59" s="342" t="s">
        <v>11</v>
      </c>
      <c r="E59" t="s">
        <v>384</v>
      </c>
      <c r="F59" s="47">
        <f>Summary!W5</f>
        <v>2400</v>
      </c>
      <c r="G59" t="s">
        <v>897</v>
      </c>
      <c r="H59" t="s">
        <v>896</v>
      </c>
      <c r="I59" t="s">
        <v>602</v>
      </c>
      <c r="J59" t="s">
        <v>559</v>
      </c>
      <c r="K59" t="s">
        <v>562</v>
      </c>
      <c r="L59" t="s">
        <v>937</v>
      </c>
      <c r="M59" s="341" t="s">
        <v>982</v>
      </c>
    </row>
    <row r="60" spans="2:14" x14ac:dyDescent="0.25">
      <c r="B60" t="s">
        <v>364</v>
      </c>
      <c r="C60" t="s">
        <v>196</v>
      </c>
      <c r="D60" s="342" t="s">
        <v>948</v>
      </c>
      <c r="E60" t="s">
        <v>384</v>
      </c>
      <c r="F60" s="47">
        <f>Summary!W6</f>
        <v>2400</v>
      </c>
      <c r="G60" t="s">
        <v>897</v>
      </c>
      <c r="H60" t="s">
        <v>896</v>
      </c>
      <c r="I60" t="s">
        <v>602</v>
      </c>
      <c r="J60" t="s">
        <v>559</v>
      </c>
      <c r="K60" t="s">
        <v>562</v>
      </c>
      <c r="L60" t="s">
        <v>937</v>
      </c>
      <c r="M60" s="341" t="s">
        <v>982</v>
      </c>
    </row>
    <row r="61" spans="2:14" x14ac:dyDescent="0.25">
      <c r="B61" t="s">
        <v>364</v>
      </c>
      <c r="C61" t="s">
        <v>196</v>
      </c>
      <c r="D61" s="342" t="s">
        <v>949</v>
      </c>
      <c r="E61" t="s">
        <v>384</v>
      </c>
      <c r="F61" s="47">
        <f>Summary!W7</f>
        <v>1800</v>
      </c>
      <c r="G61" t="s">
        <v>897</v>
      </c>
      <c r="H61" t="s">
        <v>896</v>
      </c>
      <c r="I61" t="s">
        <v>602</v>
      </c>
      <c r="J61" t="s">
        <v>559</v>
      </c>
      <c r="K61" t="s">
        <v>562</v>
      </c>
      <c r="L61" t="s">
        <v>937</v>
      </c>
      <c r="M61" s="341" t="s">
        <v>982</v>
      </c>
    </row>
    <row r="62" spans="2:14" ht="15" customHeight="1" x14ac:dyDescent="0.25">
      <c r="B62" t="s">
        <v>364</v>
      </c>
      <c r="C62" t="s">
        <v>196</v>
      </c>
      <c r="D62" s="342" t="s">
        <v>61</v>
      </c>
      <c r="E62" t="s">
        <v>384</v>
      </c>
      <c r="F62" s="47">
        <f>Summary!W8</f>
        <v>75</v>
      </c>
      <c r="G62" t="s">
        <v>897</v>
      </c>
      <c r="H62" t="s">
        <v>896</v>
      </c>
      <c r="I62" t="s">
        <v>594</v>
      </c>
      <c r="J62" t="s">
        <v>559</v>
      </c>
      <c r="K62" t="s">
        <v>562</v>
      </c>
      <c r="L62" t="s">
        <v>940</v>
      </c>
      <c r="M62" s="341" t="s">
        <v>569</v>
      </c>
      <c r="N62" s="58" t="s">
        <v>599</v>
      </c>
    </row>
    <row r="63" spans="2:14" ht="15" customHeight="1" x14ac:dyDescent="0.25">
      <c r="B63" t="s">
        <v>364</v>
      </c>
      <c r="C63" t="s">
        <v>196</v>
      </c>
      <c r="D63" s="342" t="s">
        <v>265</v>
      </c>
      <c r="E63" t="s">
        <v>384</v>
      </c>
      <c r="F63" s="47">
        <f>Summary!W9</f>
        <v>350</v>
      </c>
      <c r="G63" t="s">
        <v>897</v>
      </c>
      <c r="H63" t="s">
        <v>896</v>
      </c>
      <c r="I63" t="s">
        <v>594</v>
      </c>
      <c r="J63" t="s">
        <v>559</v>
      </c>
      <c r="K63" t="s">
        <v>562</v>
      </c>
      <c r="L63" t="s">
        <v>940</v>
      </c>
      <c r="M63" s="341" t="s">
        <v>569</v>
      </c>
      <c r="N63" s="58" t="s">
        <v>599</v>
      </c>
    </row>
    <row r="64" spans="2:14" x14ac:dyDescent="0.25">
      <c r="B64" t="s">
        <v>364</v>
      </c>
      <c r="C64" t="s">
        <v>196</v>
      </c>
      <c r="D64" s="342" t="s">
        <v>62</v>
      </c>
      <c r="E64" t="s">
        <v>384</v>
      </c>
      <c r="F64" s="47">
        <f>Summary!W10</f>
        <v>3200</v>
      </c>
      <c r="G64" t="s">
        <v>897</v>
      </c>
      <c r="H64" t="s">
        <v>896</v>
      </c>
      <c r="I64" t="s">
        <v>598</v>
      </c>
      <c r="J64" t="s">
        <v>559</v>
      </c>
      <c r="K64" t="s">
        <v>562</v>
      </c>
      <c r="L64" t="s">
        <v>940</v>
      </c>
      <c r="M64" s="341" t="s">
        <v>569</v>
      </c>
    </row>
    <row r="65" spans="1:14" x14ac:dyDescent="0.25">
      <c r="B65" t="s">
        <v>364</v>
      </c>
      <c r="C65" t="s">
        <v>196</v>
      </c>
      <c r="D65" s="342" t="s">
        <v>245</v>
      </c>
      <c r="E65" t="s">
        <v>384</v>
      </c>
      <c r="F65" s="47">
        <f>Summary!W11</f>
        <v>3200</v>
      </c>
      <c r="G65" t="s">
        <v>897</v>
      </c>
      <c r="H65" t="s">
        <v>896</v>
      </c>
      <c r="I65" t="s">
        <v>598</v>
      </c>
      <c r="J65" t="s">
        <v>559</v>
      </c>
      <c r="K65" t="s">
        <v>562</v>
      </c>
      <c r="L65" t="s">
        <v>940</v>
      </c>
      <c r="M65" s="341" t="s">
        <v>569</v>
      </c>
    </row>
    <row r="66" spans="1:14" x14ac:dyDescent="0.25">
      <c r="B66" t="s">
        <v>364</v>
      </c>
      <c r="C66" t="s">
        <v>196</v>
      </c>
      <c r="D66" s="342" t="s">
        <v>573</v>
      </c>
      <c r="E66" t="s">
        <v>384</v>
      </c>
      <c r="F66" s="47">
        <f>Summary!W12</f>
        <v>3700</v>
      </c>
      <c r="G66" t="s">
        <v>897</v>
      </c>
      <c r="H66" t="s">
        <v>896</v>
      </c>
      <c r="I66" t="s">
        <v>602</v>
      </c>
      <c r="J66" t="s">
        <v>559</v>
      </c>
      <c r="K66" t="s">
        <v>562</v>
      </c>
      <c r="L66" t="s">
        <v>937</v>
      </c>
      <c r="M66" s="341" t="s">
        <v>982</v>
      </c>
    </row>
    <row r="67" spans="1:14" x14ac:dyDescent="0.25">
      <c r="B67" t="s">
        <v>364</v>
      </c>
      <c r="C67" t="s">
        <v>196</v>
      </c>
      <c r="D67" s="342" t="s">
        <v>64</v>
      </c>
      <c r="E67" t="s">
        <v>384</v>
      </c>
      <c r="F67" s="47">
        <f>Summary!W13</f>
        <v>1200</v>
      </c>
      <c r="G67" t="s">
        <v>897</v>
      </c>
      <c r="H67" t="s">
        <v>896</v>
      </c>
      <c r="I67" t="s">
        <v>602</v>
      </c>
      <c r="J67" t="s">
        <v>559</v>
      </c>
      <c r="K67" t="s">
        <v>562</v>
      </c>
      <c r="L67" t="s">
        <v>937</v>
      </c>
      <c r="M67" s="341" t="s">
        <v>982</v>
      </c>
    </row>
    <row r="68" spans="1:14" x14ac:dyDescent="0.25">
      <c r="B68" t="s">
        <v>364</v>
      </c>
      <c r="C68" t="s">
        <v>196</v>
      </c>
      <c r="D68" s="342" t="s">
        <v>950</v>
      </c>
      <c r="E68" t="s">
        <v>384</v>
      </c>
      <c r="F68" s="47">
        <f>Summary!W14</f>
        <v>1900</v>
      </c>
      <c r="G68" t="s">
        <v>897</v>
      </c>
      <c r="H68" t="s">
        <v>896</v>
      </c>
      <c r="I68" t="s">
        <v>602</v>
      </c>
      <c r="J68" t="s">
        <v>559</v>
      </c>
      <c r="K68" t="s">
        <v>562</v>
      </c>
      <c r="L68" t="s">
        <v>937</v>
      </c>
      <c r="M68" s="341" t="s">
        <v>982</v>
      </c>
    </row>
    <row r="69" spans="1:14" x14ac:dyDescent="0.25">
      <c r="A69" t="s">
        <v>916</v>
      </c>
      <c r="B69" t="s">
        <v>364</v>
      </c>
      <c r="C69" t="s">
        <v>196</v>
      </c>
      <c r="D69" s="342" t="s">
        <v>645</v>
      </c>
      <c r="E69" t="s">
        <v>384</v>
      </c>
      <c r="F69" s="47">
        <f>Summary!W15</f>
        <v>1900</v>
      </c>
      <c r="G69" t="s">
        <v>897</v>
      </c>
      <c r="H69" t="s">
        <v>896</v>
      </c>
      <c r="I69" t="s">
        <v>602</v>
      </c>
      <c r="J69" t="s">
        <v>559</v>
      </c>
      <c r="K69" t="s">
        <v>562</v>
      </c>
      <c r="L69" t="s">
        <v>937</v>
      </c>
      <c r="M69" s="341" t="s">
        <v>982</v>
      </c>
    </row>
    <row r="70" spans="1:14" x14ac:dyDescent="0.25">
      <c r="B70" t="s">
        <v>364</v>
      </c>
      <c r="C70" t="s">
        <v>196</v>
      </c>
      <c r="D70" s="342" t="s">
        <v>951</v>
      </c>
      <c r="E70" t="s">
        <v>384</v>
      </c>
      <c r="F70" s="47">
        <f>Summary!W16</f>
        <v>2000</v>
      </c>
      <c r="G70" t="s">
        <v>897</v>
      </c>
      <c r="H70" t="s">
        <v>896</v>
      </c>
      <c r="I70" t="s">
        <v>602</v>
      </c>
      <c r="J70" t="s">
        <v>559</v>
      </c>
      <c r="K70" t="s">
        <v>562</v>
      </c>
      <c r="L70" t="s">
        <v>937</v>
      </c>
      <c r="M70" s="341" t="s">
        <v>982</v>
      </c>
    </row>
    <row r="71" spans="1:14" ht="15" customHeight="1" x14ac:dyDescent="0.25">
      <c r="B71" t="s">
        <v>364</v>
      </c>
      <c r="C71" t="s">
        <v>196</v>
      </c>
      <c r="D71" s="342" t="s">
        <v>68</v>
      </c>
      <c r="E71" t="s">
        <v>384</v>
      </c>
      <c r="F71" s="47">
        <f>Summary!W17</f>
        <v>2000</v>
      </c>
      <c r="G71" t="s">
        <v>897</v>
      </c>
      <c r="H71" t="s">
        <v>896</v>
      </c>
      <c r="I71" t="s">
        <v>602</v>
      </c>
      <c r="J71" t="s">
        <v>559</v>
      </c>
      <c r="K71" t="s">
        <v>562</v>
      </c>
      <c r="L71" t="s">
        <v>937</v>
      </c>
      <c r="M71" s="341" t="s">
        <v>982</v>
      </c>
    </row>
    <row r="72" spans="1:14" ht="30" customHeight="1" x14ac:dyDescent="0.25">
      <c r="B72" t="s">
        <v>364</v>
      </c>
      <c r="C72" t="s">
        <v>196</v>
      </c>
      <c r="D72" s="342" t="s">
        <v>69</v>
      </c>
      <c r="E72" t="s">
        <v>384</v>
      </c>
      <c r="F72" s="47">
        <f>Summary!W18</f>
        <v>2200</v>
      </c>
      <c r="G72" t="s">
        <v>897</v>
      </c>
      <c r="I72" t="s">
        <v>920</v>
      </c>
      <c r="J72" t="s">
        <v>559</v>
      </c>
      <c r="K72" s="58" t="s">
        <v>595</v>
      </c>
      <c r="L72" t="s">
        <v>937</v>
      </c>
      <c r="M72" s="341" t="s">
        <v>982</v>
      </c>
      <c r="N72" s="58" t="s">
        <v>921</v>
      </c>
    </row>
    <row r="73" spans="1:14" x14ac:dyDescent="0.25">
      <c r="B73" t="s">
        <v>364</v>
      </c>
      <c r="C73" t="s">
        <v>196</v>
      </c>
      <c r="D73" s="342" t="s">
        <v>16</v>
      </c>
      <c r="E73" t="s">
        <v>384</v>
      </c>
      <c r="F73" s="47">
        <f>Summary!W19</f>
        <v>500</v>
      </c>
      <c r="G73" t="s">
        <v>897</v>
      </c>
      <c r="H73" t="s">
        <v>896</v>
      </c>
      <c r="I73" t="s">
        <v>602</v>
      </c>
      <c r="J73" t="s">
        <v>559</v>
      </c>
      <c r="K73" t="s">
        <v>562</v>
      </c>
      <c r="L73" t="s">
        <v>937</v>
      </c>
      <c r="M73" s="341" t="s">
        <v>982</v>
      </c>
    </row>
    <row r="74" spans="1:14" x14ac:dyDescent="0.25">
      <c r="B74" t="s">
        <v>364</v>
      </c>
      <c r="C74" t="s">
        <v>196</v>
      </c>
      <c r="D74" s="342" t="s">
        <v>952</v>
      </c>
      <c r="E74" t="s">
        <v>384</v>
      </c>
      <c r="F74" s="47">
        <f>Summary!W20</f>
        <v>500</v>
      </c>
      <c r="G74" t="s">
        <v>897</v>
      </c>
      <c r="H74" t="s">
        <v>896</v>
      </c>
      <c r="I74" t="s">
        <v>602</v>
      </c>
      <c r="J74" t="s">
        <v>559</v>
      </c>
      <c r="K74" t="s">
        <v>562</v>
      </c>
      <c r="L74" t="s">
        <v>937</v>
      </c>
      <c r="M74" s="341" t="s">
        <v>982</v>
      </c>
      <c r="N74" s="362" t="s">
        <v>660</v>
      </c>
    </row>
    <row r="75" spans="1:14" ht="15" customHeight="1" x14ac:dyDescent="0.25">
      <c r="B75" t="s">
        <v>364</v>
      </c>
      <c r="C75" t="s">
        <v>196</v>
      </c>
      <c r="D75" s="342" t="s">
        <v>953</v>
      </c>
      <c r="E75" t="s">
        <v>384</v>
      </c>
      <c r="F75" s="47">
        <f>Summary!W21</f>
        <v>2000</v>
      </c>
      <c r="G75" t="s">
        <v>897</v>
      </c>
      <c r="H75" t="s">
        <v>896</v>
      </c>
      <c r="I75" t="s">
        <v>602</v>
      </c>
      <c r="J75" t="s">
        <v>559</v>
      </c>
      <c r="K75" t="s">
        <v>562</v>
      </c>
      <c r="L75" t="s">
        <v>937</v>
      </c>
      <c r="M75" s="341" t="s">
        <v>982</v>
      </c>
    </row>
    <row r="76" spans="1:14" ht="30" customHeight="1" x14ac:dyDescent="0.25">
      <c r="B76" t="s">
        <v>364</v>
      </c>
      <c r="C76" t="s">
        <v>196</v>
      </c>
      <c r="D76" s="342" t="s">
        <v>17</v>
      </c>
      <c r="E76" t="s">
        <v>384</v>
      </c>
      <c r="F76" s="47">
        <f>Summary!W22</f>
        <v>1200</v>
      </c>
      <c r="G76" t="s">
        <v>897</v>
      </c>
      <c r="H76" t="s">
        <v>896</v>
      </c>
      <c r="I76" t="s">
        <v>920</v>
      </c>
      <c r="J76" t="s">
        <v>559</v>
      </c>
      <c r="K76" s="58" t="s">
        <v>595</v>
      </c>
      <c r="L76" t="s">
        <v>937</v>
      </c>
      <c r="M76" s="341" t="s">
        <v>982</v>
      </c>
      <c r="N76" s="58" t="s">
        <v>922</v>
      </c>
    </row>
    <row r="77" spans="1:14" x14ac:dyDescent="0.25">
      <c r="B77" t="s">
        <v>364</v>
      </c>
      <c r="C77" t="s">
        <v>196</v>
      </c>
      <c r="D77" s="342" t="s">
        <v>53</v>
      </c>
      <c r="E77" t="s">
        <v>384</v>
      </c>
      <c r="F77" s="47">
        <f>Summary!W23</f>
        <v>1500</v>
      </c>
      <c r="G77" t="s">
        <v>897</v>
      </c>
      <c r="H77" t="s">
        <v>896</v>
      </c>
      <c r="I77" t="s">
        <v>602</v>
      </c>
      <c r="J77" t="s">
        <v>559</v>
      </c>
      <c r="K77" t="s">
        <v>562</v>
      </c>
      <c r="L77" t="s">
        <v>937</v>
      </c>
      <c r="M77" s="341" t="s">
        <v>982</v>
      </c>
    </row>
    <row r="78" spans="1:14" x14ac:dyDescent="0.25">
      <c r="B78" t="s">
        <v>364</v>
      </c>
      <c r="C78" t="s">
        <v>196</v>
      </c>
      <c r="D78" s="342" t="s">
        <v>72</v>
      </c>
      <c r="E78" t="s">
        <v>384</v>
      </c>
      <c r="F78" s="47">
        <f>Summary!W24</f>
        <v>5700</v>
      </c>
      <c r="G78" t="s">
        <v>897</v>
      </c>
      <c r="H78" t="s">
        <v>896</v>
      </c>
      <c r="I78" t="s">
        <v>598</v>
      </c>
      <c r="J78" t="s">
        <v>559</v>
      </c>
      <c r="K78" t="s">
        <v>562</v>
      </c>
      <c r="L78" t="s">
        <v>940</v>
      </c>
      <c r="M78" s="341" t="s">
        <v>569</v>
      </c>
    </row>
    <row r="79" spans="1:14" x14ac:dyDescent="0.25">
      <c r="B79" t="s">
        <v>364</v>
      </c>
      <c r="C79" t="s">
        <v>196</v>
      </c>
      <c r="D79" s="342" t="s">
        <v>73</v>
      </c>
      <c r="E79" t="s">
        <v>384</v>
      </c>
      <c r="F79" s="47">
        <f>Summary!W25</f>
        <v>11200</v>
      </c>
      <c r="G79" t="s">
        <v>897</v>
      </c>
      <c r="H79" t="s">
        <v>896</v>
      </c>
      <c r="I79" t="s">
        <v>598</v>
      </c>
      <c r="J79" t="s">
        <v>559</v>
      </c>
      <c r="K79" t="s">
        <v>562</v>
      </c>
      <c r="L79" t="s">
        <v>940</v>
      </c>
      <c r="M79" s="341" t="s">
        <v>569</v>
      </c>
      <c r="N79" s="362" t="s">
        <v>660</v>
      </c>
    </row>
    <row r="80" spans="1:14" ht="30" customHeight="1" x14ac:dyDescent="0.25">
      <c r="B80" t="s">
        <v>364</v>
      </c>
      <c r="C80" t="s">
        <v>196</v>
      </c>
      <c r="D80" s="342" t="s">
        <v>544</v>
      </c>
      <c r="E80" t="s">
        <v>384</v>
      </c>
      <c r="F80" s="47">
        <f>Summary!W26</f>
        <v>2900</v>
      </c>
      <c r="G80" t="s">
        <v>897</v>
      </c>
      <c r="H80" t="s">
        <v>896</v>
      </c>
      <c r="I80" s="58" t="s">
        <v>968</v>
      </c>
      <c r="J80" t="s">
        <v>559</v>
      </c>
      <c r="K80" t="s">
        <v>562</v>
      </c>
      <c r="L80" s="58" t="s">
        <v>966</v>
      </c>
      <c r="M80" t="s">
        <v>965</v>
      </c>
      <c r="N80" s="58" t="s">
        <v>967</v>
      </c>
    </row>
    <row r="81" spans="2:14" x14ac:dyDescent="0.25">
      <c r="B81" t="s">
        <v>364</v>
      </c>
      <c r="C81" t="s">
        <v>196</v>
      </c>
      <c r="D81" s="342" t="s">
        <v>954</v>
      </c>
      <c r="E81" t="s">
        <v>384</v>
      </c>
      <c r="F81" s="47">
        <f>ROUND(Spnrs!$BO$43,-2)</f>
        <v>1000</v>
      </c>
      <c r="G81" t="s">
        <v>897</v>
      </c>
      <c r="H81" t="s">
        <v>896</v>
      </c>
      <c r="I81" t="s">
        <v>598</v>
      </c>
      <c r="J81" t="s">
        <v>559</v>
      </c>
      <c r="K81" t="s">
        <v>562</v>
      </c>
      <c r="L81" t="s">
        <v>940</v>
      </c>
      <c r="M81" s="341" t="s">
        <v>569</v>
      </c>
      <c r="N81" s="58" t="s">
        <v>972</v>
      </c>
    </row>
    <row r="82" spans="2:14" x14ac:dyDescent="0.25">
      <c r="B82" t="s">
        <v>364</v>
      </c>
      <c r="C82" t="s">
        <v>196</v>
      </c>
      <c r="D82" s="342" t="s">
        <v>955</v>
      </c>
      <c r="E82" t="s">
        <v>384</v>
      </c>
      <c r="F82" s="47">
        <f>Spnrs!BP43</f>
        <v>1900</v>
      </c>
      <c r="G82" t="s">
        <v>897</v>
      </c>
      <c r="H82" t="s">
        <v>896</v>
      </c>
      <c r="I82" t="s">
        <v>602</v>
      </c>
      <c r="J82" t="s">
        <v>559</v>
      </c>
      <c r="K82" t="s">
        <v>562</v>
      </c>
      <c r="L82" t="s">
        <v>937</v>
      </c>
      <c r="M82" s="341" t="s">
        <v>982</v>
      </c>
      <c r="N82" s="58" t="s">
        <v>973</v>
      </c>
    </row>
    <row r="83" spans="2:14" ht="30" customHeight="1" x14ac:dyDescent="0.25">
      <c r="B83" t="s">
        <v>364</v>
      </c>
      <c r="C83" t="s">
        <v>196</v>
      </c>
      <c r="D83" s="342" t="s">
        <v>956</v>
      </c>
      <c r="E83" t="s">
        <v>384</v>
      </c>
      <c r="F83" s="47">
        <f>Summary!W27</f>
        <v>7100</v>
      </c>
      <c r="G83" t="s">
        <v>897</v>
      </c>
      <c r="H83" t="s">
        <v>896</v>
      </c>
      <c r="I83" s="58" t="s">
        <v>974</v>
      </c>
      <c r="J83" t="s">
        <v>559</v>
      </c>
      <c r="K83" t="s">
        <v>562</v>
      </c>
      <c r="L83" s="58" t="s">
        <v>971</v>
      </c>
      <c r="M83" t="s">
        <v>961</v>
      </c>
      <c r="N83" s="58" t="s">
        <v>983</v>
      </c>
    </row>
    <row r="84" spans="2:14" x14ac:dyDescent="0.25">
      <c r="B84" t="s">
        <v>364</v>
      </c>
      <c r="C84" t="s">
        <v>196</v>
      </c>
      <c r="D84" s="342" t="s">
        <v>957</v>
      </c>
      <c r="E84" t="s">
        <v>384</v>
      </c>
      <c r="F84" s="47">
        <f>ROUND(Spnrs!BO44,-2)</f>
        <v>5200</v>
      </c>
      <c r="G84" t="s">
        <v>897</v>
      </c>
      <c r="H84" t="s">
        <v>896</v>
      </c>
      <c r="I84" t="s">
        <v>598</v>
      </c>
      <c r="J84" t="s">
        <v>559</v>
      </c>
      <c r="K84" t="s">
        <v>562</v>
      </c>
      <c r="L84" t="s">
        <v>940</v>
      </c>
      <c r="M84" s="341" t="s">
        <v>569</v>
      </c>
      <c r="N84" s="58" t="s">
        <v>975</v>
      </c>
    </row>
    <row r="85" spans="2:14" x14ac:dyDescent="0.25">
      <c r="B85" t="s">
        <v>364</v>
      </c>
      <c r="C85" t="s">
        <v>196</v>
      </c>
      <c r="D85" s="342" t="s">
        <v>958</v>
      </c>
      <c r="E85" t="s">
        <v>384</v>
      </c>
      <c r="F85" s="47">
        <f>Spnrs!BP44</f>
        <v>1900</v>
      </c>
      <c r="G85" t="s">
        <v>897</v>
      </c>
      <c r="H85" t="s">
        <v>896</v>
      </c>
      <c r="I85" t="s">
        <v>602</v>
      </c>
      <c r="J85" t="s">
        <v>559</v>
      </c>
      <c r="K85" t="s">
        <v>562</v>
      </c>
      <c r="L85" t="s">
        <v>937</v>
      </c>
      <c r="M85" s="341" t="s">
        <v>982</v>
      </c>
      <c r="N85" s="58" t="s">
        <v>976</v>
      </c>
    </row>
    <row r="86" spans="2:14" x14ac:dyDescent="0.25">
      <c r="B86" t="s">
        <v>364</v>
      </c>
      <c r="C86" t="s">
        <v>196</v>
      </c>
      <c r="D86" s="342" t="s">
        <v>959</v>
      </c>
      <c r="E86" t="s">
        <v>384</v>
      </c>
      <c r="F86" s="47">
        <f>Summary!W30</f>
        <v>7000</v>
      </c>
      <c r="G86" t="s">
        <v>897</v>
      </c>
      <c r="H86" t="s">
        <v>896</v>
      </c>
      <c r="I86" t="s">
        <v>594</v>
      </c>
      <c r="J86" t="s">
        <v>559</v>
      </c>
      <c r="K86" t="s">
        <v>559</v>
      </c>
      <c r="L86" t="s">
        <v>577</v>
      </c>
      <c r="M86" s="341" t="s">
        <v>570</v>
      </c>
      <c r="N86" s="58" t="s">
        <v>917</v>
      </c>
    </row>
    <row r="87" spans="2:14" x14ac:dyDescent="0.25">
      <c r="B87" t="s">
        <v>364</v>
      </c>
      <c r="C87" t="s">
        <v>196</v>
      </c>
      <c r="D87" s="342" t="s">
        <v>11</v>
      </c>
      <c r="E87" t="s">
        <v>385</v>
      </c>
      <c r="F87" s="47">
        <f>Summary!X5</f>
        <v>3100</v>
      </c>
      <c r="G87" t="s">
        <v>897</v>
      </c>
      <c r="H87" t="s">
        <v>896</v>
      </c>
      <c r="I87" t="s">
        <v>918</v>
      </c>
      <c r="J87" t="s">
        <v>559</v>
      </c>
      <c r="K87" t="s">
        <v>601</v>
      </c>
      <c r="L87" t="s">
        <v>895</v>
      </c>
      <c r="M87" s="341" t="s">
        <v>600</v>
      </c>
    </row>
    <row r="88" spans="2:14" x14ac:dyDescent="0.25">
      <c r="B88" t="s">
        <v>364</v>
      </c>
      <c r="C88" t="s">
        <v>196</v>
      </c>
      <c r="D88" s="342" t="s">
        <v>948</v>
      </c>
      <c r="E88" t="s">
        <v>385</v>
      </c>
      <c r="F88" s="47">
        <f>Summary!X6</f>
        <v>4100</v>
      </c>
      <c r="G88" t="s">
        <v>897</v>
      </c>
      <c r="H88" t="s">
        <v>896</v>
      </c>
      <c r="I88" t="s">
        <v>918</v>
      </c>
      <c r="J88" t="s">
        <v>559</v>
      </c>
      <c r="K88" t="s">
        <v>601</v>
      </c>
      <c r="L88" t="s">
        <v>895</v>
      </c>
      <c r="M88" s="341" t="s">
        <v>600</v>
      </c>
    </row>
    <row r="89" spans="2:14" x14ac:dyDescent="0.25">
      <c r="B89" t="s">
        <v>364</v>
      </c>
      <c r="C89" t="s">
        <v>196</v>
      </c>
      <c r="D89" s="342" t="s">
        <v>949</v>
      </c>
      <c r="E89" t="s">
        <v>385</v>
      </c>
      <c r="F89" s="47">
        <f>Summary!X7</f>
        <v>2400</v>
      </c>
      <c r="G89" t="s">
        <v>897</v>
      </c>
      <c r="H89" t="s">
        <v>896</v>
      </c>
      <c r="I89" t="s">
        <v>918</v>
      </c>
      <c r="J89" t="s">
        <v>559</v>
      </c>
      <c r="K89" t="s">
        <v>601</v>
      </c>
      <c r="L89" t="s">
        <v>895</v>
      </c>
      <c r="M89" s="341" t="s">
        <v>600</v>
      </c>
    </row>
    <row r="90" spans="2:14" x14ac:dyDescent="0.25">
      <c r="B90" t="s">
        <v>364</v>
      </c>
      <c r="C90" t="s">
        <v>196</v>
      </c>
      <c r="D90" s="342" t="s">
        <v>61</v>
      </c>
      <c r="E90" t="s">
        <v>385</v>
      </c>
      <c r="F90" s="47">
        <f>Summary!X8</f>
        <v>6000</v>
      </c>
      <c r="G90" t="s">
        <v>897</v>
      </c>
      <c r="H90" t="s">
        <v>896</v>
      </c>
      <c r="I90" t="s">
        <v>918</v>
      </c>
      <c r="J90" t="s">
        <v>559</v>
      </c>
      <c r="K90" t="s">
        <v>601</v>
      </c>
      <c r="L90" t="s">
        <v>895</v>
      </c>
      <c r="M90" s="341" t="s">
        <v>600</v>
      </c>
    </row>
    <row r="91" spans="2:14" x14ac:dyDescent="0.25">
      <c r="B91" t="s">
        <v>364</v>
      </c>
      <c r="C91" t="s">
        <v>196</v>
      </c>
      <c r="D91" s="342" t="s">
        <v>265</v>
      </c>
      <c r="E91" t="s">
        <v>385</v>
      </c>
      <c r="F91" s="47">
        <f>Summary!X9</f>
        <v>3300</v>
      </c>
      <c r="G91" t="s">
        <v>897</v>
      </c>
      <c r="H91" t="s">
        <v>896</v>
      </c>
      <c r="I91" t="s">
        <v>918</v>
      </c>
      <c r="J91" t="s">
        <v>559</v>
      </c>
      <c r="K91" t="s">
        <v>601</v>
      </c>
      <c r="L91" t="s">
        <v>895</v>
      </c>
      <c r="M91" s="341" t="s">
        <v>600</v>
      </c>
    </row>
    <row r="92" spans="2:14" x14ac:dyDescent="0.25">
      <c r="B92" t="s">
        <v>364</v>
      </c>
      <c r="C92" t="s">
        <v>196</v>
      </c>
      <c r="D92" s="342" t="s">
        <v>62</v>
      </c>
      <c r="E92" t="s">
        <v>385</v>
      </c>
      <c r="F92" s="47">
        <f>Summary!X10</f>
        <v>6400</v>
      </c>
      <c r="G92" t="s">
        <v>897</v>
      </c>
      <c r="H92" t="s">
        <v>896</v>
      </c>
      <c r="I92" t="s">
        <v>918</v>
      </c>
      <c r="J92" t="s">
        <v>559</v>
      </c>
      <c r="K92" t="s">
        <v>601</v>
      </c>
      <c r="L92" t="s">
        <v>895</v>
      </c>
      <c r="M92" s="341" t="s">
        <v>600</v>
      </c>
    </row>
    <row r="93" spans="2:14" x14ac:dyDescent="0.25">
      <c r="B93" t="s">
        <v>364</v>
      </c>
      <c r="C93" t="s">
        <v>196</v>
      </c>
      <c r="D93" s="342" t="s">
        <v>245</v>
      </c>
      <c r="E93" t="s">
        <v>385</v>
      </c>
      <c r="F93" s="47">
        <f>Summary!X11</f>
        <v>3700</v>
      </c>
      <c r="G93" t="s">
        <v>897</v>
      </c>
      <c r="H93" t="s">
        <v>896</v>
      </c>
      <c r="I93" t="s">
        <v>918</v>
      </c>
      <c r="J93" t="s">
        <v>559</v>
      </c>
      <c r="K93" t="s">
        <v>601</v>
      </c>
      <c r="L93" t="s">
        <v>895</v>
      </c>
      <c r="M93" s="341" t="s">
        <v>600</v>
      </c>
    </row>
    <row r="94" spans="2:14" x14ac:dyDescent="0.25">
      <c r="B94" t="s">
        <v>364</v>
      </c>
      <c r="C94" t="s">
        <v>196</v>
      </c>
      <c r="D94" s="342" t="s">
        <v>573</v>
      </c>
      <c r="E94" t="s">
        <v>385</v>
      </c>
      <c r="F94" s="47">
        <f>Summary!X12</f>
        <v>9700</v>
      </c>
      <c r="G94" t="s">
        <v>897</v>
      </c>
      <c r="H94" t="s">
        <v>896</v>
      </c>
      <c r="I94" t="s">
        <v>918</v>
      </c>
      <c r="J94" t="s">
        <v>559</v>
      </c>
      <c r="K94" t="s">
        <v>601</v>
      </c>
      <c r="L94" t="s">
        <v>895</v>
      </c>
      <c r="M94" s="341" t="s">
        <v>600</v>
      </c>
    </row>
    <row r="95" spans="2:14" x14ac:dyDescent="0.25">
      <c r="B95" t="s">
        <v>364</v>
      </c>
      <c r="C95" t="s">
        <v>196</v>
      </c>
      <c r="D95" s="342" t="s">
        <v>64</v>
      </c>
      <c r="E95" t="s">
        <v>385</v>
      </c>
      <c r="F95" s="47">
        <f>Summary!X13</f>
        <v>3700</v>
      </c>
      <c r="G95" t="s">
        <v>897</v>
      </c>
      <c r="H95" t="s">
        <v>896</v>
      </c>
      <c r="I95" t="s">
        <v>918</v>
      </c>
      <c r="J95" t="s">
        <v>559</v>
      </c>
      <c r="K95" t="s">
        <v>601</v>
      </c>
      <c r="L95" t="s">
        <v>895</v>
      </c>
      <c r="M95" s="341" t="s">
        <v>600</v>
      </c>
    </row>
    <row r="96" spans="2:14" x14ac:dyDescent="0.25">
      <c r="B96" t="s">
        <v>364</v>
      </c>
      <c r="C96" t="s">
        <v>196</v>
      </c>
      <c r="D96" s="342" t="s">
        <v>950</v>
      </c>
      <c r="E96" t="s">
        <v>385</v>
      </c>
      <c r="F96" s="47">
        <f>Summary!X14</f>
        <v>3000</v>
      </c>
      <c r="G96" t="s">
        <v>897</v>
      </c>
      <c r="H96" t="s">
        <v>896</v>
      </c>
      <c r="I96" t="s">
        <v>918</v>
      </c>
      <c r="J96" t="s">
        <v>559</v>
      </c>
      <c r="K96" t="s">
        <v>601</v>
      </c>
      <c r="L96" t="s">
        <v>895</v>
      </c>
      <c r="M96" s="341" t="s">
        <v>600</v>
      </c>
    </row>
    <row r="97" spans="2:14" x14ac:dyDescent="0.25">
      <c r="B97" t="s">
        <v>364</v>
      </c>
      <c r="C97" t="s">
        <v>196</v>
      </c>
      <c r="D97" s="342" t="s">
        <v>645</v>
      </c>
      <c r="E97" t="s">
        <v>385</v>
      </c>
      <c r="F97" s="47">
        <f>Summary!X15</f>
        <v>3000</v>
      </c>
      <c r="G97" t="s">
        <v>897</v>
      </c>
      <c r="H97" t="s">
        <v>896</v>
      </c>
      <c r="I97" t="s">
        <v>918</v>
      </c>
      <c r="J97" t="s">
        <v>559</v>
      </c>
      <c r="K97" t="s">
        <v>601</v>
      </c>
      <c r="L97" t="s">
        <v>895</v>
      </c>
      <c r="M97" s="341" t="s">
        <v>600</v>
      </c>
    </row>
    <row r="98" spans="2:14" x14ac:dyDescent="0.25">
      <c r="B98" t="s">
        <v>364</v>
      </c>
      <c r="C98" t="s">
        <v>196</v>
      </c>
      <c r="D98" s="342" t="s">
        <v>951</v>
      </c>
      <c r="E98" t="s">
        <v>385</v>
      </c>
      <c r="F98" s="47">
        <f>Summary!X16</f>
        <v>12800</v>
      </c>
      <c r="G98" t="s">
        <v>897</v>
      </c>
      <c r="H98" t="s">
        <v>896</v>
      </c>
      <c r="I98" t="s">
        <v>918</v>
      </c>
      <c r="J98" t="s">
        <v>559</v>
      </c>
      <c r="K98" t="s">
        <v>601</v>
      </c>
      <c r="L98" t="s">
        <v>895</v>
      </c>
      <c r="M98" s="341" t="s">
        <v>600</v>
      </c>
    </row>
    <row r="99" spans="2:14" x14ac:dyDescent="0.25">
      <c r="B99" t="s">
        <v>364</v>
      </c>
      <c r="C99" t="s">
        <v>196</v>
      </c>
      <c r="D99" s="342" t="s">
        <v>68</v>
      </c>
      <c r="E99" t="s">
        <v>385</v>
      </c>
      <c r="F99" s="47">
        <f>Summary!X17</f>
        <v>3700</v>
      </c>
      <c r="G99" t="s">
        <v>897</v>
      </c>
      <c r="H99" t="s">
        <v>896</v>
      </c>
      <c r="I99" t="s">
        <v>918</v>
      </c>
      <c r="J99" t="s">
        <v>559</v>
      </c>
      <c r="K99" t="s">
        <v>601</v>
      </c>
      <c r="L99" t="s">
        <v>895</v>
      </c>
      <c r="M99" s="341" t="s">
        <v>600</v>
      </c>
    </row>
    <row r="100" spans="2:14" x14ac:dyDescent="0.25">
      <c r="B100" t="s">
        <v>364</v>
      </c>
      <c r="C100" t="s">
        <v>196</v>
      </c>
      <c r="D100" s="342" t="s">
        <v>69</v>
      </c>
      <c r="E100" t="s">
        <v>385</v>
      </c>
      <c r="F100" s="47">
        <f>Summary!X18</f>
        <v>2700</v>
      </c>
      <c r="G100" t="s">
        <v>897</v>
      </c>
      <c r="H100" t="s">
        <v>896</v>
      </c>
      <c r="I100" t="s">
        <v>918</v>
      </c>
      <c r="J100" t="s">
        <v>559</v>
      </c>
      <c r="K100" t="s">
        <v>601</v>
      </c>
      <c r="L100" t="s">
        <v>895</v>
      </c>
      <c r="M100" s="341" t="s">
        <v>600</v>
      </c>
    </row>
    <row r="101" spans="2:14" x14ac:dyDescent="0.25">
      <c r="B101" t="s">
        <v>364</v>
      </c>
      <c r="C101" t="s">
        <v>196</v>
      </c>
      <c r="D101" s="342" t="s">
        <v>16</v>
      </c>
      <c r="E101" t="s">
        <v>385</v>
      </c>
      <c r="F101" s="47">
        <f>Summary!X19</f>
        <v>750</v>
      </c>
      <c r="G101" t="s">
        <v>897</v>
      </c>
      <c r="H101" t="s">
        <v>896</v>
      </c>
      <c r="I101" t="s">
        <v>918</v>
      </c>
      <c r="J101" t="s">
        <v>559</v>
      </c>
      <c r="K101" t="s">
        <v>601</v>
      </c>
      <c r="L101" t="s">
        <v>895</v>
      </c>
      <c r="M101" s="341" t="s">
        <v>600</v>
      </c>
    </row>
    <row r="102" spans="2:14" x14ac:dyDescent="0.25">
      <c r="B102" t="s">
        <v>364</v>
      </c>
      <c r="C102" t="s">
        <v>196</v>
      </c>
      <c r="D102" s="342" t="s">
        <v>952</v>
      </c>
      <c r="E102" t="s">
        <v>385</v>
      </c>
      <c r="F102" s="47">
        <f>Summary!X20</f>
        <v>10750</v>
      </c>
      <c r="G102" t="s">
        <v>897</v>
      </c>
      <c r="H102" t="s">
        <v>896</v>
      </c>
      <c r="I102" t="s">
        <v>918</v>
      </c>
      <c r="J102" t="s">
        <v>559</v>
      </c>
      <c r="K102" t="s">
        <v>601</v>
      </c>
      <c r="L102" t="s">
        <v>895</v>
      </c>
      <c r="M102" s="341" t="s">
        <v>600</v>
      </c>
      <c r="N102" s="362" t="s">
        <v>660</v>
      </c>
    </row>
    <row r="103" spans="2:14" x14ac:dyDescent="0.25">
      <c r="B103" t="s">
        <v>364</v>
      </c>
      <c r="C103" t="s">
        <v>196</v>
      </c>
      <c r="D103" s="342" t="s">
        <v>953</v>
      </c>
      <c r="E103" t="s">
        <v>385</v>
      </c>
      <c r="F103" s="47">
        <f>Summary!X21</f>
        <v>2650</v>
      </c>
      <c r="G103" t="s">
        <v>897</v>
      </c>
      <c r="H103" t="s">
        <v>896</v>
      </c>
      <c r="I103" t="s">
        <v>918</v>
      </c>
      <c r="J103" t="s">
        <v>559</v>
      </c>
      <c r="K103" t="s">
        <v>601</v>
      </c>
      <c r="L103" t="s">
        <v>895</v>
      </c>
      <c r="M103" s="341" t="s">
        <v>600</v>
      </c>
    </row>
    <row r="104" spans="2:14" x14ac:dyDescent="0.25">
      <c r="B104" t="s">
        <v>364</v>
      </c>
      <c r="C104" t="s">
        <v>196</v>
      </c>
      <c r="D104" s="342" t="s">
        <v>17</v>
      </c>
      <c r="E104" t="s">
        <v>385</v>
      </c>
      <c r="F104" s="47">
        <f>Summary!X22</f>
        <v>2900</v>
      </c>
      <c r="G104" t="s">
        <v>897</v>
      </c>
      <c r="H104" t="s">
        <v>896</v>
      </c>
      <c r="I104" t="s">
        <v>918</v>
      </c>
      <c r="J104" t="s">
        <v>559</v>
      </c>
      <c r="K104" t="s">
        <v>601</v>
      </c>
      <c r="L104" t="s">
        <v>895</v>
      </c>
      <c r="M104" s="341" t="s">
        <v>600</v>
      </c>
    </row>
    <row r="105" spans="2:14" x14ac:dyDescent="0.25">
      <c r="B105" t="s">
        <v>364</v>
      </c>
      <c r="C105" t="s">
        <v>196</v>
      </c>
      <c r="D105" s="342" t="s">
        <v>53</v>
      </c>
      <c r="E105" t="s">
        <v>385</v>
      </c>
      <c r="F105" s="47">
        <f>Summary!X23</f>
        <v>2450</v>
      </c>
      <c r="G105" t="s">
        <v>897</v>
      </c>
      <c r="H105" t="s">
        <v>896</v>
      </c>
      <c r="I105" t="s">
        <v>918</v>
      </c>
      <c r="J105" t="s">
        <v>559</v>
      </c>
      <c r="K105" t="s">
        <v>601</v>
      </c>
      <c r="L105" t="s">
        <v>895</v>
      </c>
      <c r="M105" s="341" t="s">
        <v>600</v>
      </c>
    </row>
    <row r="106" spans="2:14" x14ac:dyDescent="0.25">
      <c r="B106" t="s">
        <v>364</v>
      </c>
      <c r="C106" t="s">
        <v>196</v>
      </c>
      <c r="D106" s="342" t="s">
        <v>72</v>
      </c>
      <c r="E106" t="s">
        <v>385</v>
      </c>
      <c r="F106" s="47">
        <f>Summary!X24</f>
        <v>6100</v>
      </c>
      <c r="G106" t="s">
        <v>897</v>
      </c>
      <c r="H106" t="s">
        <v>896</v>
      </c>
      <c r="I106" t="s">
        <v>918</v>
      </c>
      <c r="J106" t="s">
        <v>559</v>
      </c>
      <c r="K106" t="s">
        <v>601</v>
      </c>
      <c r="L106" t="s">
        <v>895</v>
      </c>
      <c r="M106" s="341" t="s">
        <v>600</v>
      </c>
    </row>
    <row r="107" spans="2:14" x14ac:dyDescent="0.25">
      <c r="B107" t="s">
        <v>364</v>
      </c>
      <c r="C107" t="s">
        <v>196</v>
      </c>
      <c r="D107" s="342" t="s">
        <v>73</v>
      </c>
      <c r="E107" t="s">
        <v>385</v>
      </c>
      <c r="F107" s="47">
        <f>Summary!X25</f>
        <v>14450</v>
      </c>
      <c r="G107" t="s">
        <v>897</v>
      </c>
      <c r="H107" t="s">
        <v>896</v>
      </c>
      <c r="I107" t="s">
        <v>918</v>
      </c>
      <c r="J107" t="s">
        <v>559</v>
      </c>
      <c r="K107" t="s">
        <v>601</v>
      </c>
      <c r="L107" t="s">
        <v>895</v>
      </c>
      <c r="M107" s="341" t="s">
        <v>600</v>
      </c>
      <c r="N107" s="362" t="s">
        <v>653</v>
      </c>
    </row>
    <row r="108" spans="2:14" x14ac:dyDescent="0.25">
      <c r="B108" t="s">
        <v>364</v>
      </c>
      <c r="C108" t="s">
        <v>196</v>
      </c>
      <c r="D108" s="342" t="s">
        <v>544</v>
      </c>
      <c r="E108" t="s">
        <v>385</v>
      </c>
      <c r="F108" s="47">
        <f>Summary!X26</f>
        <v>5800</v>
      </c>
      <c r="G108" t="s">
        <v>897</v>
      </c>
      <c r="H108" t="s">
        <v>896</v>
      </c>
      <c r="I108" t="s">
        <v>918</v>
      </c>
      <c r="J108" t="s">
        <v>559</v>
      </c>
      <c r="K108" t="s">
        <v>601</v>
      </c>
      <c r="L108" t="s">
        <v>895</v>
      </c>
      <c r="M108" s="341" t="s">
        <v>600</v>
      </c>
    </row>
    <row r="109" spans="2:14" x14ac:dyDescent="0.25">
      <c r="B109" t="s">
        <v>364</v>
      </c>
      <c r="C109" t="s">
        <v>196</v>
      </c>
      <c r="D109" s="342" t="s">
        <v>956</v>
      </c>
      <c r="E109" t="s">
        <v>385</v>
      </c>
      <c r="F109" s="47">
        <f>Summary!X27</f>
        <v>9100</v>
      </c>
      <c r="G109" t="s">
        <v>897</v>
      </c>
      <c r="H109" t="s">
        <v>896</v>
      </c>
      <c r="I109" t="s">
        <v>918</v>
      </c>
      <c r="J109" t="s">
        <v>559</v>
      </c>
      <c r="K109" t="s">
        <v>601</v>
      </c>
      <c r="L109" t="s">
        <v>895</v>
      </c>
      <c r="M109" s="341" t="s">
        <v>600</v>
      </c>
    </row>
    <row r="110" spans="2:14" x14ac:dyDescent="0.25">
      <c r="B110" t="s">
        <v>364</v>
      </c>
      <c r="C110" t="s">
        <v>196</v>
      </c>
      <c r="D110" s="342" t="s">
        <v>959</v>
      </c>
      <c r="E110" t="s">
        <v>385</v>
      </c>
      <c r="F110" s="47">
        <f>Summary!X30</f>
        <v>7000</v>
      </c>
      <c r="G110" t="s">
        <v>897</v>
      </c>
      <c r="H110" t="s">
        <v>896</v>
      </c>
      <c r="I110" t="s">
        <v>918</v>
      </c>
      <c r="J110" t="s">
        <v>559</v>
      </c>
      <c r="K110" t="s">
        <v>559</v>
      </c>
      <c r="L110" t="s">
        <v>577</v>
      </c>
      <c r="M110" s="341" t="s">
        <v>570</v>
      </c>
      <c r="N110" s="58" t="s">
        <v>917</v>
      </c>
    </row>
    <row r="111" spans="2:14" x14ac:dyDescent="0.25">
      <c r="B111" t="s">
        <v>364</v>
      </c>
      <c r="C111" t="s">
        <v>196</v>
      </c>
      <c r="D111" s="342" t="s">
        <v>11</v>
      </c>
      <c r="E111" t="s">
        <v>383</v>
      </c>
      <c r="F111" s="47">
        <f>Summary!Y5</f>
        <v>3800</v>
      </c>
      <c r="G111" t="s">
        <v>897</v>
      </c>
      <c r="H111" t="s">
        <v>896</v>
      </c>
      <c r="I111" t="s">
        <v>604</v>
      </c>
      <c r="J111" t="s">
        <v>559</v>
      </c>
      <c r="K111" t="s">
        <v>605</v>
      </c>
      <c r="L111" t="s">
        <v>924</v>
      </c>
      <c r="M111" s="341" t="s">
        <v>603</v>
      </c>
      <c r="N111" t="s">
        <v>987</v>
      </c>
    </row>
    <row r="112" spans="2:14" x14ac:dyDescent="0.25">
      <c r="B112" t="s">
        <v>364</v>
      </c>
      <c r="C112" t="s">
        <v>196</v>
      </c>
      <c r="D112" s="342" t="s">
        <v>948</v>
      </c>
      <c r="E112" t="s">
        <v>383</v>
      </c>
      <c r="F112" s="47">
        <f>Summary!Y6</f>
        <v>5800</v>
      </c>
      <c r="G112" t="s">
        <v>897</v>
      </c>
      <c r="H112" t="s">
        <v>896</v>
      </c>
      <c r="I112" t="s">
        <v>604</v>
      </c>
      <c r="J112" t="s">
        <v>559</v>
      </c>
      <c r="K112" t="s">
        <v>605</v>
      </c>
      <c r="L112" t="s">
        <v>925</v>
      </c>
      <c r="M112" s="341" t="s">
        <v>603</v>
      </c>
      <c r="N112" t="s">
        <v>988</v>
      </c>
    </row>
    <row r="113" spans="2:14" x14ac:dyDescent="0.25">
      <c r="B113" t="s">
        <v>364</v>
      </c>
      <c r="C113" t="s">
        <v>196</v>
      </c>
      <c r="D113" s="342" t="s">
        <v>949</v>
      </c>
      <c r="E113" t="s">
        <v>383</v>
      </c>
      <c r="F113" s="47">
        <f>Summary!Y7</f>
        <v>3000</v>
      </c>
      <c r="G113" t="s">
        <v>897</v>
      </c>
      <c r="H113" t="s">
        <v>896</v>
      </c>
      <c r="I113" t="s">
        <v>604</v>
      </c>
      <c r="J113" t="s">
        <v>559</v>
      </c>
      <c r="K113" t="s">
        <v>605</v>
      </c>
      <c r="L113" t="s">
        <v>938</v>
      </c>
      <c r="M113" s="341" t="s">
        <v>603</v>
      </c>
    </row>
    <row r="114" spans="2:14" x14ac:dyDescent="0.25">
      <c r="B114" t="s">
        <v>364</v>
      </c>
      <c r="C114" t="s">
        <v>196</v>
      </c>
      <c r="D114" s="342" t="s">
        <v>61</v>
      </c>
      <c r="E114" t="s">
        <v>383</v>
      </c>
      <c r="F114" s="47">
        <f>Summary!Y8</f>
        <v>11900</v>
      </c>
      <c r="G114" t="s">
        <v>897</v>
      </c>
      <c r="H114" t="s">
        <v>896</v>
      </c>
      <c r="I114" t="s">
        <v>598</v>
      </c>
      <c r="J114" t="s">
        <v>559</v>
      </c>
      <c r="K114" t="s">
        <v>663</v>
      </c>
      <c r="L114" t="s">
        <v>941</v>
      </c>
      <c r="M114" s="341" t="s">
        <v>569</v>
      </c>
    </row>
    <row r="115" spans="2:14" x14ac:dyDescent="0.25">
      <c r="B115" t="s">
        <v>364</v>
      </c>
      <c r="C115" t="s">
        <v>196</v>
      </c>
      <c r="D115" s="342" t="s">
        <v>265</v>
      </c>
      <c r="E115" t="s">
        <v>383</v>
      </c>
      <c r="F115" s="47">
        <f>Summary!Y9</f>
        <v>6300</v>
      </c>
      <c r="G115" t="s">
        <v>897</v>
      </c>
      <c r="H115" t="s">
        <v>896</v>
      </c>
      <c r="I115" t="s">
        <v>598</v>
      </c>
      <c r="J115" t="s">
        <v>559</v>
      </c>
      <c r="K115" t="s">
        <v>663</v>
      </c>
      <c r="L115" t="s">
        <v>941</v>
      </c>
      <c r="M115" s="341" t="s">
        <v>569</v>
      </c>
    </row>
    <row r="116" spans="2:14" ht="30" x14ac:dyDescent="0.25">
      <c r="B116" t="s">
        <v>364</v>
      </c>
      <c r="C116" t="s">
        <v>196</v>
      </c>
      <c r="D116" s="342" t="s">
        <v>62</v>
      </c>
      <c r="E116" t="s">
        <v>383</v>
      </c>
      <c r="F116" s="47">
        <f>Summary!Y10</f>
        <v>9600</v>
      </c>
      <c r="G116" t="s">
        <v>897</v>
      </c>
      <c r="H116" t="s">
        <v>896</v>
      </c>
      <c r="I116" t="s">
        <v>662</v>
      </c>
      <c r="J116" t="s">
        <v>559</v>
      </c>
      <c r="K116" t="s">
        <v>942</v>
      </c>
      <c r="L116" t="s">
        <v>895</v>
      </c>
      <c r="M116" s="341" t="s">
        <v>600</v>
      </c>
      <c r="N116" s="58" t="s">
        <v>664</v>
      </c>
    </row>
    <row r="117" spans="2:14" x14ac:dyDescent="0.25">
      <c r="B117" t="s">
        <v>364</v>
      </c>
      <c r="C117" t="s">
        <v>196</v>
      </c>
      <c r="D117" s="342" t="s">
        <v>245</v>
      </c>
      <c r="E117" t="s">
        <v>383</v>
      </c>
      <c r="F117" s="47">
        <f>Summary!$Y$11</f>
        <v>4200</v>
      </c>
      <c r="G117" t="s">
        <v>897</v>
      </c>
      <c r="H117" t="s">
        <v>896</v>
      </c>
      <c r="I117" t="s">
        <v>598</v>
      </c>
      <c r="J117" t="s">
        <v>559</v>
      </c>
      <c r="K117" t="s">
        <v>663</v>
      </c>
      <c r="L117" t="s">
        <v>941</v>
      </c>
      <c r="M117" s="341" t="s">
        <v>569</v>
      </c>
    </row>
    <row r="118" spans="2:14" x14ac:dyDescent="0.25">
      <c r="B118" t="s">
        <v>364</v>
      </c>
      <c r="C118" t="s">
        <v>196</v>
      </c>
      <c r="D118" s="342" t="s">
        <v>573</v>
      </c>
      <c r="E118" t="s">
        <v>383</v>
      </c>
      <c r="F118" s="47">
        <f>Summary!Y12</f>
        <v>15700</v>
      </c>
      <c r="G118" t="s">
        <v>897</v>
      </c>
      <c r="H118" t="s">
        <v>896</v>
      </c>
      <c r="I118" t="s">
        <v>604</v>
      </c>
      <c r="J118" t="s">
        <v>559</v>
      </c>
      <c r="K118" t="s">
        <v>605</v>
      </c>
      <c r="L118" t="s">
        <v>926</v>
      </c>
      <c r="M118" s="341" t="s">
        <v>603</v>
      </c>
    </row>
    <row r="119" spans="2:14" x14ac:dyDescent="0.25">
      <c r="B119" t="s">
        <v>364</v>
      </c>
      <c r="C119" t="s">
        <v>196</v>
      </c>
      <c r="D119" s="342" t="s">
        <v>64</v>
      </c>
      <c r="E119" t="s">
        <v>383</v>
      </c>
      <c r="F119" s="47">
        <f>Summary!Y13</f>
        <v>6200</v>
      </c>
      <c r="G119" t="s">
        <v>897</v>
      </c>
      <c r="H119" t="s">
        <v>896</v>
      </c>
      <c r="I119" t="s">
        <v>604</v>
      </c>
      <c r="J119" t="s">
        <v>559</v>
      </c>
      <c r="K119" t="s">
        <v>605</v>
      </c>
      <c r="L119" t="s">
        <v>927</v>
      </c>
      <c r="M119" s="341" t="s">
        <v>603</v>
      </c>
    </row>
    <row r="120" spans="2:14" x14ac:dyDescent="0.25">
      <c r="B120" t="s">
        <v>364</v>
      </c>
      <c r="C120" t="s">
        <v>196</v>
      </c>
      <c r="D120" s="342" t="s">
        <v>950</v>
      </c>
      <c r="E120" t="s">
        <v>383</v>
      </c>
      <c r="F120" s="47">
        <f>Summary!Y14</f>
        <v>4100</v>
      </c>
      <c r="G120" t="s">
        <v>897</v>
      </c>
      <c r="H120" t="s">
        <v>896</v>
      </c>
      <c r="I120" t="s">
        <v>604</v>
      </c>
      <c r="J120" t="s">
        <v>559</v>
      </c>
      <c r="K120" t="s">
        <v>605</v>
      </c>
      <c r="L120" t="s">
        <v>928</v>
      </c>
      <c r="M120" s="341" t="s">
        <v>603</v>
      </c>
      <c r="N120" s="58" t="s">
        <v>606</v>
      </c>
    </row>
    <row r="121" spans="2:14" x14ac:dyDescent="0.25">
      <c r="B121" t="s">
        <v>364</v>
      </c>
      <c r="C121" t="s">
        <v>196</v>
      </c>
      <c r="D121" s="342" t="s">
        <v>645</v>
      </c>
      <c r="E121" t="s">
        <v>383</v>
      </c>
      <c r="F121" s="47">
        <f>Summary!Y15</f>
        <v>4100</v>
      </c>
      <c r="G121" t="s">
        <v>897</v>
      </c>
      <c r="H121" t="s">
        <v>896</v>
      </c>
      <c r="I121" t="s">
        <v>604</v>
      </c>
      <c r="J121" t="s">
        <v>559</v>
      </c>
      <c r="K121" t="s">
        <v>605</v>
      </c>
      <c r="L121" t="s">
        <v>929</v>
      </c>
      <c r="M121" s="341" t="s">
        <v>603</v>
      </c>
      <c r="N121" s="58" t="s">
        <v>606</v>
      </c>
    </row>
    <row r="122" spans="2:14" x14ac:dyDescent="0.25">
      <c r="B122" t="s">
        <v>364</v>
      </c>
      <c r="C122" t="s">
        <v>196</v>
      </c>
      <c r="D122" s="342" t="s">
        <v>951</v>
      </c>
      <c r="E122" t="s">
        <v>383</v>
      </c>
      <c r="F122" s="47">
        <f>Summary!Y16</f>
        <v>23600</v>
      </c>
      <c r="G122" t="s">
        <v>897</v>
      </c>
      <c r="H122" t="s">
        <v>896</v>
      </c>
      <c r="I122" t="s">
        <v>604</v>
      </c>
      <c r="J122" t="s">
        <v>559</v>
      </c>
      <c r="K122" t="s">
        <v>605</v>
      </c>
      <c r="L122" t="s">
        <v>930</v>
      </c>
      <c r="M122" s="341" t="s">
        <v>603</v>
      </c>
    </row>
    <row r="123" spans="2:14" x14ac:dyDescent="0.25">
      <c r="B123" t="s">
        <v>364</v>
      </c>
      <c r="C123" t="s">
        <v>196</v>
      </c>
      <c r="D123" s="342" t="s">
        <v>68</v>
      </c>
      <c r="E123" t="s">
        <v>383</v>
      </c>
      <c r="F123" s="47">
        <f>Summary!Y17</f>
        <v>5400</v>
      </c>
      <c r="G123" t="s">
        <v>897</v>
      </c>
      <c r="H123" t="s">
        <v>896</v>
      </c>
      <c r="I123" t="s">
        <v>604</v>
      </c>
      <c r="J123" t="s">
        <v>559</v>
      </c>
      <c r="K123" t="s">
        <v>605</v>
      </c>
      <c r="L123" t="s">
        <v>931</v>
      </c>
      <c r="M123" s="341" t="s">
        <v>603</v>
      </c>
    </row>
    <row r="124" spans="2:14" x14ac:dyDescent="0.25">
      <c r="B124" t="s">
        <v>364</v>
      </c>
      <c r="C124" t="s">
        <v>196</v>
      </c>
      <c r="D124" s="342" t="s">
        <v>69</v>
      </c>
      <c r="E124" t="s">
        <v>383</v>
      </c>
      <c r="F124" s="47">
        <f>Summary!Y18</f>
        <v>3200</v>
      </c>
      <c r="G124" t="s">
        <v>897</v>
      </c>
      <c r="H124" t="s">
        <v>896</v>
      </c>
      <c r="I124" t="s">
        <v>604</v>
      </c>
      <c r="J124" t="s">
        <v>559</v>
      </c>
      <c r="K124" t="s">
        <v>605</v>
      </c>
      <c r="L124" t="s">
        <v>932</v>
      </c>
      <c r="M124" s="341" t="s">
        <v>603</v>
      </c>
    </row>
    <row r="125" spans="2:14" x14ac:dyDescent="0.25">
      <c r="B125" t="s">
        <v>364</v>
      </c>
      <c r="C125" t="s">
        <v>196</v>
      </c>
      <c r="D125" s="342" t="s">
        <v>16</v>
      </c>
      <c r="E125" t="s">
        <v>383</v>
      </c>
      <c r="F125" s="47">
        <f>Summary!Y19</f>
        <v>1000</v>
      </c>
      <c r="G125" t="s">
        <v>897</v>
      </c>
      <c r="H125" t="s">
        <v>896</v>
      </c>
      <c r="I125" t="s">
        <v>604</v>
      </c>
      <c r="J125" t="s">
        <v>559</v>
      </c>
      <c r="K125" t="s">
        <v>605</v>
      </c>
      <c r="L125" t="s">
        <v>933</v>
      </c>
      <c r="M125" s="341" t="s">
        <v>603</v>
      </c>
    </row>
    <row r="126" spans="2:14" x14ac:dyDescent="0.25">
      <c r="B126" t="s">
        <v>364</v>
      </c>
      <c r="C126" t="s">
        <v>196</v>
      </c>
      <c r="D126" s="342" t="s">
        <v>952</v>
      </c>
      <c r="E126" t="s">
        <v>383</v>
      </c>
      <c r="F126" s="47">
        <f>Summary!Y20</f>
        <v>21000</v>
      </c>
      <c r="G126" t="s">
        <v>897</v>
      </c>
      <c r="H126" t="s">
        <v>896</v>
      </c>
      <c r="I126" t="s">
        <v>604</v>
      </c>
      <c r="J126" t="s">
        <v>559</v>
      </c>
      <c r="K126" t="s">
        <v>605</v>
      </c>
      <c r="L126" t="s">
        <v>934</v>
      </c>
      <c r="M126" s="341" t="s">
        <v>603</v>
      </c>
      <c r="N126" t="s">
        <v>989</v>
      </c>
    </row>
    <row r="127" spans="2:14" x14ac:dyDescent="0.25">
      <c r="B127" t="s">
        <v>364</v>
      </c>
      <c r="C127" t="s">
        <v>196</v>
      </c>
      <c r="D127" s="342" t="s">
        <v>953</v>
      </c>
      <c r="E127" t="s">
        <v>383</v>
      </c>
      <c r="F127" s="47">
        <f>Summary!Y21</f>
        <v>3300</v>
      </c>
      <c r="G127" t="s">
        <v>897</v>
      </c>
      <c r="H127" t="s">
        <v>896</v>
      </c>
      <c r="I127" t="s">
        <v>604</v>
      </c>
      <c r="J127" t="s">
        <v>559</v>
      </c>
      <c r="K127" t="s">
        <v>605</v>
      </c>
      <c r="L127" t="s">
        <v>935</v>
      </c>
      <c r="M127" s="341" t="s">
        <v>603</v>
      </c>
    </row>
    <row r="128" spans="2:14" x14ac:dyDescent="0.25">
      <c r="B128" t="s">
        <v>364</v>
      </c>
      <c r="C128" t="s">
        <v>196</v>
      </c>
      <c r="D128" s="342" t="s">
        <v>17</v>
      </c>
      <c r="E128" t="s">
        <v>383</v>
      </c>
      <c r="F128" s="47">
        <f>Summary!Y22</f>
        <v>4600</v>
      </c>
      <c r="G128" t="s">
        <v>897</v>
      </c>
      <c r="H128" t="s">
        <v>896</v>
      </c>
      <c r="I128" t="s">
        <v>604</v>
      </c>
      <c r="J128" t="s">
        <v>559</v>
      </c>
      <c r="K128" t="s">
        <v>605</v>
      </c>
      <c r="L128" t="s">
        <v>923</v>
      </c>
      <c r="M128" s="341" t="s">
        <v>603</v>
      </c>
    </row>
    <row r="129" spans="2:14" x14ac:dyDescent="0.25">
      <c r="B129" t="s">
        <v>364</v>
      </c>
      <c r="C129" t="s">
        <v>196</v>
      </c>
      <c r="D129" s="342" t="s">
        <v>53</v>
      </c>
      <c r="E129" t="s">
        <v>383</v>
      </c>
      <c r="F129" s="47">
        <f>Summary!Y23</f>
        <v>3400</v>
      </c>
      <c r="G129" t="s">
        <v>897</v>
      </c>
      <c r="H129" t="s">
        <v>896</v>
      </c>
      <c r="I129" t="s">
        <v>604</v>
      </c>
      <c r="J129" t="s">
        <v>559</v>
      </c>
      <c r="K129" t="s">
        <v>605</v>
      </c>
      <c r="L129" t="s">
        <v>936</v>
      </c>
      <c r="M129" s="341" t="s">
        <v>603</v>
      </c>
    </row>
    <row r="130" spans="2:14" x14ac:dyDescent="0.25">
      <c r="B130" t="s">
        <v>364</v>
      </c>
      <c r="C130" t="s">
        <v>196</v>
      </c>
      <c r="D130" s="342" t="s">
        <v>72</v>
      </c>
      <c r="E130" t="s">
        <v>383</v>
      </c>
      <c r="F130" s="47">
        <f>Summary!Y24</f>
        <v>6500</v>
      </c>
      <c r="G130" t="s">
        <v>897</v>
      </c>
      <c r="H130" t="s">
        <v>896</v>
      </c>
      <c r="I130" t="s">
        <v>598</v>
      </c>
      <c r="J130" t="s">
        <v>559</v>
      </c>
      <c r="K130" t="s">
        <v>663</v>
      </c>
      <c r="L130" t="s">
        <v>941</v>
      </c>
      <c r="M130" s="341" t="s">
        <v>569</v>
      </c>
    </row>
    <row r="131" spans="2:14" x14ac:dyDescent="0.25">
      <c r="B131" t="s">
        <v>364</v>
      </c>
      <c r="C131" t="s">
        <v>196</v>
      </c>
      <c r="D131" s="342" t="s">
        <v>73</v>
      </c>
      <c r="E131" t="s">
        <v>383</v>
      </c>
      <c r="F131" s="47">
        <f>Summary!Y25</f>
        <v>17700</v>
      </c>
      <c r="G131" t="s">
        <v>897</v>
      </c>
      <c r="H131" t="s">
        <v>896</v>
      </c>
      <c r="I131" t="s">
        <v>598</v>
      </c>
      <c r="J131" t="s">
        <v>559</v>
      </c>
      <c r="K131" t="s">
        <v>663</v>
      </c>
      <c r="L131" t="s">
        <v>941</v>
      </c>
      <c r="M131" s="341" t="s">
        <v>569</v>
      </c>
      <c r="N131" s="362" t="s">
        <v>653</v>
      </c>
    </row>
    <row r="132" spans="2:14" ht="30" customHeight="1" x14ac:dyDescent="0.25">
      <c r="B132" t="s">
        <v>364</v>
      </c>
      <c r="C132" t="s">
        <v>196</v>
      </c>
      <c r="D132" s="342" t="s">
        <v>544</v>
      </c>
      <c r="E132" t="s">
        <v>383</v>
      </c>
      <c r="F132" s="47">
        <f>Summary!Y26</f>
        <v>8800</v>
      </c>
      <c r="G132" t="s">
        <v>897</v>
      </c>
      <c r="H132" t="s">
        <v>896</v>
      </c>
      <c r="I132" s="58" t="s">
        <v>968</v>
      </c>
      <c r="J132" t="s">
        <v>559</v>
      </c>
      <c r="K132" s="58" t="s">
        <v>943</v>
      </c>
      <c r="L132" s="58" t="s">
        <v>966</v>
      </c>
      <c r="M132" t="s">
        <v>965</v>
      </c>
      <c r="N132" s="58" t="s">
        <v>967</v>
      </c>
    </row>
    <row r="133" spans="2:14" x14ac:dyDescent="0.25">
      <c r="B133" t="s">
        <v>364</v>
      </c>
      <c r="C133" t="s">
        <v>196</v>
      </c>
      <c r="D133" s="342" t="s">
        <v>954</v>
      </c>
      <c r="E133" t="s">
        <v>383</v>
      </c>
      <c r="F133" s="47">
        <f>Spnrs!BR43</f>
        <v>3102</v>
      </c>
      <c r="G133" t="s">
        <v>897</v>
      </c>
      <c r="H133" t="s">
        <v>896</v>
      </c>
      <c r="I133" t="s">
        <v>598</v>
      </c>
      <c r="J133" t="s">
        <v>559</v>
      </c>
      <c r="K133" t="s">
        <v>663</v>
      </c>
      <c r="L133" t="s">
        <v>941</v>
      </c>
      <c r="M133" s="341" t="s">
        <v>569</v>
      </c>
      <c r="N133" s="58" t="s">
        <v>964</v>
      </c>
    </row>
    <row r="134" spans="2:14" x14ac:dyDescent="0.25">
      <c r="B134" t="s">
        <v>364</v>
      </c>
      <c r="C134" t="s">
        <v>196</v>
      </c>
      <c r="D134" s="342" t="s">
        <v>955</v>
      </c>
      <c r="E134" t="s">
        <v>383</v>
      </c>
      <c r="F134" s="47">
        <f>Spnrs!BS43</f>
        <v>5700</v>
      </c>
      <c r="G134" t="s">
        <v>897</v>
      </c>
      <c r="H134" t="s">
        <v>896</v>
      </c>
      <c r="I134" t="s">
        <v>662</v>
      </c>
      <c r="J134" t="s">
        <v>559</v>
      </c>
      <c r="K134" t="s">
        <v>944</v>
      </c>
      <c r="L134" t="s">
        <v>895</v>
      </c>
      <c r="M134" s="341" t="s">
        <v>600</v>
      </c>
      <c r="N134" s="58" t="s">
        <v>963</v>
      </c>
    </row>
    <row r="135" spans="2:14" ht="30" customHeight="1" x14ac:dyDescent="0.25">
      <c r="B135" t="s">
        <v>364</v>
      </c>
      <c r="C135" t="s">
        <v>196</v>
      </c>
      <c r="D135" s="342" t="s">
        <v>956</v>
      </c>
      <c r="E135" t="s">
        <v>383</v>
      </c>
      <c r="F135" s="47">
        <f>Summary!Y27</f>
        <v>11200</v>
      </c>
      <c r="G135" t="s">
        <v>897</v>
      </c>
      <c r="H135" t="s">
        <v>896</v>
      </c>
      <c r="I135" s="58" t="s">
        <v>977</v>
      </c>
      <c r="J135" t="s">
        <v>559</v>
      </c>
      <c r="K135" s="58" t="s">
        <v>943</v>
      </c>
      <c r="L135" s="58" t="s">
        <v>971</v>
      </c>
      <c r="M135" t="s">
        <v>961</v>
      </c>
      <c r="N135" s="58" t="s">
        <v>983</v>
      </c>
    </row>
    <row r="136" spans="2:14" x14ac:dyDescent="0.25">
      <c r="B136" t="s">
        <v>364</v>
      </c>
      <c r="C136" t="s">
        <v>196</v>
      </c>
      <c r="D136" s="342" t="s">
        <v>960</v>
      </c>
      <c r="E136" t="s">
        <v>383</v>
      </c>
      <c r="F136" s="47">
        <f>Spnrs!BR44</f>
        <v>5486</v>
      </c>
      <c r="G136" t="s">
        <v>897</v>
      </c>
      <c r="H136" t="s">
        <v>896</v>
      </c>
      <c r="I136" t="s">
        <v>598</v>
      </c>
      <c r="J136" t="s">
        <v>559</v>
      </c>
      <c r="K136" t="s">
        <v>663</v>
      </c>
      <c r="L136" t="s">
        <v>941</v>
      </c>
      <c r="M136" s="341" t="s">
        <v>569</v>
      </c>
      <c r="N136" s="58" t="s">
        <v>985</v>
      </c>
    </row>
    <row r="137" spans="2:14" x14ac:dyDescent="0.25">
      <c r="B137" t="s">
        <v>364</v>
      </c>
      <c r="C137" t="s">
        <v>196</v>
      </c>
      <c r="D137" s="342" t="s">
        <v>958</v>
      </c>
      <c r="E137" t="s">
        <v>383</v>
      </c>
      <c r="F137" s="47">
        <f>Spnrs!BS44</f>
        <v>5700</v>
      </c>
      <c r="G137" t="s">
        <v>897</v>
      </c>
      <c r="H137" t="s">
        <v>896</v>
      </c>
      <c r="I137" t="s">
        <v>662</v>
      </c>
      <c r="J137" t="s">
        <v>559</v>
      </c>
      <c r="K137" t="s">
        <v>945</v>
      </c>
      <c r="L137" t="s">
        <v>895</v>
      </c>
      <c r="M137" s="341" t="s">
        <v>600</v>
      </c>
      <c r="N137" s="58" t="s">
        <v>962</v>
      </c>
    </row>
    <row r="138" spans="2:14" x14ac:dyDescent="0.25">
      <c r="B138" t="s">
        <v>364</v>
      </c>
      <c r="C138" t="s">
        <v>196</v>
      </c>
      <c r="D138" s="342" t="s">
        <v>959</v>
      </c>
      <c r="E138" t="s">
        <v>383</v>
      </c>
      <c r="F138" s="47">
        <f>Summary!Y30</f>
        <v>7000</v>
      </c>
      <c r="G138" t="s">
        <v>897</v>
      </c>
      <c r="H138" t="s">
        <v>896</v>
      </c>
      <c r="I138" t="s">
        <v>594</v>
      </c>
      <c r="J138" t="s">
        <v>559</v>
      </c>
      <c r="K138" t="s">
        <v>559</v>
      </c>
      <c r="L138" t="s">
        <v>577</v>
      </c>
      <c r="M138" s="341" t="s">
        <v>570</v>
      </c>
      <c r="N138" s="58" t="s">
        <v>917</v>
      </c>
    </row>
    <row r="139" spans="2:14" x14ac:dyDescent="0.25">
      <c r="B139" t="s">
        <v>364</v>
      </c>
      <c r="C139" t="s">
        <v>349</v>
      </c>
      <c r="D139" s="342" t="s">
        <v>290</v>
      </c>
      <c r="E139" t="s">
        <v>350</v>
      </c>
      <c r="F139" s="47">
        <f>Summary!AE5</f>
        <v>0</v>
      </c>
      <c r="G139" t="s">
        <v>553</v>
      </c>
      <c r="H139" t="s">
        <v>732</v>
      </c>
      <c r="I139" t="s">
        <v>902</v>
      </c>
      <c r="J139" t="s">
        <v>518</v>
      </c>
      <c r="K139" t="s">
        <v>563</v>
      </c>
      <c r="L139" t="s">
        <v>610</v>
      </c>
      <c r="M139" s="341" t="s">
        <v>607</v>
      </c>
    </row>
    <row r="140" spans="2:14" x14ac:dyDescent="0.25">
      <c r="B140" t="s">
        <v>364</v>
      </c>
      <c r="C140" t="s">
        <v>349</v>
      </c>
      <c r="D140" s="342" t="s">
        <v>291</v>
      </c>
      <c r="E140" t="s">
        <v>350</v>
      </c>
      <c r="F140" s="47">
        <f>Summary!AE6</f>
        <v>700000</v>
      </c>
      <c r="G140" t="s">
        <v>553</v>
      </c>
      <c r="H140" t="s">
        <v>732</v>
      </c>
      <c r="I140" t="s">
        <v>902</v>
      </c>
      <c r="J140" t="s">
        <v>518</v>
      </c>
      <c r="K140" t="s">
        <v>563</v>
      </c>
      <c r="L140" t="s">
        <v>610</v>
      </c>
      <c r="M140" s="341" t="s">
        <v>607</v>
      </c>
    </row>
    <row r="141" spans="2:14" x14ac:dyDescent="0.25">
      <c r="B141" t="s">
        <v>364</v>
      </c>
      <c r="C141" t="s">
        <v>349</v>
      </c>
      <c r="D141" s="342" t="s">
        <v>12</v>
      </c>
      <c r="E141" t="s">
        <v>350</v>
      </c>
      <c r="F141" s="47">
        <f>Summary!AE7</f>
        <v>0</v>
      </c>
      <c r="G141" t="s">
        <v>553</v>
      </c>
      <c r="H141" t="s">
        <v>732</v>
      </c>
      <c r="I141" t="s">
        <v>902</v>
      </c>
      <c r="J141" t="s">
        <v>518</v>
      </c>
      <c r="K141" t="s">
        <v>563</v>
      </c>
      <c r="L141" t="s">
        <v>610</v>
      </c>
      <c r="M141" s="341" t="s">
        <v>607</v>
      </c>
    </row>
    <row r="142" spans="2:14" x14ac:dyDescent="0.25">
      <c r="B142" t="s">
        <v>364</v>
      </c>
      <c r="C142" t="s">
        <v>349</v>
      </c>
      <c r="D142" s="342" t="s">
        <v>609</v>
      </c>
      <c r="E142" t="s">
        <v>350</v>
      </c>
      <c r="F142" s="47">
        <f>Summary!AE8</f>
        <v>5060000</v>
      </c>
      <c r="G142" t="s">
        <v>553</v>
      </c>
      <c r="H142" t="s">
        <v>732</v>
      </c>
      <c r="I142" t="s">
        <v>902</v>
      </c>
      <c r="J142" t="s">
        <v>518</v>
      </c>
      <c r="K142" t="s">
        <v>563</v>
      </c>
      <c r="L142" t="s">
        <v>633</v>
      </c>
      <c r="M142" s="58" t="s">
        <v>672</v>
      </c>
      <c r="N142" s="58" t="s">
        <v>612</v>
      </c>
    </row>
    <row r="143" spans="2:14" x14ac:dyDescent="0.25">
      <c r="B143" t="s">
        <v>364</v>
      </c>
      <c r="C143" t="s">
        <v>349</v>
      </c>
      <c r="D143" s="342" t="s">
        <v>892</v>
      </c>
      <c r="E143" t="s">
        <v>350</v>
      </c>
      <c r="F143" s="47">
        <f>Summary!AE9</f>
        <v>8600</v>
      </c>
      <c r="G143" t="s">
        <v>629</v>
      </c>
      <c r="H143" t="s">
        <v>732</v>
      </c>
      <c r="I143" t="s">
        <v>902</v>
      </c>
      <c r="J143" t="s">
        <v>518</v>
      </c>
      <c r="K143" t="s">
        <v>563</v>
      </c>
      <c r="L143" t="s">
        <v>630</v>
      </c>
      <c r="M143" s="341" t="s">
        <v>631</v>
      </c>
      <c r="N143" t="s">
        <v>632</v>
      </c>
    </row>
    <row r="144" spans="2:14" x14ac:dyDescent="0.25">
      <c r="B144" t="s">
        <v>364</v>
      </c>
      <c r="C144" t="s">
        <v>349</v>
      </c>
      <c r="D144" s="342" t="s">
        <v>293</v>
      </c>
      <c r="E144" t="s">
        <v>350</v>
      </c>
      <c r="F144" s="47">
        <f>Summary!AE10</f>
        <v>540000</v>
      </c>
      <c r="G144" t="s">
        <v>553</v>
      </c>
      <c r="H144" t="s">
        <v>732</v>
      </c>
      <c r="I144" t="s">
        <v>902</v>
      </c>
      <c r="J144" t="s">
        <v>518</v>
      </c>
      <c r="K144" t="s">
        <v>563</v>
      </c>
      <c r="L144" t="s">
        <v>610</v>
      </c>
      <c r="M144" s="341" t="s">
        <v>607</v>
      </c>
      <c r="N144"/>
    </row>
    <row r="145" spans="2:14" x14ac:dyDescent="0.25">
      <c r="B145" t="s">
        <v>364</v>
      </c>
      <c r="C145" t="s">
        <v>349</v>
      </c>
      <c r="D145" s="342" t="s">
        <v>294</v>
      </c>
      <c r="E145" t="s">
        <v>350</v>
      </c>
      <c r="F145" s="47">
        <f>Summary!AE11</f>
        <v>1000000</v>
      </c>
      <c r="G145" t="s">
        <v>553</v>
      </c>
      <c r="H145" t="s">
        <v>732</v>
      </c>
      <c r="I145" t="s">
        <v>902</v>
      </c>
      <c r="J145" t="s">
        <v>518</v>
      </c>
      <c r="K145" t="s">
        <v>563</v>
      </c>
      <c r="L145" t="s">
        <v>633</v>
      </c>
      <c r="M145" s="58" t="s">
        <v>672</v>
      </c>
    </row>
    <row r="146" spans="2:14" x14ac:dyDescent="0.25">
      <c r="B146" t="s">
        <v>364</v>
      </c>
      <c r="C146" t="s">
        <v>349</v>
      </c>
      <c r="D146" s="342" t="s">
        <v>644</v>
      </c>
      <c r="E146" t="s">
        <v>350</v>
      </c>
      <c r="F146" s="47">
        <f>Summary!AE12</f>
        <v>1300000</v>
      </c>
      <c r="G146" t="s">
        <v>553</v>
      </c>
      <c r="H146" t="s">
        <v>732</v>
      </c>
      <c r="I146" t="s">
        <v>902</v>
      </c>
      <c r="J146" t="s">
        <v>518</v>
      </c>
      <c r="K146" t="s">
        <v>563</v>
      </c>
      <c r="L146" t="s">
        <v>633</v>
      </c>
      <c r="M146" s="58" t="s">
        <v>672</v>
      </c>
    </row>
    <row r="147" spans="2:14" x14ac:dyDescent="0.25">
      <c r="B147" t="s">
        <v>364</v>
      </c>
      <c r="C147" t="s">
        <v>349</v>
      </c>
      <c r="D147" s="342" t="s">
        <v>66</v>
      </c>
      <c r="E147" t="s">
        <v>350</v>
      </c>
      <c r="F147" s="47">
        <f>Summary!AE13</f>
        <v>120000</v>
      </c>
      <c r="G147" t="s">
        <v>553</v>
      </c>
      <c r="H147" t="s">
        <v>732</v>
      </c>
      <c r="I147" t="s">
        <v>902</v>
      </c>
      <c r="J147" t="s">
        <v>518</v>
      </c>
      <c r="K147" t="s">
        <v>563</v>
      </c>
      <c r="L147" t="s">
        <v>610</v>
      </c>
      <c r="M147" s="341" t="s">
        <v>607</v>
      </c>
    </row>
    <row r="148" spans="2:14" x14ac:dyDescent="0.25">
      <c r="B148" t="s">
        <v>364</v>
      </c>
      <c r="C148" t="s">
        <v>349</v>
      </c>
      <c r="D148" s="342" t="s">
        <v>16</v>
      </c>
      <c r="E148" t="s">
        <v>350</v>
      </c>
      <c r="F148" s="47">
        <f>Summary!AE14</f>
        <v>350000</v>
      </c>
      <c r="G148" t="s">
        <v>553</v>
      </c>
      <c r="H148" t="s">
        <v>732</v>
      </c>
      <c r="I148" t="s">
        <v>902</v>
      </c>
      <c r="J148" t="s">
        <v>518</v>
      </c>
      <c r="K148" t="s">
        <v>563</v>
      </c>
      <c r="L148" t="s">
        <v>610</v>
      </c>
      <c r="M148" s="341" t="s">
        <v>607</v>
      </c>
    </row>
    <row r="149" spans="2:14" x14ac:dyDescent="0.25">
      <c r="B149" t="s">
        <v>364</v>
      </c>
      <c r="C149" t="s">
        <v>349</v>
      </c>
      <c r="D149" s="342" t="s">
        <v>297</v>
      </c>
      <c r="E149" t="s">
        <v>350</v>
      </c>
      <c r="F149" s="47">
        <f>Summary!AE15</f>
        <v>1210000</v>
      </c>
      <c r="G149" t="s">
        <v>553</v>
      </c>
      <c r="H149" t="s">
        <v>732</v>
      </c>
      <c r="I149" t="s">
        <v>902</v>
      </c>
      <c r="J149" t="s">
        <v>518</v>
      </c>
      <c r="K149" t="s">
        <v>563</v>
      </c>
      <c r="L149" t="s">
        <v>633</v>
      </c>
      <c r="M149" s="58" t="s">
        <v>672</v>
      </c>
    </row>
    <row r="150" spans="2:14" x14ac:dyDescent="0.25">
      <c r="B150" t="s">
        <v>364</v>
      </c>
      <c r="C150" t="s">
        <v>349</v>
      </c>
      <c r="D150" s="342" t="s">
        <v>646</v>
      </c>
      <c r="E150" t="s">
        <v>350</v>
      </c>
      <c r="F150" s="47">
        <f>Summary!AE16</f>
        <v>950000</v>
      </c>
      <c r="G150" t="s">
        <v>553</v>
      </c>
      <c r="H150" t="s">
        <v>732</v>
      </c>
      <c r="I150" t="s">
        <v>902</v>
      </c>
      <c r="J150" t="s">
        <v>518</v>
      </c>
      <c r="K150" t="s">
        <v>563</v>
      </c>
      <c r="L150" t="s">
        <v>633</v>
      </c>
      <c r="M150" s="58" t="s">
        <v>672</v>
      </c>
    </row>
    <row r="151" spans="2:14" x14ac:dyDescent="0.25">
      <c r="B151" t="s">
        <v>364</v>
      </c>
      <c r="C151" t="s">
        <v>349</v>
      </c>
      <c r="D151" s="342" t="s">
        <v>53</v>
      </c>
      <c r="E151" t="s">
        <v>350</v>
      </c>
      <c r="F151" s="47">
        <f>Summary!AE17</f>
        <v>150000</v>
      </c>
      <c r="G151" t="s">
        <v>553</v>
      </c>
      <c r="H151" t="s">
        <v>732</v>
      </c>
      <c r="I151" t="s">
        <v>902</v>
      </c>
      <c r="J151" t="s">
        <v>518</v>
      </c>
      <c r="K151" t="s">
        <v>563</v>
      </c>
      <c r="L151" t="s">
        <v>610</v>
      </c>
      <c r="M151" s="341" t="s">
        <v>607</v>
      </c>
    </row>
    <row r="152" spans="2:14" x14ac:dyDescent="0.25">
      <c r="B152" t="s">
        <v>364</v>
      </c>
      <c r="C152" t="s">
        <v>349</v>
      </c>
      <c r="D152" s="342" t="s">
        <v>73</v>
      </c>
      <c r="E152" t="s">
        <v>350</v>
      </c>
      <c r="F152" s="47">
        <f>Summary!AE18</f>
        <v>320000</v>
      </c>
      <c r="G152" t="s">
        <v>553</v>
      </c>
      <c r="H152" t="s">
        <v>732</v>
      </c>
      <c r="I152" t="s">
        <v>902</v>
      </c>
      <c r="J152" t="s">
        <v>518</v>
      </c>
      <c r="K152" t="s">
        <v>563</v>
      </c>
      <c r="L152" t="s">
        <v>633</v>
      </c>
      <c r="M152" s="58" t="s">
        <v>672</v>
      </c>
      <c r="N152" s="58" t="s">
        <v>647</v>
      </c>
    </row>
    <row r="153" spans="2:14" x14ac:dyDescent="0.25">
      <c r="B153" t="s">
        <v>364</v>
      </c>
      <c r="C153" t="s">
        <v>349</v>
      </c>
      <c r="D153" s="342" t="s">
        <v>72</v>
      </c>
      <c r="E153" t="s">
        <v>350</v>
      </c>
      <c r="F153" s="47">
        <f>Summary!AE19</f>
        <v>200000</v>
      </c>
      <c r="G153" t="s">
        <v>553</v>
      </c>
      <c r="H153" t="s">
        <v>732</v>
      </c>
      <c r="I153" t="s">
        <v>902</v>
      </c>
      <c r="J153" t="s">
        <v>518</v>
      </c>
      <c r="K153" t="s">
        <v>563</v>
      </c>
      <c r="L153" t="s">
        <v>633</v>
      </c>
      <c r="M153" s="58" t="s">
        <v>672</v>
      </c>
    </row>
    <row r="154" spans="2:14" x14ac:dyDescent="0.25">
      <c r="B154" t="s">
        <v>364</v>
      </c>
      <c r="C154" t="s">
        <v>349</v>
      </c>
      <c r="D154" s="342" t="s">
        <v>298</v>
      </c>
      <c r="E154" t="s">
        <v>350</v>
      </c>
      <c r="F154" s="47">
        <f>Summary!AE20</f>
        <v>200000</v>
      </c>
      <c r="G154" t="s">
        <v>553</v>
      </c>
      <c r="H154" t="s">
        <v>732</v>
      </c>
      <c r="I154" t="s">
        <v>902</v>
      </c>
      <c r="J154" t="s">
        <v>518</v>
      </c>
      <c r="K154" t="s">
        <v>563</v>
      </c>
      <c r="L154" t="s">
        <v>610</v>
      </c>
      <c r="M154" s="341" t="s">
        <v>607</v>
      </c>
    </row>
    <row r="155" spans="2:14" x14ac:dyDescent="0.25">
      <c r="B155" t="s">
        <v>364</v>
      </c>
      <c r="C155" t="s">
        <v>349</v>
      </c>
      <c r="D155" s="342" t="s">
        <v>290</v>
      </c>
      <c r="E155" t="s">
        <v>667</v>
      </c>
      <c r="F155" s="47">
        <f>Summary!AG5</f>
        <v>0</v>
      </c>
      <c r="G155" t="s">
        <v>553</v>
      </c>
      <c r="H155" t="s">
        <v>732</v>
      </c>
      <c r="I155" t="s">
        <v>903</v>
      </c>
      <c r="J155" t="s">
        <v>673</v>
      </c>
      <c r="K155" t="s">
        <v>564</v>
      </c>
      <c r="L155" t="s">
        <v>610</v>
      </c>
      <c r="M155" s="341" t="s">
        <v>607</v>
      </c>
    </row>
    <row r="156" spans="2:14" x14ac:dyDescent="0.25">
      <c r="B156" t="s">
        <v>364</v>
      </c>
      <c r="C156" t="s">
        <v>349</v>
      </c>
      <c r="D156" s="342" t="s">
        <v>291</v>
      </c>
      <c r="E156" t="s">
        <v>667</v>
      </c>
      <c r="F156" s="47">
        <f>Summary!AG6</f>
        <v>700000</v>
      </c>
      <c r="G156" t="s">
        <v>553</v>
      </c>
      <c r="H156" t="s">
        <v>732</v>
      </c>
      <c r="I156" t="s">
        <v>903</v>
      </c>
      <c r="J156" t="s">
        <v>673</v>
      </c>
      <c r="K156" t="s">
        <v>564</v>
      </c>
      <c r="L156" t="s">
        <v>610</v>
      </c>
      <c r="M156" s="341" t="s">
        <v>607</v>
      </c>
    </row>
    <row r="157" spans="2:14" x14ac:dyDescent="0.25">
      <c r="B157" t="s">
        <v>364</v>
      </c>
      <c r="C157" t="s">
        <v>349</v>
      </c>
      <c r="D157" s="342" t="s">
        <v>12</v>
      </c>
      <c r="E157" t="s">
        <v>667</v>
      </c>
      <c r="F157" s="47">
        <f>Summary!AG7</f>
        <v>150000</v>
      </c>
      <c r="G157" t="s">
        <v>553</v>
      </c>
      <c r="H157" t="s">
        <v>732</v>
      </c>
      <c r="I157" t="s">
        <v>903</v>
      </c>
      <c r="J157" t="s">
        <v>673</v>
      </c>
      <c r="K157" t="s">
        <v>564</v>
      </c>
      <c r="L157" t="s">
        <v>610</v>
      </c>
      <c r="M157" s="341" t="s">
        <v>607</v>
      </c>
      <c r="N157" s="58" t="s">
        <v>648</v>
      </c>
    </row>
    <row r="158" spans="2:14" x14ac:dyDescent="0.25">
      <c r="B158" t="s">
        <v>364</v>
      </c>
      <c r="C158" t="s">
        <v>349</v>
      </c>
      <c r="D158" s="342" t="s">
        <v>609</v>
      </c>
      <c r="E158" t="s">
        <v>667</v>
      </c>
      <c r="F158" s="47">
        <f>Summary!AG8</f>
        <v>5060000</v>
      </c>
      <c r="G158" t="s">
        <v>553</v>
      </c>
      <c r="H158" t="s">
        <v>732</v>
      </c>
      <c r="I158" t="s">
        <v>903</v>
      </c>
      <c r="J158" t="s">
        <v>674</v>
      </c>
      <c r="K158" t="s">
        <v>565</v>
      </c>
      <c r="L158" t="s">
        <v>649</v>
      </c>
      <c r="M158" s="341" t="s">
        <v>607</v>
      </c>
      <c r="N158" s="58" t="s">
        <v>612</v>
      </c>
    </row>
    <row r="159" spans="2:14" x14ac:dyDescent="0.25">
      <c r="B159" t="s">
        <v>364</v>
      </c>
      <c r="C159" t="s">
        <v>349</v>
      </c>
      <c r="D159" s="342" t="s">
        <v>892</v>
      </c>
      <c r="E159" t="s">
        <v>667</v>
      </c>
      <c r="F159" s="47">
        <f>Summary!AG9</f>
        <v>9000</v>
      </c>
      <c r="G159" t="s">
        <v>553</v>
      </c>
      <c r="H159" t="s">
        <v>732</v>
      </c>
      <c r="I159" t="s">
        <v>903</v>
      </c>
      <c r="J159" t="s">
        <v>674</v>
      </c>
      <c r="K159" t="s">
        <v>565</v>
      </c>
      <c r="L159" t="s">
        <v>649</v>
      </c>
      <c r="M159" s="341" t="s">
        <v>607</v>
      </c>
      <c r="N159" t="s">
        <v>632</v>
      </c>
    </row>
    <row r="160" spans="2:14" x14ac:dyDescent="0.25">
      <c r="B160" t="s">
        <v>364</v>
      </c>
      <c r="C160" t="s">
        <v>349</v>
      </c>
      <c r="D160" s="342" t="s">
        <v>293</v>
      </c>
      <c r="E160" t="s">
        <v>667</v>
      </c>
      <c r="F160" s="47">
        <f>Summary!AG10</f>
        <v>700000</v>
      </c>
      <c r="G160" t="s">
        <v>553</v>
      </c>
      <c r="H160" t="s">
        <v>732</v>
      </c>
      <c r="I160" t="s">
        <v>903</v>
      </c>
      <c r="J160" t="s">
        <v>673</v>
      </c>
      <c r="K160" t="s">
        <v>564</v>
      </c>
      <c r="L160" t="s">
        <v>610</v>
      </c>
      <c r="M160" s="341" t="s">
        <v>607</v>
      </c>
    </row>
    <row r="161" spans="2:14" x14ac:dyDescent="0.25">
      <c r="B161" t="s">
        <v>364</v>
      </c>
      <c r="C161" t="s">
        <v>349</v>
      </c>
      <c r="D161" s="342" t="s">
        <v>294</v>
      </c>
      <c r="E161" t="s">
        <v>667</v>
      </c>
      <c r="F161" s="47">
        <f>Summary!AG11</f>
        <v>1000000</v>
      </c>
      <c r="G161" t="s">
        <v>553</v>
      </c>
      <c r="H161" t="s">
        <v>732</v>
      </c>
      <c r="I161" t="s">
        <v>903</v>
      </c>
      <c r="J161" t="s">
        <v>674</v>
      </c>
      <c r="K161" t="s">
        <v>565</v>
      </c>
      <c r="L161" t="s">
        <v>650</v>
      </c>
      <c r="M161" s="341" t="s">
        <v>607</v>
      </c>
      <c r="N161" s="58" t="s">
        <v>651</v>
      </c>
    </row>
    <row r="162" spans="2:14" x14ac:dyDescent="0.25">
      <c r="B162" t="s">
        <v>364</v>
      </c>
      <c r="C162" t="s">
        <v>349</v>
      </c>
      <c r="D162" s="342" t="s">
        <v>644</v>
      </c>
      <c r="E162" t="s">
        <v>667</v>
      </c>
      <c r="F162" s="47">
        <f>Summary!AG12</f>
        <v>1200000</v>
      </c>
      <c r="G162" t="s">
        <v>553</v>
      </c>
      <c r="H162" t="s">
        <v>732</v>
      </c>
      <c r="I162" t="s">
        <v>903</v>
      </c>
      <c r="J162" t="s">
        <v>674</v>
      </c>
      <c r="K162" t="s">
        <v>565</v>
      </c>
      <c r="L162" t="s">
        <v>650</v>
      </c>
      <c r="M162" s="341" t="s">
        <v>607</v>
      </c>
      <c r="N162" s="58" t="s">
        <v>651</v>
      </c>
    </row>
    <row r="163" spans="2:14" x14ac:dyDescent="0.25">
      <c r="B163" t="s">
        <v>364</v>
      </c>
      <c r="C163" t="s">
        <v>349</v>
      </c>
      <c r="D163" s="342" t="s">
        <v>66</v>
      </c>
      <c r="E163" t="s">
        <v>667</v>
      </c>
      <c r="F163" s="47">
        <f>Summary!AG13</f>
        <v>120000</v>
      </c>
      <c r="G163" t="s">
        <v>553</v>
      </c>
      <c r="H163" t="s">
        <v>732</v>
      </c>
      <c r="I163" t="s">
        <v>903</v>
      </c>
      <c r="J163" t="s">
        <v>673</v>
      </c>
      <c r="K163" t="s">
        <v>564</v>
      </c>
      <c r="L163" t="s">
        <v>610</v>
      </c>
      <c r="M163" s="341" t="s">
        <v>607</v>
      </c>
    </row>
    <row r="164" spans="2:14" x14ac:dyDescent="0.25">
      <c r="B164" t="s">
        <v>364</v>
      </c>
      <c r="C164" t="s">
        <v>349</v>
      </c>
      <c r="D164" s="342" t="s">
        <v>16</v>
      </c>
      <c r="E164" t="s">
        <v>667</v>
      </c>
      <c r="F164" s="47">
        <f>Summary!AG14</f>
        <v>350000</v>
      </c>
      <c r="G164" t="s">
        <v>553</v>
      </c>
      <c r="H164" t="s">
        <v>732</v>
      </c>
      <c r="I164" t="s">
        <v>903</v>
      </c>
      <c r="J164" t="s">
        <v>673</v>
      </c>
      <c r="K164" t="s">
        <v>564</v>
      </c>
      <c r="L164" t="s">
        <v>610</v>
      </c>
      <c r="M164" s="341" t="s">
        <v>607</v>
      </c>
    </row>
    <row r="165" spans="2:14" x14ac:dyDescent="0.25">
      <c r="B165" t="s">
        <v>364</v>
      </c>
      <c r="C165" t="s">
        <v>349</v>
      </c>
      <c r="D165" s="342" t="s">
        <v>297</v>
      </c>
      <c r="E165" t="s">
        <v>667</v>
      </c>
      <c r="F165" s="47">
        <f>Summary!AG15</f>
        <v>1100000</v>
      </c>
      <c r="G165" t="s">
        <v>553</v>
      </c>
      <c r="H165" t="s">
        <v>732</v>
      </c>
      <c r="I165" t="s">
        <v>903</v>
      </c>
      <c r="J165" t="s">
        <v>674</v>
      </c>
      <c r="K165" t="s">
        <v>565</v>
      </c>
      <c r="L165" t="s">
        <v>650</v>
      </c>
      <c r="M165" s="341" t="s">
        <v>607</v>
      </c>
    </row>
    <row r="166" spans="2:14" x14ac:dyDescent="0.25">
      <c r="B166" t="s">
        <v>364</v>
      </c>
      <c r="C166" t="s">
        <v>349</v>
      </c>
      <c r="D166" s="342" t="s">
        <v>646</v>
      </c>
      <c r="E166" t="s">
        <v>667</v>
      </c>
      <c r="F166" s="47">
        <f>Summary!AG16</f>
        <v>900000</v>
      </c>
      <c r="G166" t="s">
        <v>553</v>
      </c>
      <c r="H166" t="s">
        <v>732</v>
      </c>
      <c r="I166" t="s">
        <v>903</v>
      </c>
      <c r="J166" t="s">
        <v>674</v>
      </c>
      <c r="K166" t="s">
        <v>565</v>
      </c>
      <c r="L166" t="s">
        <v>650</v>
      </c>
      <c r="M166" s="341" t="s">
        <v>607</v>
      </c>
    </row>
    <row r="167" spans="2:14" x14ac:dyDescent="0.25">
      <c r="B167" t="s">
        <v>364</v>
      </c>
      <c r="C167" t="s">
        <v>349</v>
      </c>
      <c r="D167" s="342" t="s">
        <v>53</v>
      </c>
      <c r="E167" t="s">
        <v>667</v>
      </c>
      <c r="F167" s="47">
        <f>Summary!AG17</f>
        <v>100000</v>
      </c>
      <c r="G167" t="s">
        <v>553</v>
      </c>
      <c r="H167" t="s">
        <v>732</v>
      </c>
      <c r="I167" t="s">
        <v>903</v>
      </c>
      <c r="J167" t="s">
        <v>673</v>
      </c>
      <c r="K167" t="s">
        <v>564</v>
      </c>
      <c r="L167" t="s">
        <v>610</v>
      </c>
      <c r="M167" s="341" t="s">
        <v>607</v>
      </c>
    </row>
    <row r="168" spans="2:14" x14ac:dyDescent="0.25">
      <c r="B168" t="s">
        <v>364</v>
      </c>
      <c r="C168" t="s">
        <v>349</v>
      </c>
      <c r="D168" s="342" t="s">
        <v>73</v>
      </c>
      <c r="E168" t="s">
        <v>667</v>
      </c>
      <c r="F168" s="47">
        <f>Summary!AG18</f>
        <v>350000</v>
      </c>
      <c r="G168" t="s">
        <v>553</v>
      </c>
      <c r="H168" t="s">
        <v>732</v>
      </c>
      <c r="I168" t="s">
        <v>903</v>
      </c>
      <c r="J168" t="s">
        <v>673</v>
      </c>
      <c r="K168" t="s">
        <v>564</v>
      </c>
      <c r="L168" t="s">
        <v>610</v>
      </c>
      <c r="M168" s="341" t="s">
        <v>607</v>
      </c>
    </row>
    <row r="169" spans="2:14" x14ac:dyDescent="0.25">
      <c r="B169" t="s">
        <v>364</v>
      </c>
      <c r="C169" t="s">
        <v>349</v>
      </c>
      <c r="D169" s="342" t="s">
        <v>72</v>
      </c>
      <c r="E169" t="s">
        <v>667</v>
      </c>
      <c r="F169" s="47">
        <f>Summary!AG19</f>
        <v>300000</v>
      </c>
      <c r="G169" t="s">
        <v>553</v>
      </c>
      <c r="H169" t="s">
        <v>732</v>
      </c>
      <c r="I169" t="s">
        <v>903</v>
      </c>
      <c r="J169" t="s">
        <v>673</v>
      </c>
      <c r="K169" t="s">
        <v>564</v>
      </c>
      <c r="L169" t="s">
        <v>610</v>
      </c>
      <c r="M169" s="341" t="s">
        <v>607</v>
      </c>
    </row>
    <row r="170" spans="2:14" x14ac:dyDescent="0.25">
      <c r="B170" t="s">
        <v>364</v>
      </c>
      <c r="C170" t="s">
        <v>349</v>
      </c>
      <c r="D170" s="342" t="s">
        <v>298</v>
      </c>
      <c r="E170" t="s">
        <v>667</v>
      </c>
      <c r="F170" s="47">
        <f>Summary!AG20</f>
        <v>200000</v>
      </c>
      <c r="G170" t="s">
        <v>553</v>
      </c>
      <c r="H170" t="s">
        <v>732</v>
      </c>
      <c r="I170" t="s">
        <v>903</v>
      </c>
      <c r="J170" t="s">
        <v>673</v>
      </c>
      <c r="K170" t="s">
        <v>564</v>
      </c>
      <c r="L170" t="s">
        <v>610</v>
      </c>
      <c r="M170" s="341" t="s">
        <v>607</v>
      </c>
    </row>
    <row r="171" spans="2:14" ht="15" customHeight="1" x14ac:dyDescent="0.25">
      <c r="B171" t="s">
        <v>364</v>
      </c>
      <c r="C171" t="s">
        <v>547</v>
      </c>
      <c r="D171" s="148" t="s">
        <v>207</v>
      </c>
      <c r="E171" t="s">
        <v>654</v>
      </c>
      <c r="F171" s="242">
        <f>Summary!U36</f>
        <v>1.7000000000000001E-2</v>
      </c>
      <c r="G171" t="s">
        <v>554</v>
      </c>
      <c r="H171" t="s">
        <v>732</v>
      </c>
      <c r="I171" t="s">
        <v>720</v>
      </c>
      <c r="J171" t="s">
        <v>588</v>
      </c>
      <c r="K171" t="s">
        <v>561</v>
      </c>
      <c r="L171" t="s">
        <v>719</v>
      </c>
      <c r="M171" s="58" t="s">
        <v>721</v>
      </c>
      <c r="N171" s="58" t="s">
        <v>910</v>
      </c>
    </row>
    <row r="172" spans="2:14" ht="15" customHeight="1" x14ac:dyDescent="0.25">
      <c r="B172" t="s">
        <v>364</v>
      </c>
      <c r="C172" t="s">
        <v>547</v>
      </c>
      <c r="D172" s="148" t="s">
        <v>209</v>
      </c>
      <c r="E172" t="s">
        <v>654</v>
      </c>
      <c r="F172" s="242">
        <f>Summary!U37</f>
        <v>0.10199999999999999</v>
      </c>
      <c r="G172" t="s">
        <v>554</v>
      </c>
      <c r="H172" t="s">
        <v>732</v>
      </c>
      <c r="I172" t="s">
        <v>720</v>
      </c>
      <c r="J172" t="s">
        <v>588</v>
      </c>
      <c r="K172" t="s">
        <v>561</v>
      </c>
      <c r="L172" t="s">
        <v>719</v>
      </c>
      <c r="M172" s="58" t="s">
        <v>721</v>
      </c>
      <c r="N172" s="58" t="s">
        <v>722</v>
      </c>
    </row>
    <row r="173" spans="2:14" x14ac:dyDescent="0.25">
      <c r="B173" t="s">
        <v>364</v>
      </c>
      <c r="C173" t="s">
        <v>547</v>
      </c>
      <c r="D173" s="148" t="s">
        <v>354</v>
      </c>
      <c r="E173" t="s">
        <v>654</v>
      </c>
      <c r="F173" s="242">
        <f>Summary!$U$38</f>
        <v>5.0999999999999997E-2</v>
      </c>
      <c r="G173" t="s">
        <v>734</v>
      </c>
      <c r="H173" t="s">
        <v>732</v>
      </c>
      <c r="I173" t="s">
        <v>723</v>
      </c>
      <c r="J173" t="s">
        <v>588</v>
      </c>
      <c r="K173" t="s">
        <v>561</v>
      </c>
      <c r="L173" t="s">
        <v>741</v>
      </c>
      <c r="M173" s="341" t="s">
        <v>735</v>
      </c>
    </row>
    <row r="174" spans="2:14" x14ac:dyDescent="0.25">
      <c r="B174" t="s">
        <v>364</v>
      </c>
      <c r="C174" t="s">
        <v>548</v>
      </c>
      <c r="D174" s="148" t="s">
        <v>207</v>
      </c>
      <c r="E174" t="s">
        <v>654</v>
      </c>
      <c r="F174" s="242">
        <f>Summary!U40</f>
        <v>7.0000000000000001E-3</v>
      </c>
      <c r="G174" t="s">
        <v>554</v>
      </c>
      <c r="H174" t="s">
        <v>732</v>
      </c>
      <c r="I174" t="s">
        <v>720</v>
      </c>
      <c r="J174" t="s">
        <v>588</v>
      </c>
      <c r="K174" t="s">
        <v>561</v>
      </c>
      <c r="L174" t="s">
        <v>719</v>
      </c>
      <c r="M174" s="58" t="s">
        <v>721</v>
      </c>
    </row>
    <row r="175" spans="2:14" x14ac:dyDescent="0.25">
      <c r="B175" t="s">
        <v>364</v>
      </c>
      <c r="C175" t="s">
        <v>548</v>
      </c>
      <c r="D175" s="148" t="s">
        <v>209</v>
      </c>
      <c r="E175" t="s">
        <v>654</v>
      </c>
      <c r="F175" s="242">
        <f>Summary!U41</f>
        <v>0.184</v>
      </c>
      <c r="G175" t="s">
        <v>554</v>
      </c>
      <c r="H175" t="s">
        <v>732</v>
      </c>
      <c r="I175" t="s">
        <v>720</v>
      </c>
      <c r="J175" t="s">
        <v>588</v>
      </c>
      <c r="K175" t="s">
        <v>561</v>
      </c>
      <c r="L175" t="s">
        <v>719</v>
      </c>
      <c r="M175" s="58" t="s">
        <v>721</v>
      </c>
    </row>
    <row r="176" spans="2:14" x14ac:dyDescent="0.25">
      <c r="B176" t="s">
        <v>364</v>
      </c>
      <c r="C176" t="s">
        <v>548</v>
      </c>
      <c r="D176" s="148" t="s">
        <v>354</v>
      </c>
      <c r="E176" t="s">
        <v>654</v>
      </c>
      <c r="F176" s="242">
        <f>Summary!U42</f>
        <v>0.34100000000000003</v>
      </c>
      <c r="G176" t="s">
        <v>734</v>
      </c>
      <c r="H176" t="s">
        <v>732</v>
      </c>
      <c r="I176" t="s">
        <v>723</v>
      </c>
      <c r="J176" t="s">
        <v>588</v>
      </c>
      <c r="K176" t="s">
        <v>561</v>
      </c>
      <c r="L176" t="s">
        <v>736</v>
      </c>
      <c r="M176" s="58" t="s">
        <v>672</v>
      </c>
    </row>
    <row r="177" spans="2:14" ht="15" customHeight="1" x14ac:dyDescent="0.25">
      <c r="B177" t="s">
        <v>364</v>
      </c>
      <c r="C177" t="s">
        <v>547</v>
      </c>
      <c r="D177" s="148" t="s">
        <v>737</v>
      </c>
      <c r="E177" t="s">
        <v>382</v>
      </c>
      <c r="F177" s="370" t="str">
        <f>Summary!W36</f>
        <v>&lt;10-30%</v>
      </c>
      <c r="G177" t="s">
        <v>738</v>
      </c>
      <c r="H177" t="s">
        <v>904</v>
      </c>
      <c r="I177" t="s">
        <v>739</v>
      </c>
      <c r="J177" t="s">
        <v>559</v>
      </c>
      <c r="K177" t="s">
        <v>740</v>
      </c>
      <c r="L177" t="s">
        <v>742</v>
      </c>
      <c r="M177" s="341" t="s">
        <v>735</v>
      </c>
      <c r="N177" s="58" t="s">
        <v>743</v>
      </c>
    </row>
    <row r="178" spans="2:14" ht="15" customHeight="1" x14ac:dyDescent="0.25">
      <c r="B178" t="s">
        <v>364</v>
      </c>
      <c r="C178" t="s">
        <v>547</v>
      </c>
      <c r="D178" s="148" t="s">
        <v>737</v>
      </c>
      <c r="E178" t="s">
        <v>210</v>
      </c>
      <c r="F178" s="370" t="str">
        <f>Summary!X36</f>
        <v>&lt;10-50%</v>
      </c>
      <c r="G178" t="s">
        <v>738</v>
      </c>
      <c r="H178" t="s">
        <v>904</v>
      </c>
      <c r="I178" s="58" t="s">
        <v>745</v>
      </c>
      <c r="J178" t="s">
        <v>559</v>
      </c>
      <c r="K178" t="s">
        <v>747</v>
      </c>
      <c r="L178" t="s">
        <v>895</v>
      </c>
      <c r="M178" s="341" t="s">
        <v>600</v>
      </c>
      <c r="N178" s="58" t="s">
        <v>744</v>
      </c>
    </row>
    <row r="179" spans="2:14" x14ac:dyDescent="0.25">
      <c r="B179" t="s">
        <v>364</v>
      </c>
      <c r="C179" t="s">
        <v>547</v>
      </c>
      <c r="D179" s="148" t="s">
        <v>207</v>
      </c>
      <c r="E179" t="s">
        <v>353</v>
      </c>
      <c r="F179" s="47">
        <f>Summary!Y36</f>
        <v>500</v>
      </c>
      <c r="G179" t="s">
        <v>763</v>
      </c>
      <c r="H179" t="s">
        <v>732</v>
      </c>
      <c r="I179" t="s">
        <v>746</v>
      </c>
      <c r="J179" t="s">
        <v>588</v>
      </c>
      <c r="K179" t="s">
        <v>561</v>
      </c>
      <c r="L179" t="s">
        <v>719</v>
      </c>
      <c r="M179" s="58" t="s">
        <v>721</v>
      </c>
    </row>
    <row r="180" spans="2:14" x14ac:dyDescent="0.25">
      <c r="B180" t="s">
        <v>364</v>
      </c>
      <c r="C180" t="s">
        <v>547</v>
      </c>
      <c r="D180" s="148" t="s">
        <v>209</v>
      </c>
      <c r="E180" t="s">
        <v>353</v>
      </c>
      <c r="F180" s="47">
        <f>Summary!Y37</f>
        <v>3000</v>
      </c>
      <c r="G180" t="s">
        <v>764</v>
      </c>
      <c r="H180" t="s">
        <v>732</v>
      </c>
      <c r="I180" t="s">
        <v>765</v>
      </c>
      <c r="J180" t="s">
        <v>588</v>
      </c>
      <c r="K180" t="s">
        <v>561</v>
      </c>
      <c r="L180" t="s">
        <v>719</v>
      </c>
      <c r="M180" s="58" t="s">
        <v>721</v>
      </c>
      <c r="N180" s="58" t="s">
        <v>750</v>
      </c>
    </row>
    <row r="181" spans="2:14" x14ac:dyDescent="0.25">
      <c r="B181" t="s">
        <v>364</v>
      </c>
      <c r="C181" t="s">
        <v>547</v>
      </c>
      <c r="D181" s="148" t="s">
        <v>354</v>
      </c>
      <c r="E181" t="s">
        <v>353</v>
      </c>
      <c r="F181" s="47">
        <f>Summary!Y38</f>
        <v>2000</v>
      </c>
      <c r="G181" t="s">
        <v>764</v>
      </c>
      <c r="H181" t="s">
        <v>732</v>
      </c>
      <c r="I181" t="s">
        <v>835</v>
      </c>
      <c r="J181" t="s">
        <v>588</v>
      </c>
      <c r="K181" t="s">
        <v>561</v>
      </c>
      <c r="L181" t="s">
        <v>736</v>
      </c>
      <c r="M181" s="58" t="s">
        <v>672</v>
      </c>
      <c r="N181" s="58" t="s">
        <v>766</v>
      </c>
    </row>
    <row r="182" spans="2:14" x14ac:dyDescent="0.25">
      <c r="B182" t="s">
        <v>364</v>
      </c>
      <c r="C182" t="s">
        <v>548</v>
      </c>
      <c r="D182" s="148" t="s">
        <v>207</v>
      </c>
      <c r="E182" t="s">
        <v>353</v>
      </c>
      <c r="F182" s="47">
        <f>Summary!Y40</f>
        <v>2000</v>
      </c>
      <c r="G182" t="s">
        <v>763</v>
      </c>
      <c r="H182" t="s">
        <v>732</v>
      </c>
      <c r="I182" t="s">
        <v>746</v>
      </c>
      <c r="J182" t="s">
        <v>588</v>
      </c>
      <c r="K182" t="s">
        <v>561</v>
      </c>
      <c r="L182" t="s">
        <v>719</v>
      </c>
      <c r="M182" s="58" t="s">
        <v>721</v>
      </c>
    </row>
    <row r="183" spans="2:14" x14ac:dyDescent="0.25">
      <c r="B183" t="s">
        <v>364</v>
      </c>
      <c r="C183" t="s">
        <v>548</v>
      </c>
      <c r="D183" s="148" t="s">
        <v>209</v>
      </c>
      <c r="E183" t="s">
        <v>353</v>
      </c>
      <c r="F183" s="47">
        <f>Summary!Y41</f>
        <v>58000</v>
      </c>
      <c r="G183" t="s">
        <v>764</v>
      </c>
      <c r="H183" t="s">
        <v>732</v>
      </c>
      <c r="I183" t="s">
        <v>765</v>
      </c>
      <c r="J183" t="s">
        <v>588</v>
      </c>
      <c r="K183" t="s">
        <v>561</v>
      </c>
      <c r="L183" t="s">
        <v>719</v>
      </c>
      <c r="M183" s="58" t="s">
        <v>721</v>
      </c>
    </row>
    <row r="184" spans="2:14" x14ac:dyDescent="0.25">
      <c r="B184" t="s">
        <v>364</v>
      </c>
      <c r="C184" t="s">
        <v>548</v>
      </c>
      <c r="D184" s="148" t="s">
        <v>354</v>
      </c>
      <c r="E184" t="s">
        <v>353</v>
      </c>
      <c r="F184" s="47">
        <f>Summary!Y42</f>
        <v>106000</v>
      </c>
      <c r="G184" t="s">
        <v>764</v>
      </c>
      <c r="H184" t="s">
        <v>732</v>
      </c>
      <c r="I184" t="s">
        <v>765</v>
      </c>
      <c r="J184" t="s">
        <v>588</v>
      </c>
      <c r="K184" t="s">
        <v>561</v>
      </c>
      <c r="L184" t="s">
        <v>736</v>
      </c>
      <c r="M184" s="58" t="s">
        <v>672</v>
      </c>
      <c r="N184" s="58" t="s">
        <v>751</v>
      </c>
    </row>
    <row r="185" spans="2:14" x14ac:dyDescent="0.25">
      <c r="B185" t="s">
        <v>364</v>
      </c>
      <c r="C185" t="s">
        <v>358</v>
      </c>
      <c r="D185" s="148" t="s">
        <v>842</v>
      </c>
      <c r="E185" t="s">
        <v>758</v>
      </c>
      <c r="F185" s="47">
        <f>Summary!AD26</f>
        <v>408000</v>
      </c>
      <c r="G185" t="s">
        <v>906</v>
      </c>
      <c r="H185" t="s">
        <v>732</v>
      </c>
      <c r="I185" t="s">
        <v>822</v>
      </c>
      <c r="J185" t="s">
        <v>588</v>
      </c>
      <c r="K185" t="s">
        <v>561</v>
      </c>
      <c r="L185" t="s">
        <v>820</v>
      </c>
      <c r="M185" s="58" t="s">
        <v>672</v>
      </c>
      <c r="N185" s="58" t="s">
        <v>817</v>
      </c>
    </row>
    <row r="186" spans="2:14" x14ac:dyDescent="0.25">
      <c r="B186" t="s">
        <v>364</v>
      </c>
      <c r="C186" t="s">
        <v>752</v>
      </c>
      <c r="D186" s="148" t="s">
        <v>842</v>
      </c>
      <c r="E186" t="s">
        <v>758</v>
      </c>
      <c r="F186" s="47">
        <f>Summary!AD27</f>
        <v>34000</v>
      </c>
      <c r="G186" t="s">
        <v>905</v>
      </c>
      <c r="H186" t="s">
        <v>732</v>
      </c>
      <c r="I186" t="s">
        <v>823</v>
      </c>
      <c r="J186" t="s">
        <v>588</v>
      </c>
      <c r="K186" t="s">
        <v>561</v>
      </c>
      <c r="L186" t="s">
        <v>820</v>
      </c>
      <c r="M186" s="58" t="s">
        <v>672</v>
      </c>
      <c r="N186" s="58" t="s">
        <v>819</v>
      </c>
    </row>
    <row r="187" spans="2:14" x14ac:dyDescent="0.25">
      <c r="B187" t="s">
        <v>364</v>
      </c>
      <c r="C187" t="s">
        <v>753</v>
      </c>
      <c r="D187" s="148" t="s">
        <v>842</v>
      </c>
      <c r="E187" t="s">
        <v>758</v>
      </c>
      <c r="F187" s="47">
        <f>Summary!AD28</f>
        <v>374000</v>
      </c>
      <c r="G187" t="s">
        <v>907</v>
      </c>
      <c r="H187" t="s">
        <v>732</v>
      </c>
      <c r="I187" t="s">
        <v>822</v>
      </c>
      <c r="J187" t="s">
        <v>588</v>
      </c>
      <c r="K187" t="s">
        <v>561</v>
      </c>
      <c r="L187" t="s">
        <v>820</v>
      </c>
      <c r="M187" s="58" t="s">
        <v>672</v>
      </c>
      <c r="N187" s="58" t="s">
        <v>821</v>
      </c>
    </row>
    <row r="188" spans="2:14" x14ac:dyDescent="0.25">
      <c r="B188" t="s">
        <v>364</v>
      </c>
      <c r="C188" t="s">
        <v>754</v>
      </c>
      <c r="D188" s="148" t="s">
        <v>842</v>
      </c>
      <c r="E188" t="s">
        <v>758</v>
      </c>
      <c r="F188" s="268">
        <f>Summary!AD29</f>
        <v>0.91700000000000004</v>
      </c>
      <c r="G188" t="s">
        <v>907</v>
      </c>
      <c r="H188" t="s">
        <v>732</v>
      </c>
      <c r="I188" t="s">
        <v>822</v>
      </c>
      <c r="J188" t="s">
        <v>588</v>
      </c>
      <c r="K188" t="s">
        <v>561</v>
      </c>
      <c r="L188" t="s">
        <v>820</v>
      </c>
      <c r="M188" s="58" t="s">
        <v>672</v>
      </c>
    </row>
    <row r="189" spans="2:14" x14ac:dyDescent="0.25">
      <c r="B189" t="s">
        <v>364</v>
      </c>
      <c r="C189" t="s">
        <v>353</v>
      </c>
      <c r="D189" s="148" t="s">
        <v>844</v>
      </c>
      <c r="E189" t="s">
        <v>762</v>
      </c>
      <c r="F189" s="47">
        <f>Summary!AD30</f>
        <v>230000</v>
      </c>
      <c r="G189" t="s">
        <v>764</v>
      </c>
      <c r="H189" t="s">
        <v>732</v>
      </c>
      <c r="I189" t="s">
        <v>837</v>
      </c>
      <c r="J189" t="s">
        <v>588</v>
      </c>
      <c r="K189" t="s">
        <v>561</v>
      </c>
      <c r="L189" t="s">
        <v>833</v>
      </c>
      <c r="M189" s="58" t="s">
        <v>672</v>
      </c>
      <c r="N189" s="58" t="s">
        <v>840</v>
      </c>
    </row>
    <row r="190" spans="2:14" x14ac:dyDescent="0.25">
      <c r="B190" t="s">
        <v>364</v>
      </c>
      <c r="C190" t="s">
        <v>755</v>
      </c>
      <c r="D190" s="148" t="s">
        <v>844</v>
      </c>
      <c r="E190" t="s">
        <v>762</v>
      </c>
      <c r="F190" s="47">
        <f>Summary!AD31</f>
        <v>5000</v>
      </c>
      <c r="G190" t="s">
        <v>764</v>
      </c>
      <c r="H190" t="s">
        <v>732</v>
      </c>
      <c r="I190" t="s">
        <v>838</v>
      </c>
      <c r="J190" t="s">
        <v>588</v>
      </c>
      <c r="K190" t="s">
        <v>561</v>
      </c>
      <c r="L190" t="s">
        <v>741</v>
      </c>
      <c r="M190" s="341" t="s">
        <v>735</v>
      </c>
      <c r="N190" s="58" t="s">
        <v>836</v>
      </c>
    </row>
    <row r="191" spans="2:14" x14ac:dyDescent="0.25">
      <c r="B191" t="s">
        <v>364</v>
      </c>
      <c r="C191" t="s">
        <v>756</v>
      </c>
      <c r="D191" s="148" t="s">
        <v>844</v>
      </c>
      <c r="E191" t="s">
        <v>762</v>
      </c>
      <c r="F191" s="47">
        <f>Summary!AD32</f>
        <v>225000</v>
      </c>
      <c r="G191" t="s">
        <v>763</v>
      </c>
      <c r="H191" t="s">
        <v>732</v>
      </c>
      <c r="I191" t="s">
        <v>837</v>
      </c>
      <c r="J191" t="s">
        <v>588</v>
      </c>
      <c r="K191" t="s">
        <v>561</v>
      </c>
      <c r="L191" t="s">
        <v>833</v>
      </c>
      <c r="M191" s="58" t="s">
        <v>672</v>
      </c>
      <c r="N191" s="58" t="s">
        <v>839</v>
      </c>
    </row>
    <row r="192" spans="2:14" x14ac:dyDescent="0.25">
      <c r="B192" t="s">
        <v>364</v>
      </c>
      <c r="C192" t="s">
        <v>757</v>
      </c>
      <c r="D192" s="148" t="s">
        <v>844</v>
      </c>
      <c r="E192" t="s">
        <v>762</v>
      </c>
      <c r="F192" s="268">
        <f>Summary!AD33</f>
        <v>0.97799999999999998</v>
      </c>
      <c r="G192" t="s">
        <v>764</v>
      </c>
      <c r="H192" t="s">
        <v>732</v>
      </c>
      <c r="I192" t="s">
        <v>837</v>
      </c>
      <c r="J192" t="s">
        <v>588</v>
      </c>
      <c r="K192" t="s">
        <v>561</v>
      </c>
      <c r="L192" t="s">
        <v>833</v>
      </c>
      <c r="M192" s="58" t="s">
        <v>672</v>
      </c>
    </row>
    <row r="193" spans="2:14" x14ac:dyDescent="0.25">
      <c r="B193" t="s">
        <v>364</v>
      </c>
      <c r="C193" t="s">
        <v>841</v>
      </c>
      <c r="D193" s="148" t="s">
        <v>842</v>
      </c>
      <c r="E193" t="s">
        <v>758</v>
      </c>
      <c r="F193" s="47">
        <f>Summary!AD37</f>
        <v>280000</v>
      </c>
      <c r="G193" t="s">
        <v>906</v>
      </c>
      <c r="H193" t="s">
        <v>732</v>
      </c>
      <c r="I193" t="s">
        <v>822</v>
      </c>
      <c r="J193" t="s">
        <v>588</v>
      </c>
      <c r="K193" t="s">
        <v>561</v>
      </c>
      <c r="L193" t="s">
        <v>886</v>
      </c>
      <c r="M193" s="58" t="s">
        <v>672</v>
      </c>
      <c r="N193" s="58" t="s">
        <v>888</v>
      </c>
    </row>
    <row r="194" spans="2:14" x14ac:dyDescent="0.25">
      <c r="B194" t="s">
        <v>364</v>
      </c>
      <c r="C194" t="s">
        <v>841</v>
      </c>
      <c r="D194" s="148" t="s">
        <v>842</v>
      </c>
      <c r="E194" t="s">
        <v>758</v>
      </c>
      <c r="F194" s="47">
        <f>Summary!AD38</f>
        <v>34000</v>
      </c>
      <c r="G194" t="s">
        <v>905</v>
      </c>
      <c r="H194" t="s">
        <v>732</v>
      </c>
      <c r="I194" t="s">
        <v>823</v>
      </c>
      <c r="J194" t="s">
        <v>588</v>
      </c>
      <c r="K194" t="s">
        <v>561</v>
      </c>
      <c r="L194" t="s">
        <v>820</v>
      </c>
      <c r="M194" s="58" t="s">
        <v>672</v>
      </c>
      <c r="N194" s="58" t="s">
        <v>885</v>
      </c>
    </row>
    <row r="195" spans="2:14" x14ac:dyDescent="0.25">
      <c r="B195" t="s">
        <v>364</v>
      </c>
      <c r="C195" t="s">
        <v>841</v>
      </c>
      <c r="D195" s="148" t="s">
        <v>842</v>
      </c>
      <c r="E195" t="s">
        <v>758</v>
      </c>
      <c r="F195" s="47">
        <f>Summary!AD39</f>
        <v>246000</v>
      </c>
      <c r="G195" t="s">
        <v>907</v>
      </c>
      <c r="H195" t="s">
        <v>732</v>
      </c>
      <c r="I195" t="s">
        <v>822</v>
      </c>
      <c r="J195" t="s">
        <v>588</v>
      </c>
      <c r="K195" t="s">
        <v>561</v>
      </c>
      <c r="L195" t="s">
        <v>886</v>
      </c>
      <c r="M195" s="58" t="s">
        <v>672</v>
      </c>
      <c r="N195" s="58" t="s">
        <v>887</v>
      </c>
    </row>
    <row r="196" spans="2:14" x14ac:dyDescent="0.25">
      <c r="B196" t="s">
        <v>364</v>
      </c>
      <c r="C196" t="s">
        <v>841</v>
      </c>
      <c r="D196" s="148" t="s">
        <v>842</v>
      </c>
      <c r="E196" t="s">
        <v>758</v>
      </c>
      <c r="F196" s="268">
        <f>Summary!AD40</f>
        <v>0.879</v>
      </c>
      <c r="G196" t="s">
        <v>907</v>
      </c>
      <c r="H196" t="s">
        <v>732</v>
      </c>
      <c r="I196" t="s">
        <v>822</v>
      </c>
      <c r="J196" t="s">
        <v>588</v>
      </c>
      <c r="K196" t="s">
        <v>561</v>
      </c>
      <c r="L196" t="s">
        <v>886</v>
      </c>
      <c r="M196" s="58" t="s">
        <v>672</v>
      </c>
    </row>
    <row r="197" spans="2:14" x14ac:dyDescent="0.25">
      <c r="B197" t="s">
        <v>364</v>
      </c>
      <c r="C197" t="s">
        <v>848</v>
      </c>
      <c r="D197" s="148" t="s">
        <v>811</v>
      </c>
      <c r="E197" t="s">
        <v>758</v>
      </c>
      <c r="F197" s="47">
        <f>Summary!AD41</f>
        <v>172000</v>
      </c>
      <c r="G197" t="s">
        <v>908</v>
      </c>
      <c r="H197" t="s">
        <v>732</v>
      </c>
      <c r="I197" t="s">
        <v>847</v>
      </c>
      <c r="J197" t="s">
        <v>588</v>
      </c>
      <c r="K197" t="s">
        <v>561</v>
      </c>
      <c r="L197" t="s">
        <v>820</v>
      </c>
      <c r="M197" s="58" t="s">
        <v>672</v>
      </c>
    </row>
    <row r="198" spans="2:14" ht="30" x14ac:dyDescent="0.25">
      <c r="B198" t="s">
        <v>364</v>
      </c>
      <c r="C198" t="s">
        <v>849</v>
      </c>
      <c r="D198" t="s">
        <v>811</v>
      </c>
      <c r="E198" t="s">
        <v>758</v>
      </c>
      <c r="F198" s="47">
        <f>Summary!AD42</f>
        <v>32000</v>
      </c>
      <c r="G198" t="s">
        <v>897</v>
      </c>
      <c r="H198" t="s">
        <v>896</v>
      </c>
      <c r="I198" t="s">
        <v>846</v>
      </c>
      <c r="J198" t="s">
        <v>572</v>
      </c>
      <c r="K198" t="s">
        <v>561</v>
      </c>
      <c r="L198" s="58" t="s">
        <v>909</v>
      </c>
      <c r="M198" s="58" t="s">
        <v>911</v>
      </c>
      <c r="N198" s="58" t="s">
        <v>912</v>
      </c>
    </row>
    <row r="199" spans="2:14" x14ac:dyDescent="0.25">
      <c r="B199" t="s">
        <v>364</v>
      </c>
      <c r="C199" t="s">
        <v>850</v>
      </c>
      <c r="D199" t="s">
        <v>811</v>
      </c>
      <c r="E199" t="s">
        <v>758</v>
      </c>
      <c r="F199" s="47">
        <f>Summary!AD43</f>
        <v>140000</v>
      </c>
      <c r="G199" t="s">
        <v>907</v>
      </c>
      <c r="H199" t="s">
        <v>732</v>
      </c>
      <c r="I199" t="s">
        <v>845</v>
      </c>
      <c r="J199" t="s">
        <v>588</v>
      </c>
      <c r="K199" t="s">
        <v>561</v>
      </c>
      <c r="L199" t="s">
        <v>886</v>
      </c>
      <c r="M199" s="58" t="s">
        <v>672</v>
      </c>
    </row>
    <row r="200" spans="2:14" ht="45" x14ac:dyDescent="0.25">
      <c r="B200" t="s">
        <v>364</v>
      </c>
      <c r="C200" t="s">
        <v>851</v>
      </c>
      <c r="D200" t="s">
        <v>811</v>
      </c>
      <c r="E200" t="s">
        <v>758</v>
      </c>
      <c r="F200" s="268">
        <f>Summary!AD44</f>
        <v>0.81399999999999995</v>
      </c>
      <c r="G200" t="s">
        <v>907</v>
      </c>
      <c r="H200" t="s">
        <v>732</v>
      </c>
      <c r="I200" t="s">
        <v>847</v>
      </c>
      <c r="J200" t="s">
        <v>588</v>
      </c>
      <c r="K200" t="s">
        <v>561</v>
      </c>
      <c r="L200" s="58" t="s">
        <v>913</v>
      </c>
      <c r="M200" s="58" t="s">
        <v>914</v>
      </c>
      <c r="N200" s="58" t="s">
        <v>915</v>
      </c>
    </row>
    <row r="201" spans="2:14" x14ac:dyDescent="0.25">
      <c r="B201" t="s">
        <v>364</v>
      </c>
      <c r="C201" t="s">
        <v>852</v>
      </c>
      <c r="D201" t="s">
        <v>811</v>
      </c>
      <c r="E201" t="s">
        <v>762</v>
      </c>
      <c r="F201" s="47">
        <f>Summary!AD49</f>
        <v>171000</v>
      </c>
      <c r="G201" t="s">
        <v>764</v>
      </c>
      <c r="H201" t="s">
        <v>732</v>
      </c>
      <c r="I201" t="s">
        <v>837</v>
      </c>
      <c r="J201" t="s">
        <v>588</v>
      </c>
      <c r="K201" t="s">
        <v>561</v>
      </c>
      <c r="L201" t="s">
        <v>886</v>
      </c>
      <c r="M201" s="58" t="s">
        <v>672</v>
      </c>
      <c r="N201" s="58" t="s">
        <v>853</v>
      </c>
    </row>
    <row r="202" spans="2:14" x14ac:dyDescent="0.25">
      <c r="B202" t="s">
        <v>364</v>
      </c>
      <c r="C202" t="s">
        <v>755</v>
      </c>
      <c r="D202" t="s">
        <v>811</v>
      </c>
      <c r="E202" t="s">
        <v>762</v>
      </c>
      <c r="F202" s="47">
        <f>Summary!AD50</f>
        <v>5000</v>
      </c>
      <c r="G202" t="s">
        <v>764</v>
      </c>
      <c r="H202" t="s">
        <v>732</v>
      </c>
      <c r="I202" t="s">
        <v>838</v>
      </c>
      <c r="J202" t="s">
        <v>588</v>
      </c>
      <c r="K202" t="s">
        <v>561</v>
      </c>
      <c r="L202" t="s">
        <v>741</v>
      </c>
      <c r="M202" s="341" t="s">
        <v>735</v>
      </c>
      <c r="N202" s="58" t="s">
        <v>836</v>
      </c>
    </row>
    <row r="203" spans="2:14" x14ac:dyDescent="0.25">
      <c r="B203" t="s">
        <v>364</v>
      </c>
      <c r="C203" t="s">
        <v>756</v>
      </c>
      <c r="D203" t="s">
        <v>811</v>
      </c>
      <c r="E203" t="s">
        <v>762</v>
      </c>
      <c r="F203" s="47">
        <f>Summary!AD51</f>
        <v>166000</v>
      </c>
      <c r="G203" t="s">
        <v>763</v>
      </c>
      <c r="H203" t="s">
        <v>732</v>
      </c>
      <c r="I203" t="s">
        <v>837</v>
      </c>
      <c r="J203" t="s">
        <v>588</v>
      </c>
      <c r="K203" t="s">
        <v>561</v>
      </c>
      <c r="L203" t="s">
        <v>886</v>
      </c>
      <c r="M203" s="58" t="s">
        <v>672</v>
      </c>
      <c r="N203" s="58" t="s">
        <v>854</v>
      </c>
    </row>
    <row r="204" spans="2:14" x14ac:dyDescent="0.25">
      <c r="B204" t="s">
        <v>364</v>
      </c>
      <c r="C204" t="s">
        <v>757</v>
      </c>
      <c r="D204" t="s">
        <v>811</v>
      </c>
      <c r="E204" t="s">
        <v>762</v>
      </c>
      <c r="F204" s="268">
        <f>Summary!AD52</f>
        <v>0.97099999999999997</v>
      </c>
      <c r="G204" t="s">
        <v>764</v>
      </c>
      <c r="H204" t="s">
        <v>732</v>
      </c>
      <c r="I204" t="s">
        <v>837</v>
      </c>
      <c r="J204" t="s">
        <v>588</v>
      </c>
      <c r="K204" t="s">
        <v>561</v>
      </c>
      <c r="L204" t="s">
        <v>886</v>
      </c>
      <c r="M204" s="58" t="s">
        <v>672</v>
      </c>
    </row>
  </sheetData>
  <hyperlinks>
    <hyperlink ref="M6" r:id="rId1" xr:uid="{00000000-0004-0000-0800-000000000000}"/>
    <hyperlink ref="M7" r:id="rId2" xr:uid="{00000000-0004-0000-0800-000001000000}"/>
    <hyperlink ref="M8" r:id="rId3" xr:uid="{00000000-0004-0000-0800-000002000000}"/>
    <hyperlink ref="M9" r:id="rId4" xr:uid="{00000000-0004-0000-0800-000003000000}"/>
    <hyperlink ref="M22" r:id="rId5" xr:uid="{00000000-0004-0000-0800-000004000000}"/>
    <hyperlink ref="M23" r:id="rId6" xr:uid="{00000000-0004-0000-0800-000005000000}"/>
    <hyperlink ref="M25" r:id="rId7" xr:uid="{00000000-0004-0000-0800-000007000000}"/>
    <hyperlink ref="M28" r:id="rId8" xr:uid="{00000000-0004-0000-0800-000008000000}"/>
    <hyperlink ref="M30" r:id="rId9" xr:uid="{00000000-0004-0000-0800-000009000000}"/>
    <hyperlink ref="M34" r:id="rId10" xr:uid="{00000000-0004-0000-0800-000019000000}"/>
    <hyperlink ref="M35" r:id="rId11" xr:uid="{00000000-0004-0000-0800-00001A000000}"/>
    <hyperlink ref="M36" r:id="rId12" xr:uid="{00000000-0004-0000-0800-00001B000000}"/>
    <hyperlink ref="M37" r:id="rId13" xr:uid="{00000000-0004-0000-0800-00001C000000}"/>
    <hyperlink ref="M50" r:id="rId14" xr:uid="{00000000-0004-0000-0800-00001D000000}"/>
    <hyperlink ref="M51" r:id="rId15" xr:uid="{00000000-0004-0000-0800-00001E000000}"/>
    <hyperlink ref="M58" r:id="rId16" xr:uid="{00000000-0004-0000-0800-000023000000}"/>
    <hyperlink ref="M64" r:id="rId17" xr:uid="{00000000-0004-0000-0800-000035000000}"/>
    <hyperlink ref="M65" r:id="rId18" xr:uid="{00000000-0004-0000-0800-000036000000}"/>
    <hyperlink ref="M81" r:id="rId19" xr:uid="{00000000-0004-0000-0800-000037000000}"/>
    <hyperlink ref="M78" r:id="rId20" xr:uid="{00000000-0004-0000-0800-000038000000}"/>
    <hyperlink ref="M79" r:id="rId21" xr:uid="{00000000-0004-0000-0800-000039000000}"/>
    <hyperlink ref="M84" r:id="rId22" xr:uid="{00000000-0004-0000-0800-00003A000000}"/>
    <hyperlink ref="M62" r:id="rId23" xr:uid="{00000000-0004-0000-0800-00003B000000}"/>
    <hyperlink ref="M63" r:id="rId24" xr:uid="{00000000-0004-0000-0800-00003C000000}"/>
    <hyperlink ref="M86" r:id="rId25" xr:uid="{00000000-0004-0000-0800-00003D000000}"/>
    <hyperlink ref="M87" r:id="rId26" xr:uid="{00000000-0004-0000-0800-00003E000000}"/>
    <hyperlink ref="M88" r:id="rId27" xr:uid="{00000000-0004-0000-0800-00003F000000}"/>
    <hyperlink ref="M89" r:id="rId28" xr:uid="{00000000-0004-0000-0800-000040000000}"/>
    <hyperlink ref="M90" r:id="rId29" xr:uid="{00000000-0004-0000-0800-000041000000}"/>
    <hyperlink ref="M91" r:id="rId30" xr:uid="{00000000-0004-0000-0800-000042000000}"/>
    <hyperlink ref="M92" r:id="rId31" xr:uid="{00000000-0004-0000-0800-000043000000}"/>
    <hyperlink ref="M93" r:id="rId32" xr:uid="{00000000-0004-0000-0800-000044000000}"/>
    <hyperlink ref="M94" r:id="rId33" xr:uid="{00000000-0004-0000-0800-000045000000}"/>
    <hyperlink ref="M95" r:id="rId34" xr:uid="{00000000-0004-0000-0800-000046000000}"/>
    <hyperlink ref="M96" r:id="rId35" xr:uid="{00000000-0004-0000-0800-000047000000}"/>
    <hyperlink ref="M97" r:id="rId36" xr:uid="{00000000-0004-0000-0800-000048000000}"/>
    <hyperlink ref="M98" r:id="rId37" xr:uid="{00000000-0004-0000-0800-000049000000}"/>
    <hyperlink ref="M99" r:id="rId38" xr:uid="{00000000-0004-0000-0800-00004A000000}"/>
    <hyperlink ref="M100" r:id="rId39" xr:uid="{00000000-0004-0000-0800-00004B000000}"/>
    <hyperlink ref="M101" r:id="rId40" xr:uid="{00000000-0004-0000-0800-00004C000000}"/>
    <hyperlink ref="M102" r:id="rId41" xr:uid="{00000000-0004-0000-0800-00004D000000}"/>
    <hyperlink ref="M103" r:id="rId42" xr:uid="{00000000-0004-0000-0800-00004E000000}"/>
    <hyperlink ref="M104" r:id="rId43" xr:uid="{00000000-0004-0000-0800-00004F000000}"/>
    <hyperlink ref="M105" r:id="rId44" xr:uid="{00000000-0004-0000-0800-000050000000}"/>
    <hyperlink ref="M106" r:id="rId45" xr:uid="{00000000-0004-0000-0800-000051000000}"/>
    <hyperlink ref="M107" r:id="rId46" xr:uid="{00000000-0004-0000-0800-000052000000}"/>
    <hyperlink ref="M111" r:id="rId47" xr:uid="{00000000-0004-0000-0800-000053000000}"/>
    <hyperlink ref="M112" r:id="rId48" xr:uid="{00000000-0004-0000-0800-000054000000}"/>
    <hyperlink ref="M113" r:id="rId49" xr:uid="{00000000-0004-0000-0800-000055000000}"/>
    <hyperlink ref="M119" r:id="rId50" xr:uid="{00000000-0004-0000-0800-000056000000}"/>
    <hyperlink ref="M120" r:id="rId51" xr:uid="{00000000-0004-0000-0800-000057000000}"/>
    <hyperlink ref="M121" r:id="rId52" xr:uid="{00000000-0004-0000-0800-000058000000}"/>
    <hyperlink ref="M118" r:id="rId53" xr:uid="{00000000-0004-0000-0800-000059000000}"/>
    <hyperlink ref="M122" r:id="rId54" xr:uid="{00000000-0004-0000-0800-00005A000000}"/>
    <hyperlink ref="M123" r:id="rId55" xr:uid="{00000000-0004-0000-0800-00005B000000}"/>
    <hyperlink ref="M124" r:id="rId56" xr:uid="{00000000-0004-0000-0800-00005C000000}"/>
    <hyperlink ref="M125" r:id="rId57" xr:uid="{00000000-0004-0000-0800-00005D000000}"/>
    <hyperlink ref="M126" r:id="rId58" xr:uid="{00000000-0004-0000-0800-00005E000000}"/>
    <hyperlink ref="M127" r:id="rId59" xr:uid="{00000000-0004-0000-0800-00005F000000}"/>
    <hyperlink ref="M128" r:id="rId60" xr:uid="{00000000-0004-0000-0800-000060000000}"/>
    <hyperlink ref="M129" r:id="rId61" xr:uid="{00000000-0004-0000-0800-000061000000}"/>
    <hyperlink ref="M110" r:id="rId62" xr:uid="{00000000-0004-0000-0800-000062000000}"/>
    <hyperlink ref="M139" r:id="rId63" xr:uid="{00000000-0004-0000-0800-000063000000}"/>
    <hyperlink ref="M140" r:id="rId64" xr:uid="{00000000-0004-0000-0800-000064000000}"/>
    <hyperlink ref="M141" r:id="rId65" xr:uid="{00000000-0004-0000-0800-000065000000}"/>
    <hyperlink ref="M143" r:id="rId66" xr:uid="{00000000-0004-0000-0800-000066000000}"/>
    <hyperlink ref="M144" r:id="rId67" xr:uid="{00000000-0004-0000-0800-000067000000}"/>
    <hyperlink ref="M147" r:id="rId68" xr:uid="{00000000-0004-0000-0800-000068000000}"/>
    <hyperlink ref="M148" r:id="rId69" xr:uid="{00000000-0004-0000-0800-000069000000}"/>
    <hyperlink ref="M151" r:id="rId70" xr:uid="{00000000-0004-0000-0800-00006A000000}"/>
    <hyperlink ref="M154" r:id="rId71" xr:uid="{00000000-0004-0000-0800-00006B000000}"/>
    <hyperlink ref="M155" r:id="rId72" xr:uid="{00000000-0004-0000-0800-00006C000000}"/>
    <hyperlink ref="M156" r:id="rId73" xr:uid="{00000000-0004-0000-0800-00006D000000}"/>
    <hyperlink ref="M157" r:id="rId74" xr:uid="{00000000-0004-0000-0800-00006E000000}"/>
    <hyperlink ref="M158" r:id="rId75" xr:uid="{00000000-0004-0000-0800-00006F000000}"/>
    <hyperlink ref="M159" r:id="rId76" xr:uid="{00000000-0004-0000-0800-000070000000}"/>
    <hyperlink ref="M160" r:id="rId77" xr:uid="{00000000-0004-0000-0800-000071000000}"/>
    <hyperlink ref="M161" r:id="rId78" xr:uid="{00000000-0004-0000-0800-000072000000}"/>
    <hyperlink ref="M162" r:id="rId79" xr:uid="{00000000-0004-0000-0800-000073000000}"/>
    <hyperlink ref="M163" r:id="rId80" xr:uid="{00000000-0004-0000-0800-000074000000}"/>
    <hyperlink ref="M164" r:id="rId81" xr:uid="{00000000-0004-0000-0800-000075000000}"/>
    <hyperlink ref="M165" r:id="rId82" xr:uid="{00000000-0004-0000-0800-000076000000}"/>
    <hyperlink ref="M166" r:id="rId83" xr:uid="{00000000-0004-0000-0800-000077000000}"/>
    <hyperlink ref="M167" r:id="rId84" xr:uid="{00000000-0004-0000-0800-000078000000}"/>
    <hyperlink ref="M168" r:id="rId85" xr:uid="{00000000-0004-0000-0800-000079000000}"/>
    <hyperlink ref="M169" r:id="rId86" xr:uid="{00000000-0004-0000-0800-00007A000000}"/>
    <hyperlink ref="M170" r:id="rId87" xr:uid="{00000000-0004-0000-0800-00007B000000}"/>
    <hyperlink ref="M48" r:id="rId88" xr:uid="{00000000-0004-0000-0800-00007C000000}"/>
    <hyperlink ref="M134" r:id="rId89" xr:uid="{00000000-0004-0000-0800-00007D000000}"/>
    <hyperlink ref="M138" r:id="rId90" xr:uid="{00000000-0004-0000-0800-00007E000000}"/>
    <hyperlink ref="M137" r:id="rId91" xr:uid="{00000000-0004-0000-0800-00007F000000}"/>
    <hyperlink ref="M114" r:id="rId92" xr:uid="{00000000-0004-0000-0800-000080000000}"/>
    <hyperlink ref="M115" r:id="rId93" xr:uid="{00000000-0004-0000-0800-000081000000}"/>
    <hyperlink ref="M116" r:id="rId94" xr:uid="{00000000-0004-0000-0800-000082000000}"/>
    <hyperlink ref="M117" r:id="rId95" xr:uid="{00000000-0004-0000-0800-000083000000}"/>
    <hyperlink ref="M130" r:id="rId96" xr:uid="{00000000-0004-0000-0800-000084000000}"/>
    <hyperlink ref="M131" r:id="rId97" xr:uid="{00000000-0004-0000-0800-000085000000}"/>
    <hyperlink ref="M133" r:id="rId98" xr:uid="{00000000-0004-0000-0800-000086000000}"/>
    <hyperlink ref="M136" r:id="rId99" xr:uid="{00000000-0004-0000-0800-000087000000}"/>
    <hyperlink ref="M108" r:id="rId100" xr:uid="{00000000-0004-0000-0800-000088000000}"/>
    <hyperlink ref="M109" r:id="rId101" xr:uid="{00000000-0004-0000-0800-000089000000}"/>
    <hyperlink ref="M173" r:id="rId102" xr:uid="{00000000-0004-0000-0800-00008A000000}"/>
    <hyperlink ref="M177" r:id="rId103" xr:uid="{00000000-0004-0000-0800-00008B000000}"/>
    <hyperlink ref="M178" r:id="rId104" xr:uid="{00000000-0004-0000-0800-00008C000000}"/>
    <hyperlink ref="M190" r:id="rId105" xr:uid="{92566CB3-F4C8-4467-972E-E79E8F45EBC2}"/>
    <hyperlink ref="M202" r:id="rId106" xr:uid="{A760538B-8990-4BB9-BE8B-E882651645BA}"/>
    <hyperlink ref="M53" r:id="rId107" xr:uid="{00000000-0004-0000-0800-000020000000}"/>
    <hyperlink ref="M56" r:id="rId108" xr:uid="{00000000-0004-0000-0800-000021000000}"/>
    <hyperlink ref="M57" r:id="rId109" xr:uid="{E1F1073F-016C-4922-86AF-C1687548E220}"/>
    <hyperlink ref="M26" r:id="rId110" xr:uid="{650E13B2-B8C8-4F29-A396-BBA5CF57FBB0}"/>
    <hyperlink ref="M29" r:id="rId111" xr:uid="{DB2F5056-C749-440B-8CF2-227366D2885E}"/>
    <hyperlink ref="M31:M33" r:id="rId112" display="https://www.lcfrb.gen.wa.us/librarysalmonrecovery" xr:uid="{732AB997-CF4A-4960-9D72-7DD5AC0B7741}"/>
    <hyperlink ref="M38:M47" r:id="rId113" display="https://www.lcfrb.gen.wa.us/librarysalmonrecovery" xr:uid="{44B31029-F335-4A8D-85F4-157835513B6A}"/>
    <hyperlink ref="M49" r:id="rId114" xr:uid="{F2405739-B593-491C-985B-936290E6E1CC}"/>
    <hyperlink ref="M54" r:id="rId115" xr:uid="{8147D73E-3330-43E8-A7CD-A0E5D3CFD22B}"/>
    <hyperlink ref="M59:M61" r:id="rId116" display="https://www.lcfrb.gen.wa.us/librarysalmonrecovery" xr:uid="{733EB4A3-EEA4-49F8-97D9-DB1CBF6F19A5}"/>
    <hyperlink ref="M66:M77" r:id="rId117" display="https://www.lcfrb.gen.wa.us/librarysalmonrecovery" xr:uid="{C3A1605F-36CF-45D8-865A-6421723B7BAB}"/>
    <hyperlink ref="M82" r:id="rId118" xr:uid="{7003DF50-175A-416A-B4EF-AC8968A2F78F}"/>
    <hyperlink ref="M85" r:id="rId119" xr:uid="{70B54461-3ACD-4019-A48B-D781C1E9A7F9}"/>
  </hyperlinks>
  <pageMargins left="0.7" right="0.7" top="0.75" bottom="0.75" header="0.3" footer="0.3"/>
  <pageSetup orientation="portrait" horizontalDpi="4294967293" verticalDpi="4294967293" r:id="rId120"/>
  <legacyDrawing r:id="rId12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R315"/>
  <sheetViews>
    <sheetView topLeftCell="AJ293" zoomScaleNormal="100" workbookViewId="0">
      <selection activeCell="AS317" sqref="AS317"/>
    </sheetView>
  </sheetViews>
  <sheetFormatPr defaultRowHeight="15" x14ac:dyDescent="0.25"/>
  <cols>
    <col min="1" max="1" width="9.140625" customWidth="1"/>
    <col min="2" max="2" width="14.140625" customWidth="1"/>
    <col min="3" max="3" width="18" customWidth="1"/>
    <col min="4" max="4" width="9.28515625" customWidth="1"/>
    <col min="5" max="5" width="8.7109375" style="38" customWidth="1"/>
    <col min="6" max="6" width="10.42578125" customWidth="1"/>
    <col min="7" max="7" width="10" style="38" customWidth="1"/>
    <col min="8" max="8" width="9.7109375" style="27" customWidth="1"/>
    <col min="9" max="9" width="9.7109375" customWidth="1"/>
    <col min="10" max="10" width="11.42578125" style="2" customWidth="1"/>
    <col min="11" max="11" width="9.7109375" style="73" customWidth="1"/>
    <col min="12" max="12" width="13.140625" style="38" bestFit="1" customWidth="1"/>
    <col min="13" max="13" width="8.7109375" style="39" customWidth="1"/>
    <col min="14" max="14" width="12.42578125" style="38" customWidth="1"/>
    <col min="15" max="15" width="11.140625" style="38" customWidth="1"/>
    <col min="16" max="16" width="10.140625" style="39" customWidth="1"/>
    <col min="17" max="17" width="11.7109375" style="38" customWidth="1"/>
    <col min="18" max="18" width="11.5703125" bestFit="1" customWidth="1"/>
    <col min="19" max="19" width="6.85546875" customWidth="1"/>
    <col min="20" max="20" width="11.5703125" bestFit="1" customWidth="1"/>
    <col min="21" max="21" width="9.140625" style="148"/>
    <col min="22" max="22" width="9.5703125" style="148" customWidth="1"/>
    <col min="23" max="23" width="11.42578125" style="148" customWidth="1"/>
    <col min="24" max="24" width="8.85546875" style="148"/>
    <col min="25" max="25" width="9.7109375" style="38" customWidth="1"/>
    <col min="26" max="26" width="2" style="38" customWidth="1"/>
    <col min="27" max="29" width="7.7109375" customWidth="1"/>
    <col min="30" max="30" width="3.5703125" customWidth="1"/>
    <col min="31" max="31" width="4.7109375" customWidth="1"/>
    <col min="32" max="32" width="6.140625" customWidth="1"/>
    <col min="33" max="33" width="4.7109375" customWidth="1"/>
    <col min="50" max="50" width="9.140625" customWidth="1"/>
    <col min="52" max="52" width="24.28515625" customWidth="1"/>
    <col min="55" max="55" width="19.28515625" customWidth="1"/>
    <col min="56" max="56" width="14.28515625" customWidth="1"/>
    <col min="57" max="57" width="11.140625" customWidth="1"/>
    <col min="58" max="58" width="10.42578125" customWidth="1"/>
    <col min="59" max="59" width="17.42578125" bestFit="1" customWidth="1"/>
    <col min="62" max="62" width="11.28515625" customWidth="1"/>
    <col min="63" max="63" width="14.85546875" customWidth="1"/>
    <col min="64" max="70" width="20.7109375" customWidth="1"/>
    <col min="71" max="71" width="10" customWidth="1"/>
  </cols>
  <sheetData>
    <row r="1" spans="1:73" s="23" customFormat="1" ht="18.75" x14ac:dyDescent="0.3">
      <c r="A1" s="28" t="s">
        <v>194</v>
      </c>
      <c r="E1" s="61"/>
      <c r="G1" s="61"/>
      <c r="H1" s="26"/>
      <c r="J1" s="115"/>
      <c r="K1" s="67"/>
      <c r="L1" s="61"/>
      <c r="M1" s="68"/>
      <c r="N1" s="61"/>
      <c r="O1" s="61"/>
      <c r="P1" s="68"/>
      <c r="Q1" s="61"/>
      <c r="U1" s="151"/>
      <c r="V1" s="151"/>
      <c r="W1" s="151"/>
      <c r="X1" s="151"/>
      <c r="Y1" s="61"/>
      <c r="Z1" s="61"/>
    </row>
    <row r="2" spans="1:73" s="41" customFormat="1" ht="16.5" customHeight="1" x14ac:dyDescent="0.25">
      <c r="E2" s="652" t="s">
        <v>137</v>
      </c>
      <c r="F2" s="652"/>
      <c r="G2" s="652"/>
      <c r="H2" s="652"/>
      <c r="I2" s="126"/>
      <c r="J2" s="652" t="s">
        <v>1</v>
      </c>
      <c r="K2" s="652"/>
      <c r="L2" s="652"/>
      <c r="M2" s="653"/>
      <c r="N2" s="74"/>
      <c r="O2" s="97" t="s">
        <v>244</v>
      </c>
      <c r="P2" s="95"/>
      <c r="R2" s="74"/>
      <c r="S2" s="652" t="s">
        <v>2</v>
      </c>
      <c r="T2" s="652"/>
      <c r="U2" s="152" t="s">
        <v>260</v>
      </c>
      <c r="V2" s="153"/>
      <c r="W2" s="153"/>
      <c r="X2" s="153"/>
      <c r="Y2" s="99"/>
      <c r="Z2" s="99"/>
      <c r="AA2" s="96" t="s">
        <v>261</v>
      </c>
      <c r="AE2" s="96" t="s">
        <v>267</v>
      </c>
    </row>
    <row r="3" spans="1:73" s="41" customFormat="1" ht="45" x14ac:dyDescent="0.25">
      <c r="D3" s="60" t="s">
        <v>211</v>
      </c>
      <c r="E3" s="62" t="s">
        <v>3</v>
      </c>
      <c r="F3" s="24" t="s">
        <v>249</v>
      </c>
      <c r="G3" s="24" t="s">
        <v>248</v>
      </c>
      <c r="H3" s="42" t="s">
        <v>247</v>
      </c>
      <c r="I3" s="24" t="s">
        <v>272</v>
      </c>
      <c r="J3" s="24" t="s">
        <v>273</v>
      </c>
      <c r="K3" s="127" t="s">
        <v>252</v>
      </c>
      <c r="L3" s="24" t="s">
        <v>140</v>
      </c>
      <c r="M3" s="102" t="s">
        <v>210</v>
      </c>
      <c r="N3" s="24" t="s">
        <v>171</v>
      </c>
      <c r="O3" s="24" t="s">
        <v>3</v>
      </c>
      <c r="P3" s="42" t="s">
        <v>243</v>
      </c>
      <c r="Q3" s="24" t="s">
        <v>5</v>
      </c>
      <c r="R3" s="118" t="s">
        <v>56</v>
      </c>
      <c r="S3" s="24" t="s">
        <v>6</v>
      </c>
      <c r="T3" s="24" t="s">
        <v>7</v>
      </c>
      <c r="U3" s="154" t="s">
        <v>180</v>
      </c>
      <c r="V3" s="127" t="s">
        <v>47</v>
      </c>
      <c r="W3" s="127" t="s">
        <v>20</v>
      </c>
      <c r="X3" s="127" t="s">
        <v>200</v>
      </c>
      <c r="Y3" s="24" t="s">
        <v>175</v>
      </c>
      <c r="Z3" s="24"/>
      <c r="AA3" s="118" t="s">
        <v>180</v>
      </c>
      <c r="AB3" s="24" t="s">
        <v>200</v>
      </c>
      <c r="AC3" s="24" t="s">
        <v>175</v>
      </c>
      <c r="AD3" s="117"/>
      <c r="AE3" s="118" t="s">
        <v>180</v>
      </c>
      <c r="AF3" s="24" t="s">
        <v>200</v>
      </c>
      <c r="AG3" s="24" t="s">
        <v>175</v>
      </c>
    </row>
    <row r="4" spans="1:73" x14ac:dyDescent="0.25">
      <c r="A4" s="651" t="s">
        <v>14</v>
      </c>
      <c r="B4" s="626" t="s">
        <v>11</v>
      </c>
      <c r="C4" s="1" t="s">
        <v>8</v>
      </c>
      <c r="D4" s="1">
        <v>50</v>
      </c>
      <c r="E4" s="63">
        <v>512</v>
      </c>
      <c r="F4" s="43">
        <v>4344</v>
      </c>
      <c r="G4" s="43">
        <v>3760</v>
      </c>
      <c r="H4" s="44">
        <v>3800</v>
      </c>
      <c r="I4" s="43" t="s">
        <v>270</v>
      </c>
      <c r="J4" s="2" t="s">
        <v>124</v>
      </c>
      <c r="K4" s="125">
        <v>1000</v>
      </c>
      <c r="L4" s="103">
        <v>1239</v>
      </c>
      <c r="M4" s="100">
        <v>3773</v>
      </c>
      <c r="N4" s="43" t="s">
        <v>174</v>
      </c>
      <c r="O4" s="43" t="s">
        <v>173</v>
      </c>
      <c r="P4" s="45" t="s">
        <v>175</v>
      </c>
      <c r="Q4" s="43">
        <v>2400</v>
      </c>
      <c r="R4" s="46" t="str">
        <f>+T4</f>
        <v>2400-3773</v>
      </c>
      <c r="S4" s="1" t="s">
        <v>87</v>
      </c>
      <c r="T4" s="1" t="s">
        <v>91</v>
      </c>
      <c r="U4" s="148">
        <v>2400</v>
      </c>
      <c r="V4" s="148">
        <v>0.5</v>
      </c>
      <c r="W4" s="155">
        <f>+IF(E4&gt;(M4+L4)*V4,E4,(M4+L4)*V4)</f>
        <v>2506</v>
      </c>
      <c r="X4" s="32">
        <v>600</v>
      </c>
      <c r="Y4" s="33"/>
      <c r="Z4" s="33"/>
      <c r="AA4" s="47">
        <f>Q4</f>
        <v>2400</v>
      </c>
      <c r="AB4" s="57">
        <f>((AC4-AA4)/2)+AA4</f>
        <v>3100</v>
      </c>
      <c r="AC4" s="56">
        <f>ROUND(M4,-2)</f>
        <v>3800</v>
      </c>
      <c r="AE4" s="124">
        <f>AA4/$K4</f>
        <v>2.4</v>
      </c>
      <c r="AF4" s="124">
        <f t="shared" ref="AF4:AG4" si="0">AB4/$K4</f>
        <v>3.1</v>
      </c>
      <c r="AG4" s="124">
        <f t="shared" si="0"/>
        <v>3.8</v>
      </c>
      <c r="AZ4" t="s">
        <v>531</v>
      </c>
      <c r="BJ4" s="25" t="s">
        <v>771</v>
      </c>
      <c r="BK4" s="25"/>
      <c r="BL4" s="25"/>
      <c r="BM4" s="25"/>
      <c r="BN4" s="25"/>
      <c r="BO4" s="25"/>
      <c r="BP4" s="25"/>
      <c r="BQ4" s="25"/>
      <c r="BR4" s="25"/>
      <c r="BS4" s="363"/>
      <c r="BT4" s="25"/>
    </row>
    <row r="5" spans="1:73" x14ac:dyDescent="0.25">
      <c r="A5" s="651"/>
      <c r="B5" s="626"/>
      <c r="C5" s="48" t="s">
        <v>9</v>
      </c>
      <c r="D5" s="48"/>
      <c r="E5" s="64">
        <v>2070</v>
      </c>
      <c r="F5" s="49"/>
      <c r="G5" s="64"/>
      <c r="H5" s="50"/>
      <c r="I5" s="49"/>
      <c r="J5" s="49"/>
      <c r="K5" s="128"/>
      <c r="L5" s="64"/>
      <c r="M5" s="70"/>
      <c r="N5" s="49"/>
      <c r="O5" s="49"/>
      <c r="P5" s="51"/>
      <c r="Q5" s="49"/>
      <c r="R5" s="48"/>
      <c r="S5" s="48"/>
      <c r="T5" s="48"/>
      <c r="W5" s="155"/>
      <c r="BJ5" t="s">
        <v>199</v>
      </c>
      <c r="BK5" t="s">
        <v>208</v>
      </c>
      <c r="BL5" s="224" t="s">
        <v>61</v>
      </c>
      <c r="BM5" s="224" t="s">
        <v>505</v>
      </c>
      <c r="BN5" s="224" t="s">
        <v>62</v>
      </c>
      <c r="BO5" s="224" t="s">
        <v>245</v>
      </c>
      <c r="BP5" s="224" t="s">
        <v>73</v>
      </c>
      <c r="BQ5" s="224" t="s">
        <v>72</v>
      </c>
      <c r="BR5" s="224" t="s">
        <v>580</v>
      </c>
      <c r="BT5" s="224" t="s">
        <v>545</v>
      </c>
    </row>
    <row r="6" spans="1:73" x14ac:dyDescent="0.25">
      <c r="A6" s="651"/>
      <c r="B6" s="626" t="s">
        <v>258</v>
      </c>
      <c r="C6" s="1" t="s">
        <v>8</v>
      </c>
      <c r="D6" s="1">
        <v>50</v>
      </c>
      <c r="E6" s="63">
        <v>752</v>
      </c>
      <c r="F6" s="43">
        <v>13885</v>
      </c>
      <c r="G6" s="43">
        <f>3950+2582</f>
        <v>6532</v>
      </c>
      <c r="H6" s="44">
        <v>6500</v>
      </c>
      <c r="I6" s="43" t="s">
        <v>177</v>
      </c>
      <c r="J6" s="2" t="s">
        <v>126</v>
      </c>
      <c r="K6" s="125">
        <v>1500</v>
      </c>
      <c r="L6" s="103">
        <f>1315+1081</f>
        <v>2396</v>
      </c>
      <c r="M6" s="100">
        <f>4014+1773</f>
        <v>5787</v>
      </c>
      <c r="N6" s="43" t="s">
        <v>174</v>
      </c>
      <c r="O6" s="43" t="s">
        <v>173</v>
      </c>
      <c r="P6" s="45" t="s">
        <v>175</v>
      </c>
      <c r="Q6" s="43">
        <v>2400</v>
      </c>
      <c r="R6" s="46" t="str">
        <f>+T6</f>
        <v>2400-5787</v>
      </c>
      <c r="S6" s="1" t="s">
        <v>87</v>
      </c>
      <c r="T6" s="1" t="s">
        <v>92</v>
      </c>
      <c r="U6" s="148">
        <v>2400</v>
      </c>
      <c r="V6" s="148">
        <v>0.25</v>
      </c>
      <c r="W6" s="155">
        <f>+IF(E6&gt;(M6+L6)*V6,E6,(M6+L6)*V6)</f>
        <v>2045.75</v>
      </c>
      <c r="X6" s="32">
        <v>600</v>
      </c>
      <c r="Y6" s="33"/>
      <c r="Z6" s="33"/>
      <c r="AA6" s="47">
        <f>Q6</f>
        <v>2400</v>
      </c>
      <c r="AB6" s="57">
        <f>((AC6-AA6)/2)+AA6</f>
        <v>4100</v>
      </c>
      <c r="AC6" s="56">
        <f>ROUND(M6,-2)</f>
        <v>5800</v>
      </c>
      <c r="AE6" s="124">
        <f>AA6/$K6</f>
        <v>1.6</v>
      </c>
      <c r="AF6" s="124">
        <f t="shared" ref="AF6" si="1">AB6/$K6</f>
        <v>2.7333333333333334</v>
      </c>
      <c r="AG6" s="124">
        <f t="shared" ref="AG6" si="2">AC6/$K6</f>
        <v>3.8666666666666667</v>
      </c>
      <c r="AZ6" s="302" t="s">
        <v>521</v>
      </c>
      <c r="BA6" s="17" t="s">
        <v>222</v>
      </c>
      <c r="BB6" s="303" t="s">
        <v>522</v>
      </c>
      <c r="BC6" s="304" t="s">
        <v>199</v>
      </c>
      <c r="BD6" s="303" t="s">
        <v>523</v>
      </c>
      <c r="BE6" s="303" t="s">
        <v>524</v>
      </c>
      <c r="BF6" s="304" t="s">
        <v>387</v>
      </c>
      <c r="BG6" s="304" t="s">
        <v>525</v>
      </c>
      <c r="BH6" s="304" t="s">
        <v>526</v>
      </c>
      <c r="BJ6" s="25" t="s">
        <v>581</v>
      </c>
      <c r="BK6" s="25" t="s">
        <v>582</v>
      </c>
      <c r="BL6" s="25" t="s">
        <v>583</v>
      </c>
      <c r="BM6" s="25" t="s">
        <v>583</v>
      </c>
      <c r="BN6" s="25" t="s">
        <v>583</v>
      </c>
      <c r="BO6" s="25" t="s">
        <v>583</v>
      </c>
      <c r="BP6" s="25" t="s">
        <v>583</v>
      </c>
      <c r="BQ6" s="25" t="s">
        <v>583</v>
      </c>
      <c r="BR6" s="25" t="s">
        <v>583</v>
      </c>
      <c r="BS6" s="25" t="s">
        <v>583</v>
      </c>
      <c r="BT6" s="25"/>
    </row>
    <row r="7" spans="1:73" x14ac:dyDescent="0.25">
      <c r="A7" s="651"/>
      <c r="B7" s="626"/>
      <c r="C7" s="48" t="s">
        <v>9</v>
      </c>
      <c r="D7" s="48"/>
      <c r="E7" s="64">
        <v>1501</v>
      </c>
      <c r="F7" s="49"/>
      <c r="G7" s="64"/>
      <c r="H7" s="50"/>
      <c r="I7" s="49"/>
      <c r="J7" s="49"/>
      <c r="K7" s="128"/>
      <c r="L7" s="64"/>
      <c r="M7" s="70"/>
      <c r="N7" s="49"/>
      <c r="O7" s="49"/>
      <c r="P7" s="51"/>
      <c r="Q7" s="64"/>
      <c r="R7" s="48"/>
      <c r="S7" s="48"/>
      <c r="T7" s="48"/>
      <c r="W7" s="155"/>
      <c r="AZ7" s="305" t="str">
        <f>CONCATENATE(BA7, "-", BC7)</f>
        <v>coho-Grays/Chinook</v>
      </c>
      <c r="BA7" s="149" t="s">
        <v>527</v>
      </c>
      <c r="BB7" s="306" t="s">
        <v>14</v>
      </c>
      <c r="BC7" s="149" t="s">
        <v>528</v>
      </c>
      <c r="BD7" s="306" t="s">
        <v>174</v>
      </c>
      <c r="BE7" s="306">
        <v>2400</v>
      </c>
      <c r="BF7" s="149">
        <v>2010</v>
      </c>
      <c r="BG7" s="309">
        <v>303</v>
      </c>
      <c r="BH7" s="224">
        <v>1576</v>
      </c>
      <c r="BJ7">
        <v>1992</v>
      </c>
      <c r="BK7" s="224" t="s">
        <v>235</v>
      </c>
      <c r="BL7" s="224" t="s">
        <v>235</v>
      </c>
      <c r="BM7" s="224" t="s">
        <v>235</v>
      </c>
      <c r="BN7" s="224" t="s">
        <v>235</v>
      </c>
      <c r="BO7" s="224" t="s">
        <v>235</v>
      </c>
      <c r="BP7" s="320">
        <v>4866</v>
      </c>
      <c r="BQ7" s="563">
        <v>790</v>
      </c>
      <c r="BR7" s="224" t="s">
        <v>235</v>
      </c>
      <c r="BT7" s="224" t="s">
        <v>235</v>
      </c>
    </row>
    <row r="8" spans="1:73" x14ac:dyDescent="0.25">
      <c r="A8" s="651"/>
      <c r="B8" s="626" t="s">
        <v>257</v>
      </c>
      <c r="C8" s="1" t="s">
        <v>8</v>
      </c>
      <c r="D8" s="1">
        <v>50</v>
      </c>
      <c r="E8" s="63">
        <v>1021</v>
      </c>
      <c r="F8" s="43">
        <v>10621</v>
      </c>
      <c r="G8" s="43">
        <f>833+1099+866</f>
        <v>2798</v>
      </c>
      <c r="H8" s="44">
        <v>2800</v>
      </c>
      <c r="I8" s="43" t="s">
        <v>270</v>
      </c>
      <c r="J8" s="52" t="s">
        <v>124</v>
      </c>
      <c r="K8" s="129">
        <v>1000</v>
      </c>
      <c r="L8" s="103">
        <f>727+518+800</f>
        <v>2045</v>
      </c>
      <c r="M8" s="100">
        <f>850+1279+881</f>
        <v>3010</v>
      </c>
      <c r="N8" s="43" t="s">
        <v>176</v>
      </c>
      <c r="O8" s="43" t="s">
        <v>173</v>
      </c>
      <c r="P8" s="45" t="s">
        <v>177</v>
      </c>
      <c r="Q8" s="43">
        <v>1800</v>
      </c>
      <c r="R8" s="46" t="str">
        <f>+T8</f>
        <v>1800-2979</v>
      </c>
      <c r="S8" s="1" t="s">
        <v>87</v>
      </c>
      <c r="T8" s="1" t="s">
        <v>93</v>
      </c>
      <c r="U8" s="148">
        <v>1800</v>
      </c>
      <c r="V8" s="148">
        <v>0.5</v>
      </c>
      <c r="W8" s="155">
        <f>+IF(E8&gt;(M8+L8)*V8,E8,(M8+L8)*V8)</f>
        <v>2527.5</v>
      </c>
      <c r="X8" s="32"/>
      <c r="Y8" s="33"/>
      <c r="Z8" s="33"/>
      <c r="AA8" s="47">
        <f>Q8</f>
        <v>1800</v>
      </c>
      <c r="AB8" s="57">
        <f>((AC8-AA8)/2)+AA8</f>
        <v>2400</v>
      </c>
      <c r="AC8" s="56">
        <f>ROUND(M8,-2)</f>
        <v>3000</v>
      </c>
      <c r="AE8" s="124">
        <f>AA8/$K8</f>
        <v>1.8</v>
      </c>
      <c r="AF8" s="124">
        <f t="shared" ref="AF8" si="3">AB8/$K8</f>
        <v>2.4</v>
      </c>
      <c r="AG8" s="124">
        <f t="shared" ref="AG8" si="4">AC8/$K8</f>
        <v>3</v>
      </c>
      <c r="AZ8" s="305" t="str">
        <f t="shared" ref="AZ8:AZ80" si="5">CONCATENATE(BA8, "-", BC8)</f>
        <v>coho-Grays/Chinook</v>
      </c>
      <c r="BA8" s="149" t="s">
        <v>527</v>
      </c>
      <c r="BB8" s="306" t="s">
        <v>14</v>
      </c>
      <c r="BC8" s="149" t="s">
        <v>528</v>
      </c>
      <c r="BD8" s="306" t="s">
        <v>174</v>
      </c>
      <c r="BE8" s="306">
        <v>2400</v>
      </c>
      <c r="BF8" s="149">
        <v>2011</v>
      </c>
      <c r="BG8" s="309">
        <v>125</v>
      </c>
      <c r="BH8" s="224">
        <v>2322</v>
      </c>
      <c r="BJ8">
        <v>1993</v>
      </c>
      <c r="BK8" s="224" t="s">
        <v>235</v>
      </c>
      <c r="BL8" s="224" t="s">
        <v>235</v>
      </c>
      <c r="BM8" s="224" t="s">
        <v>235</v>
      </c>
      <c r="BN8" s="224" t="s">
        <v>235</v>
      </c>
      <c r="BO8" s="224" t="s">
        <v>235</v>
      </c>
      <c r="BP8" s="392">
        <v>235</v>
      </c>
      <c r="BQ8" s="563">
        <v>193</v>
      </c>
      <c r="BR8" s="224" t="s">
        <v>235</v>
      </c>
      <c r="BT8" s="224" t="s">
        <v>235</v>
      </c>
    </row>
    <row r="9" spans="1:73" x14ac:dyDescent="0.25">
      <c r="A9" s="651"/>
      <c r="B9" s="626"/>
      <c r="C9" s="48" t="s">
        <v>9</v>
      </c>
      <c r="D9" s="48"/>
      <c r="E9" s="64">
        <v>1150</v>
      </c>
      <c r="F9" s="49"/>
      <c r="G9" s="64"/>
      <c r="H9" s="50"/>
      <c r="I9" s="49"/>
      <c r="J9" s="49"/>
      <c r="K9" s="128"/>
      <c r="L9" s="64"/>
      <c r="M9" s="70"/>
      <c r="N9" s="49"/>
      <c r="O9" s="49"/>
      <c r="P9" s="51"/>
      <c r="Q9" s="64"/>
      <c r="R9" s="48"/>
      <c r="S9" s="48"/>
      <c r="T9" s="48"/>
      <c r="W9" s="155"/>
      <c r="AZ9" s="305" t="str">
        <f t="shared" si="5"/>
        <v>coho-Grays/Chinook</v>
      </c>
      <c r="BA9" s="149" t="s">
        <v>527</v>
      </c>
      <c r="BB9" s="306" t="s">
        <v>14</v>
      </c>
      <c r="BC9" s="149" t="s">
        <v>528</v>
      </c>
      <c r="BD9" s="306" t="s">
        <v>174</v>
      </c>
      <c r="BE9" s="306">
        <v>2400</v>
      </c>
      <c r="BF9" s="149">
        <v>2012</v>
      </c>
      <c r="BG9" s="309">
        <v>518</v>
      </c>
      <c r="BH9" s="224">
        <v>521</v>
      </c>
      <c r="BJ9">
        <v>1994</v>
      </c>
      <c r="BK9" s="224" t="s">
        <v>668</v>
      </c>
      <c r="BL9" s="224" t="s">
        <v>235</v>
      </c>
      <c r="BM9" s="224" t="s">
        <v>235</v>
      </c>
      <c r="BN9" s="224" t="s">
        <v>235</v>
      </c>
      <c r="BO9" s="224" t="s">
        <v>235</v>
      </c>
      <c r="BP9" s="320">
        <v>4036</v>
      </c>
      <c r="BQ9" s="563">
        <v>601</v>
      </c>
      <c r="BR9" s="224" t="s">
        <v>235</v>
      </c>
      <c r="BT9" s="224" t="s">
        <v>235</v>
      </c>
    </row>
    <row r="10" spans="1:73" x14ac:dyDescent="0.25">
      <c r="A10" s="651"/>
      <c r="B10" s="626" t="s">
        <v>61</v>
      </c>
      <c r="C10" s="1" t="s">
        <v>8</v>
      </c>
      <c r="D10" s="1">
        <v>4</v>
      </c>
      <c r="E10" s="63">
        <v>63</v>
      </c>
      <c r="F10" s="43"/>
      <c r="G10" s="63"/>
      <c r="H10" s="44">
        <v>18588</v>
      </c>
      <c r="I10" s="43" t="s">
        <v>270</v>
      </c>
      <c r="J10" s="2">
        <v>600</v>
      </c>
      <c r="K10" s="125">
        <v>500</v>
      </c>
      <c r="L10" s="63" t="s">
        <v>109</v>
      </c>
      <c r="M10" s="69"/>
      <c r="N10" s="43" t="s">
        <v>172</v>
      </c>
      <c r="O10" s="43" t="s">
        <v>173</v>
      </c>
      <c r="P10" s="45" t="s">
        <v>173</v>
      </c>
      <c r="Q10" s="43">
        <v>7</v>
      </c>
      <c r="R10" s="46">
        <v>5</v>
      </c>
      <c r="S10" s="1" t="s">
        <v>87</v>
      </c>
      <c r="T10" s="1"/>
      <c r="U10" s="148">
        <v>7</v>
      </c>
      <c r="V10" s="148">
        <v>0.25</v>
      </c>
      <c r="W10" s="155" t="e">
        <f>+IF(E10&gt;(M10+L10)*V10,E10,(M10+L10)*V10)</f>
        <v>#VALUE!</v>
      </c>
      <c r="AA10" s="47">
        <v>75</v>
      </c>
      <c r="AB10" s="57">
        <f>((AC10-AA10)/2)+AA10</f>
        <v>112.5</v>
      </c>
      <c r="AC10" s="56">
        <f>AA10*2</f>
        <v>150</v>
      </c>
      <c r="AE10" s="124">
        <f>AA10/$K10</f>
        <v>0.15</v>
      </c>
      <c r="AF10" s="124">
        <f t="shared" ref="AF10" si="6">AB10/$K10</f>
        <v>0.22500000000000001</v>
      </c>
      <c r="AG10" s="124">
        <f t="shared" ref="AG10" si="7">AC10/$K10</f>
        <v>0.3</v>
      </c>
      <c r="AZ10" s="305" t="str">
        <f t="shared" si="5"/>
        <v>coho-Grays/Chinook</v>
      </c>
      <c r="BA10" s="149" t="s">
        <v>527</v>
      </c>
      <c r="BB10" s="306" t="s">
        <v>14</v>
      </c>
      <c r="BC10" s="149" t="s">
        <v>528</v>
      </c>
      <c r="BD10" s="306" t="s">
        <v>174</v>
      </c>
      <c r="BE10" s="306">
        <v>2400</v>
      </c>
      <c r="BF10" s="149">
        <v>2013</v>
      </c>
      <c r="BG10" s="309">
        <v>668</v>
      </c>
      <c r="BH10" s="224">
        <v>1151</v>
      </c>
      <c r="BJ10">
        <v>1995</v>
      </c>
      <c r="BK10" s="224" t="s">
        <v>668</v>
      </c>
      <c r="BL10" s="224" t="s">
        <v>235</v>
      </c>
      <c r="BM10" s="224" t="s">
        <v>235</v>
      </c>
      <c r="BN10" s="224" t="s">
        <v>235</v>
      </c>
      <c r="BO10" s="224" t="s">
        <v>235</v>
      </c>
      <c r="BP10" s="320">
        <v>2852</v>
      </c>
      <c r="BQ10" s="563">
        <v>697</v>
      </c>
      <c r="BR10" s="224" t="s">
        <v>235</v>
      </c>
      <c r="BT10" s="224" t="s">
        <v>235</v>
      </c>
    </row>
    <row r="11" spans="1:73" x14ac:dyDescent="0.25">
      <c r="A11" s="651"/>
      <c r="B11" s="626"/>
      <c r="C11" s="48" t="s">
        <v>9</v>
      </c>
      <c r="D11" s="48"/>
      <c r="E11" s="64">
        <v>140</v>
      </c>
      <c r="F11" s="49"/>
      <c r="G11" s="64"/>
      <c r="H11" s="50"/>
      <c r="I11" s="49"/>
      <c r="J11" s="49"/>
      <c r="K11" s="128"/>
      <c r="L11" s="64"/>
      <c r="M11" s="70"/>
      <c r="N11" s="49"/>
      <c r="O11" s="49"/>
      <c r="P11" s="51"/>
      <c r="Q11" s="49"/>
      <c r="R11" s="48"/>
      <c r="S11" s="48"/>
      <c r="T11" s="48"/>
      <c r="W11" s="155"/>
      <c r="AZ11" s="305" t="str">
        <f t="shared" si="5"/>
        <v>coho-Grays/Chinook</v>
      </c>
      <c r="BA11" s="149" t="s">
        <v>527</v>
      </c>
      <c r="BB11" s="306" t="s">
        <v>14</v>
      </c>
      <c r="BC11" s="149" t="s">
        <v>528</v>
      </c>
      <c r="BD11" s="306" t="s">
        <v>174</v>
      </c>
      <c r="BE11" s="306">
        <v>2400</v>
      </c>
      <c r="BF11" s="149">
        <v>2014</v>
      </c>
      <c r="BG11" s="309">
        <v>2158</v>
      </c>
      <c r="BH11" s="224">
        <v>1273</v>
      </c>
      <c r="BJ11">
        <v>1996</v>
      </c>
      <c r="BK11" s="224" t="s">
        <v>668</v>
      </c>
      <c r="BL11" s="224" t="s">
        <v>235</v>
      </c>
      <c r="BM11" s="224" t="s">
        <v>235</v>
      </c>
      <c r="BN11" s="224" t="s">
        <v>235</v>
      </c>
      <c r="BO11" s="224" t="s">
        <v>235</v>
      </c>
      <c r="BP11" s="392">
        <v>120</v>
      </c>
      <c r="BQ11" s="563">
        <v>180</v>
      </c>
      <c r="BR11" s="224" t="s">
        <v>235</v>
      </c>
      <c r="BT11" s="224" t="s">
        <v>235</v>
      </c>
    </row>
    <row r="12" spans="1:73" x14ac:dyDescent="0.25">
      <c r="A12" s="651"/>
      <c r="B12" s="626" t="s">
        <v>52</v>
      </c>
      <c r="C12" s="1" t="s">
        <v>8</v>
      </c>
      <c r="D12" s="1">
        <v>8</v>
      </c>
      <c r="E12" s="63">
        <v>321</v>
      </c>
      <c r="F12" s="43"/>
      <c r="G12" s="63"/>
      <c r="H12" s="44">
        <v>10830</v>
      </c>
      <c r="I12" s="43" t="s">
        <v>270</v>
      </c>
      <c r="J12" s="52">
        <v>600</v>
      </c>
      <c r="K12" s="129">
        <v>500</v>
      </c>
      <c r="L12" s="63" t="s">
        <v>110</v>
      </c>
      <c r="M12" s="69"/>
      <c r="N12" s="43" t="s">
        <v>172</v>
      </c>
      <c r="O12" s="43" t="s">
        <v>173</v>
      </c>
      <c r="P12" s="45" t="s">
        <v>173</v>
      </c>
      <c r="Q12" s="43">
        <v>12</v>
      </c>
      <c r="R12" s="46">
        <v>10</v>
      </c>
      <c r="S12" s="1" t="s">
        <v>87</v>
      </c>
      <c r="T12" s="1"/>
      <c r="U12" s="148">
        <v>12</v>
      </c>
      <c r="W12" s="155"/>
      <c r="AA12" s="47">
        <v>350</v>
      </c>
      <c r="AB12" s="57">
        <f>((AC12-AA12)/2)+AA12</f>
        <v>525</v>
      </c>
      <c r="AC12" s="56">
        <f>AA12*2</f>
        <v>700</v>
      </c>
      <c r="AZ12" s="305" t="str">
        <f t="shared" si="5"/>
        <v>coho-Grays/Chinook</v>
      </c>
      <c r="BA12" s="149" t="s">
        <v>527</v>
      </c>
      <c r="BB12" s="306" t="s">
        <v>14</v>
      </c>
      <c r="BC12" s="149" t="s">
        <v>528</v>
      </c>
      <c r="BD12" s="306" t="s">
        <v>174</v>
      </c>
      <c r="BE12" s="306">
        <v>2400</v>
      </c>
      <c r="BF12" s="149">
        <v>2015</v>
      </c>
      <c r="BG12" s="309">
        <v>125</v>
      </c>
      <c r="BH12" s="224">
        <v>217</v>
      </c>
      <c r="BJ12">
        <v>1997</v>
      </c>
      <c r="BK12" s="224" t="s">
        <v>668</v>
      </c>
      <c r="BL12" s="224" t="s">
        <v>235</v>
      </c>
      <c r="BM12" s="224" t="s">
        <v>235</v>
      </c>
      <c r="BN12" s="224" t="s">
        <v>235</v>
      </c>
      <c r="BO12" s="224" t="s">
        <v>235</v>
      </c>
      <c r="BP12" s="320">
        <v>1896</v>
      </c>
      <c r="BQ12" s="563">
        <v>116</v>
      </c>
      <c r="BR12" s="224" t="s">
        <v>235</v>
      </c>
      <c r="BT12" s="224" t="s">
        <v>235</v>
      </c>
    </row>
    <row r="13" spans="1:73" x14ac:dyDescent="0.25">
      <c r="A13" s="651"/>
      <c r="B13" s="626"/>
      <c r="C13" s="48" t="s">
        <v>9</v>
      </c>
      <c r="D13" s="48"/>
      <c r="E13" s="64">
        <v>510</v>
      </c>
      <c r="F13" s="49"/>
      <c r="G13" s="64"/>
      <c r="H13" s="50"/>
      <c r="I13" s="49"/>
      <c r="J13" s="49"/>
      <c r="K13" s="128"/>
      <c r="L13" s="64"/>
      <c r="M13" s="70"/>
      <c r="N13" s="49"/>
      <c r="O13" s="49"/>
      <c r="P13" s="51"/>
      <c r="Q13" s="49"/>
      <c r="R13" s="48"/>
      <c r="S13" s="48"/>
      <c r="T13" s="48"/>
      <c r="W13" s="155"/>
      <c r="AZ13" s="305" t="str">
        <f t="shared" si="5"/>
        <v>coho-Grays/Chinook</v>
      </c>
      <c r="BA13" s="149" t="s">
        <v>527</v>
      </c>
      <c r="BB13" s="306" t="s">
        <v>14</v>
      </c>
      <c r="BC13" s="149" t="s">
        <v>528</v>
      </c>
      <c r="BD13" s="306" t="s">
        <v>174</v>
      </c>
      <c r="BE13" s="306">
        <v>2400</v>
      </c>
      <c r="BF13" s="149">
        <v>2016</v>
      </c>
      <c r="BG13" s="309">
        <v>454</v>
      </c>
      <c r="BH13" s="224">
        <v>611</v>
      </c>
      <c r="BJ13">
        <v>1998</v>
      </c>
      <c r="BK13" s="224" t="s">
        <v>668</v>
      </c>
      <c r="BL13" s="224" t="s">
        <v>235</v>
      </c>
      <c r="BM13" s="224" t="s">
        <v>235</v>
      </c>
      <c r="BN13" s="224" t="s">
        <v>235</v>
      </c>
      <c r="BO13" s="224" t="s">
        <v>235</v>
      </c>
      <c r="BP13" s="392">
        <v>321</v>
      </c>
      <c r="BQ13" s="563">
        <v>261</v>
      </c>
      <c r="BR13" s="224" t="s">
        <v>235</v>
      </c>
      <c r="BT13" s="224" t="s">
        <v>235</v>
      </c>
    </row>
    <row r="14" spans="1:73" x14ac:dyDescent="0.25">
      <c r="A14" s="651"/>
      <c r="B14" s="276"/>
      <c r="C14" s="1"/>
      <c r="D14" s="1"/>
      <c r="E14" s="63"/>
      <c r="F14" s="43"/>
      <c r="G14" s="63"/>
      <c r="H14" s="44"/>
      <c r="I14" s="43"/>
      <c r="J14" s="43"/>
      <c r="K14" s="103"/>
      <c r="L14" s="63"/>
      <c r="M14" s="69"/>
      <c r="N14" s="43"/>
      <c r="O14" s="43"/>
      <c r="P14" s="45"/>
      <c r="Q14" s="43"/>
      <c r="R14" s="1"/>
      <c r="S14" s="1"/>
      <c r="T14" s="1"/>
      <c r="W14" s="155"/>
      <c r="AZ14" s="305"/>
      <c r="BA14" s="149"/>
      <c r="BB14" s="306"/>
      <c r="BC14" s="149"/>
      <c r="BD14" s="306"/>
      <c r="BE14" s="306"/>
      <c r="BF14" s="17" t="s">
        <v>532</v>
      </c>
      <c r="BG14" s="310">
        <f>GEOMEAN(BG7:BG13)</f>
        <v>398.8249413419685</v>
      </c>
      <c r="BH14" s="410" t="s">
        <v>779</v>
      </c>
      <c r="BI14" s="411">
        <f>AVERAGE(BH7:BH13)</f>
        <v>1095.8571428571429</v>
      </c>
      <c r="BJ14">
        <v>1999</v>
      </c>
      <c r="BK14" s="224" t="s">
        <v>668</v>
      </c>
      <c r="BL14" s="224" t="s">
        <v>235</v>
      </c>
      <c r="BM14" s="224" t="s">
        <v>235</v>
      </c>
      <c r="BN14" s="224" t="s">
        <v>235</v>
      </c>
      <c r="BO14" s="224" t="s">
        <v>235</v>
      </c>
      <c r="BP14" s="392">
        <v>153</v>
      </c>
      <c r="BQ14" s="563">
        <v>162</v>
      </c>
      <c r="BR14" s="224" t="s">
        <v>235</v>
      </c>
      <c r="BT14" s="224" t="s">
        <v>235</v>
      </c>
      <c r="BU14" s="274"/>
    </row>
    <row r="15" spans="1:73" ht="15" customHeight="1" x14ac:dyDescent="0.25">
      <c r="A15" s="651"/>
      <c r="B15" s="626" t="s">
        <v>62</v>
      </c>
      <c r="C15" s="1" t="s">
        <v>8</v>
      </c>
      <c r="D15" s="1">
        <v>1363</v>
      </c>
      <c r="E15" s="63">
        <v>911</v>
      </c>
      <c r="F15" s="43"/>
      <c r="G15" s="63"/>
      <c r="H15" s="44">
        <v>16781</v>
      </c>
      <c r="I15" s="43" t="s">
        <v>177</v>
      </c>
      <c r="J15" s="2">
        <v>2400</v>
      </c>
      <c r="K15" s="125">
        <v>1500</v>
      </c>
      <c r="L15" s="63" t="s">
        <v>111</v>
      </c>
      <c r="M15" s="69"/>
      <c r="N15" s="43" t="s">
        <v>174</v>
      </c>
      <c r="O15" s="43" t="s">
        <v>180</v>
      </c>
      <c r="P15" s="45" t="s">
        <v>178</v>
      </c>
      <c r="Q15" s="43">
        <v>3201</v>
      </c>
      <c r="R15" s="46">
        <v>3199</v>
      </c>
      <c r="S15" s="1" t="s">
        <v>87</v>
      </c>
      <c r="T15" s="1"/>
      <c r="U15" s="148">
        <v>3201</v>
      </c>
      <c r="V15" s="148">
        <v>0.25</v>
      </c>
      <c r="W15" s="155" t="e">
        <f>+IF(E15&gt;(M15+L15)*V15,E15,(M15+L15)*V15)</f>
        <v>#VALUE!</v>
      </c>
      <c r="AA15" s="47">
        <f>ROUND(Q15,-2)</f>
        <v>3200</v>
      </c>
      <c r="AB15" s="57">
        <f>((AC15-AA15)/2)+AA15</f>
        <v>4800</v>
      </c>
      <c r="AC15" s="56">
        <f>2*AA15</f>
        <v>6400</v>
      </c>
      <c r="AZ15" s="305" t="str">
        <f t="shared" si="5"/>
        <v>coho-Eloch/Skam</v>
      </c>
      <c r="BA15" s="149" t="s">
        <v>527</v>
      </c>
      <c r="BB15" s="306" t="s">
        <v>14</v>
      </c>
      <c r="BC15" s="149" t="s">
        <v>258</v>
      </c>
      <c r="BD15" s="306" t="s">
        <v>174</v>
      </c>
      <c r="BE15" s="306">
        <v>2400</v>
      </c>
      <c r="BF15" s="149">
        <v>2010</v>
      </c>
      <c r="BG15" s="309">
        <v>501</v>
      </c>
      <c r="BH15" s="224">
        <v>1341</v>
      </c>
      <c r="BJ15">
        <v>2000</v>
      </c>
      <c r="BK15" s="224" t="s">
        <v>586</v>
      </c>
      <c r="BL15" s="224" t="s">
        <v>235</v>
      </c>
      <c r="BM15" s="224" t="s">
        <v>235</v>
      </c>
      <c r="BN15" s="224" t="s">
        <v>235</v>
      </c>
      <c r="BO15" s="224" t="s">
        <v>235</v>
      </c>
      <c r="BP15" s="320">
        <v>3406</v>
      </c>
      <c r="BQ15" s="563">
        <v>730</v>
      </c>
      <c r="BR15" s="224" t="s">
        <v>235</v>
      </c>
      <c r="BT15" s="224" t="s">
        <v>235</v>
      </c>
      <c r="BU15" s="224"/>
    </row>
    <row r="16" spans="1:73" x14ac:dyDescent="0.25">
      <c r="A16" s="651"/>
      <c r="B16" s="626"/>
      <c r="C16" s="48" t="s">
        <v>9</v>
      </c>
      <c r="D16" s="48"/>
      <c r="E16" s="64">
        <v>959</v>
      </c>
      <c r="F16" s="49"/>
      <c r="G16" s="64"/>
      <c r="H16" s="50"/>
      <c r="I16" s="49"/>
      <c r="J16" s="49"/>
      <c r="K16" s="128"/>
      <c r="L16" s="64"/>
      <c r="M16" s="70"/>
      <c r="N16" s="49"/>
      <c r="O16" s="49"/>
      <c r="P16" s="51"/>
      <c r="Q16" s="49"/>
      <c r="R16" s="48"/>
      <c r="S16" s="48"/>
      <c r="T16" s="48"/>
      <c r="W16" s="155"/>
      <c r="AZ16" s="305" t="str">
        <f t="shared" si="5"/>
        <v>coho-Eloch/Skam</v>
      </c>
      <c r="BA16" s="149" t="s">
        <v>527</v>
      </c>
      <c r="BB16" s="306" t="s">
        <v>14</v>
      </c>
      <c r="BC16" s="149" t="s">
        <v>258</v>
      </c>
      <c r="BD16" s="306" t="s">
        <v>174</v>
      </c>
      <c r="BE16" s="306">
        <v>2400</v>
      </c>
      <c r="BF16" s="149">
        <v>2011</v>
      </c>
      <c r="BG16" s="309">
        <v>498</v>
      </c>
      <c r="BH16" s="224">
        <v>666</v>
      </c>
      <c r="BJ16">
        <v>2001</v>
      </c>
      <c r="BK16" s="224" t="s">
        <v>584</v>
      </c>
      <c r="BL16" s="224" t="s">
        <v>235</v>
      </c>
      <c r="BM16" s="224" t="s">
        <v>235</v>
      </c>
      <c r="BN16" s="224" t="s">
        <v>235</v>
      </c>
      <c r="BO16" s="224" t="s">
        <v>235</v>
      </c>
      <c r="BP16" s="320">
        <v>4392</v>
      </c>
      <c r="BQ16" s="564">
        <v>1176</v>
      </c>
      <c r="BR16" s="224" t="s">
        <v>235</v>
      </c>
      <c r="BT16" s="224" t="s">
        <v>235</v>
      </c>
    </row>
    <row r="17" spans="1:96" ht="15" customHeight="1" x14ac:dyDescent="0.25">
      <c r="A17" s="651"/>
      <c r="B17" s="626" t="s">
        <v>245</v>
      </c>
      <c r="C17" s="1" t="s">
        <v>8</v>
      </c>
      <c r="D17" s="1">
        <v>1942</v>
      </c>
      <c r="E17" s="63">
        <v>628</v>
      </c>
      <c r="F17" s="43"/>
      <c r="G17" s="63"/>
      <c r="H17" s="44">
        <v>22164</v>
      </c>
      <c r="I17" s="43" t="s">
        <v>177</v>
      </c>
      <c r="J17" s="52">
        <v>2400</v>
      </c>
      <c r="K17" s="129">
        <v>1500</v>
      </c>
      <c r="L17" s="63" t="s">
        <v>112</v>
      </c>
      <c r="M17" s="69"/>
      <c r="N17" s="43" t="s">
        <v>174</v>
      </c>
      <c r="O17" s="43" t="s">
        <v>177</v>
      </c>
      <c r="P17" s="45" t="s">
        <v>178</v>
      </c>
      <c r="Q17" s="43">
        <v>3208</v>
      </c>
      <c r="R17" s="46">
        <v>3154</v>
      </c>
      <c r="S17" s="1" t="s">
        <v>87</v>
      </c>
      <c r="T17" s="1"/>
      <c r="U17" s="148">
        <v>3208</v>
      </c>
      <c r="V17" s="148">
        <v>0.5</v>
      </c>
      <c r="W17" s="155" t="e">
        <f>+IF(E17&gt;(M17+L17)*V17,E17,(M17+L17)*V17)</f>
        <v>#VALUE!</v>
      </c>
      <c r="AA17" s="47">
        <f>ROUND(Q17,-2)</f>
        <v>3200</v>
      </c>
      <c r="AB17" s="57">
        <f>((AC17-AA17)/2)+AA17</f>
        <v>4800</v>
      </c>
      <c r="AC17" s="56">
        <f>2*AA17</f>
        <v>6400</v>
      </c>
      <c r="AZ17" s="305" t="str">
        <f t="shared" si="5"/>
        <v>coho-Eloch/Skam</v>
      </c>
      <c r="BA17" s="149" t="s">
        <v>527</v>
      </c>
      <c r="BB17" s="306" t="s">
        <v>14</v>
      </c>
      <c r="BC17" s="149" t="s">
        <v>258</v>
      </c>
      <c r="BD17" s="306" t="s">
        <v>174</v>
      </c>
      <c r="BE17" s="306">
        <v>2400</v>
      </c>
      <c r="BF17" s="149">
        <v>2012</v>
      </c>
      <c r="BG17" s="309">
        <v>284</v>
      </c>
      <c r="BH17" s="224">
        <v>166</v>
      </c>
      <c r="BJ17">
        <v>2002</v>
      </c>
      <c r="BK17" s="224" t="s">
        <v>584</v>
      </c>
      <c r="BL17">
        <v>411</v>
      </c>
      <c r="BM17">
        <v>98</v>
      </c>
      <c r="BN17">
        <v>167</v>
      </c>
      <c r="BO17">
        <v>502</v>
      </c>
      <c r="BP17" s="320">
        <v>1981</v>
      </c>
      <c r="BQ17" s="563">
        <v>382</v>
      </c>
      <c r="BR17">
        <v>338</v>
      </c>
      <c r="BT17">
        <v>147</v>
      </c>
    </row>
    <row r="18" spans="1:96" x14ac:dyDescent="0.25">
      <c r="A18" s="651"/>
      <c r="B18" s="626"/>
      <c r="C18" s="48" t="s">
        <v>9</v>
      </c>
      <c r="D18" s="48"/>
      <c r="E18" s="64">
        <v>628</v>
      </c>
      <c r="F18" s="49"/>
      <c r="G18" s="64"/>
      <c r="H18" s="50"/>
      <c r="I18" s="49"/>
      <c r="J18" s="49"/>
      <c r="K18" s="128"/>
      <c r="L18" s="64"/>
      <c r="M18" s="70"/>
      <c r="N18" s="49"/>
      <c r="O18" s="49"/>
      <c r="P18" s="51"/>
      <c r="Q18" s="49"/>
      <c r="R18" s="48"/>
      <c r="S18" s="48"/>
      <c r="T18" s="48"/>
      <c r="W18" s="155"/>
      <c r="X18" s="32"/>
      <c r="Y18" s="33"/>
      <c r="Z18" s="33"/>
      <c r="AZ18" s="305" t="str">
        <f t="shared" si="5"/>
        <v>coho-Eloch/Skam</v>
      </c>
      <c r="BA18" s="149" t="s">
        <v>527</v>
      </c>
      <c r="BB18" s="306" t="s">
        <v>14</v>
      </c>
      <c r="BC18" s="149" t="s">
        <v>258</v>
      </c>
      <c r="BD18" s="306" t="s">
        <v>174</v>
      </c>
      <c r="BE18" s="306">
        <v>2400</v>
      </c>
      <c r="BF18" s="149">
        <v>2013</v>
      </c>
      <c r="BG18" s="309">
        <v>435</v>
      </c>
      <c r="BH18" s="224">
        <v>313</v>
      </c>
      <c r="BJ18">
        <v>2003</v>
      </c>
      <c r="BK18" s="224" t="s">
        <v>584</v>
      </c>
      <c r="BL18">
        <v>113</v>
      </c>
      <c r="BM18">
        <v>435</v>
      </c>
      <c r="BN18">
        <v>563</v>
      </c>
      <c r="BO18">
        <v>336</v>
      </c>
      <c r="BP18" s="320">
        <v>2507</v>
      </c>
      <c r="BQ18" s="564">
        <v>1348</v>
      </c>
      <c r="BR18" t="s">
        <v>235</v>
      </c>
      <c r="BT18">
        <v>41</v>
      </c>
    </row>
    <row r="19" spans="1:96" x14ac:dyDescent="0.25">
      <c r="A19" s="651"/>
      <c r="B19" s="649" t="s">
        <v>48</v>
      </c>
      <c r="C19" s="122" t="s">
        <v>8</v>
      </c>
      <c r="D19" s="122"/>
      <c r="E19" s="65">
        <f>+E4+E6+E8+E10+E12+E15+E17</f>
        <v>4208</v>
      </c>
      <c r="F19" s="53"/>
      <c r="G19" s="65"/>
      <c r="H19" s="136">
        <f>+H4+H6+H8+H10+H12+H15+H17</f>
        <v>81463</v>
      </c>
      <c r="I19" s="53"/>
      <c r="J19" s="53"/>
      <c r="K19" s="65"/>
      <c r="L19" s="65" t="s">
        <v>117</v>
      </c>
      <c r="M19" s="71">
        <f>+M4+M6+M8+M10+M12+M15+M17</f>
        <v>12570</v>
      </c>
      <c r="N19" s="53"/>
      <c r="O19" s="53"/>
      <c r="P19" s="136"/>
      <c r="Q19" s="53">
        <f>+Q4+Q6+Q8+Q10+Q12+Q15+Q17</f>
        <v>13028</v>
      </c>
      <c r="R19" s="54"/>
      <c r="S19" s="122" t="s">
        <v>87</v>
      </c>
      <c r="T19" s="122"/>
      <c r="U19" s="156"/>
      <c r="V19" s="156"/>
      <c r="W19" s="157" t="e">
        <f>+W4+W15+W17</f>
        <v>#VALUE!</v>
      </c>
      <c r="X19" s="156"/>
      <c r="Y19" s="137"/>
      <c r="Z19" s="137"/>
      <c r="AA19" s="131"/>
      <c r="AB19" s="131"/>
      <c r="AC19" s="131"/>
      <c r="AD19" s="131"/>
      <c r="AE19" s="131"/>
      <c r="AF19" s="131"/>
      <c r="AG19" s="131"/>
      <c r="AZ19" s="305" t="str">
        <f t="shared" si="5"/>
        <v>coho-Eloch/Skam</v>
      </c>
      <c r="BA19" s="149" t="s">
        <v>527</v>
      </c>
      <c r="BB19" s="306" t="s">
        <v>14</v>
      </c>
      <c r="BC19" s="149" t="s">
        <v>258</v>
      </c>
      <c r="BD19" s="306" t="s">
        <v>174</v>
      </c>
      <c r="BE19" s="306">
        <v>2400</v>
      </c>
      <c r="BF19" s="149">
        <v>2014</v>
      </c>
      <c r="BG19" s="309">
        <v>2115</v>
      </c>
      <c r="BH19" s="224">
        <v>1121</v>
      </c>
      <c r="BJ19">
        <v>2004</v>
      </c>
      <c r="BK19" s="224" t="s">
        <v>585</v>
      </c>
      <c r="BL19">
        <v>149</v>
      </c>
      <c r="BM19">
        <v>112</v>
      </c>
      <c r="BN19">
        <v>398</v>
      </c>
      <c r="BO19">
        <v>755</v>
      </c>
      <c r="BP19" s="320">
        <v>2874</v>
      </c>
      <c r="BQ19" s="564">
        <v>1213</v>
      </c>
      <c r="BR19" t="s">
        <v>235</v>
      </c>
      <c r="BT19">
        <v>126</v>
      </c>
    </row>
    <row r="20" spans="1:96" s="25" customFormat="1" x14ac:dyDescent="0.25">
      <c r="A20" s="654"/>
      <c r="B20" s="655"/>
      <c r="C20" s="123" t="s">
        <v>9</v>
      </c>
      <c r="D20" s="123"/>
      <c r="E20" s="66">
        <f>+E5+E7+E9+E11+E13+E16+E18</f>
        <v>6958</v>
      </c>
      <c r="F20" s="55"/>
      <c r="G20" s="66"/>
      <c r="H20" s="133"/>
      <c r="I20" s="55"/>
      <c r="J20" s="55"/>
      <c r="K20" s="66"/>
      <c r="L20" s="66"/>
      <c r="M20" s="72"/>
      <c r="N20" s="55"/>
      <c r="O20" s="55"/>
      <c r="P20" s="133"/>
      <c r="Q20" s="66"/>
      <c r="R20" s="123"/>
      <c r="S20" s="123"/>
      <c r="T20" s="123"/>
      <c r="U20" s="158"/>
      <c r="V20" s="158"/>
      <c r="W20" s="159"/>
      <c r="X20" s="158"/>
      <c r="Y20" s="135"/>
      <c r="Z20" s="135"/>
      <c r="AA20" s="134"/>
      <c r="AB20" s="134"/>
      <c r="AC20" s="134"/>
      <c r="AD20" s="134"/>
      <c r="AE20" s="134"/>
      <c r="AF20" s="134"/>
      <c r="AG20" s="134"/>
      <c r="AZ20" s="305" t="str">
        <f t="shared" si="5"/>
        <v>coho-Eloch/Skam</v>
      </c>
      <c r="BA20" s="149" t="s">
        <v>527</v>
      </c>
      <c r="BB20" s="306" t="s">
        <v>14</v>
      </c>
      <c r="BC20" s="149" t="s">
        <v>258</v>
      </c>
      <c r="BD20" s="306" t="s">
        <v>174</v>
      </c>
      <c r="BE20" s="306">
        <v>2400</v>
      </c>
      <c r="BF20" s="149">
        <v>2015</v>
      </c>
      <c r="BG20" s="309">
        <v>148</v>
      </c>
      <c r="BH20" s="224">
        <v>131</v>
      </c>
      <c r="BI20"/>
      <c r="BJ20">
        <v>2005</v>
      </c>
      <c r="BK20" s="224" t="s">
        <v>585</v>
      </c>
      <c r="BL20">
        <v>79</v>
      </c>
      <c r="BM20">
        <v>219</v>
      </c>
      <c r="BN20">
        <v>494</v>
      </c>
      <c r="BO20">
        <v>348</v>
      </c>
      <c r="BP20" s="320">
        <v>1301</v>
      </c>
      <c r="BQ20" s="563">
        <v>856</v>
      </c>
      <c r="BR20">
        <v>263</v>
      </c>
      <c r="BS20"/>
      <c r="BT20" s="47">
        <v>1262</v>
      </c>
      <c r="BU20"/>
      <c r="CH20"/>
      <c r="CI20"/>
      <c r="CJ20"/>
      <c r="CK20"/>
      <c r="CL20"/>
      <c r="CM20"/>
      <c r="CN20"/>
      <c r="CO20"/>
      <c r="CP20"/>
      <c r="CQ20"/>
      <c r="CR20"/>
    </row>
    <row r="21" spans="1:96" x14ac:dyDescent="0.25">
      <c r="A21" s="651" t="s">
        <v>15</v>
      </c>
      <c r="B21" s="626" t="s">
        <v>63</v>
      </c>
      <c r="C21" s="1" t="s">
        <v>8</v>
      </c>
      <c r="D21" s="1">
        <v>500</v>
      </c>
      <c r="E21" s="63">
        <v>4646</v>
      </c>
      <c r="F21" s="43">
        <v>17626</v>
      </c>
      <c r="G21" s="43">
        <v>18200</v>
      </c>
      <c r="H21" s="44">
        <v>18000</v>
      </c>
      <c r="I21" s="43" t="s">
        <v>271</v>
      </c>
      <c r="J21" s="2" t="s">
        <v>125</v>
      </c>
      <c r="K21" s="125">
        <v>2250</v>
      </c>
      <c r="L21" s="103">
        <v>4144</v>
      </c>
      <c r="M21" s="100">
        <v>15655</v>
      </c>
      <c r="N21" s="43" t="s">
        <v>174</v>
      </c>
      <c r="O21" s="43" t="s">
        <v>173</v>
      </c>
      <c r="P21" s="45" t="s">
        <v>175</v>
      </c>
      <c r="Q21" s="43">
        <v>3700</v>
      </c>
      <c r="R21" s="46" t="str">
        <f>+T21</f>
        <v>3700-15655</v>
      </c>
      <c r="S21" s="1" t="s">
        <v>87</v>
      </c>
      <c r="T21" s="1" t="s">
        <v>94</v>
      </c>
      <c r="U21" s="148">
        <v>3700</v>
      </c>
      <c r="V21" s="148">
        <v>0.25</v>
      </c>
      <c r="W21" s="155">
        <f>+IF(E21&gt;(M21+L21)*V21,E21,(M21+L21)*V21)</f>
        <v>4949.75</v>
      </c>
      <c r="X21" s="32">
        <v>600</v>
      </c>
      <c r="Y21" s="33"/>
      <c r="Z21" s="33"/>
      <c r="AA21" s="47">
        <f>ROUND(Q21,-2)</f>
        <v>3700</v>
      </c>
      <c r="AB21" s="57">
        <f>((AC21-AA21)/2)+AA21</f>
        <v>9700</v>
      </c>
      <c r="AC21" s="56">
        <f>ROUND(M21,-2)</f>
        <v>15700</v>
      </c>
      <c r="AE21" s="124">
        <f>AA21/$K21</f>
        <v>1.6444444444444444</v>
      </c>
      <c r="AF21" s="124">
        <f t="shared" ref="AF21" si="8">AB21/$K21</f>
        <v>4.3111111111111109</v>
      </c>
      <c r="AG21" s="124">
        <f t="shared" ref="AG21" si="9">AC21/$K21</f>
        <v>6.9777777777777779</v>
      </c>
      <c r="AZ21" s="305" t="str">
        <f t="shared" si="5"/>
        <v>coho-Eloch/Skam</v>
      </c>
      <c r="BA21" s="149" t="s">
        <v>527</v>
      </c>
      <c r="BB21" s="306" t="s">
        <v>14</v>
      </c>
      <c r="BC21" s="149" t="s">
        <v>258</v>
      </c>
      <c r="BD21" s="306" t="s">
        <v>174</v>
      </c>
      <c r="BE21" s="306">
        <v>2400</v>
      </c>
      <c r="BF21" s="149">
        <v>2016</v>
      </c>
      <c r="BG21" s="309">
        <v>325</v>
      </c>
      <c r="BH21" s="224">
        <v>288</v>
      </c>
      <c r="BJ21">
        <v>2006</v>
      </c>
      <c r="BK21" s="224" t="s">
        <v>586</v>
      </c>
      <c r="BL21">
        <v>74</v>
      </c>
      <c r="BM21">
        <v>225</v>
      </c>
      <c r="BN21">
        <v>421</v>
      </c>
      <c r="BO21">
        <v>719</v>
      </c>
      <c r="BP21" s="320">
        <v>3464</v>
      </c>
      <c r="BQ21" s="563">
        <v>923</v>
      </c>
      <c r="BR21">
        <v>226</v>
      </c>
      <c r="BT21">
        <v>373</v>
      </c>
    </row>
    <row r="22" spans="1:96" x14ac:dyDescent="0.25">
      <c r="A22" s="651"/>
      <c r="B22" s="626"/>
      <c r="C22" s="1"/>
      <c r="D22" s="1"/>
      <c r="E22" s="63"/>
      <c r="F22" s="43"/>
      <c r="G22" s="43"/>
      <c r="H22" s="44"/>
      <c r="I22" s="43"/>
      <c r="K22" s="125"/>
      <c r="L22" s="103"/>
      <c r="M22" s="100"/>
      <c r="N22" s="43"/>
      <c r="O22" s="43"/>
      <c r="P22" s="45"/>
      <c r="Q22" s="43"/>
      <c r="R22" s="46"/>
      <c r="S22" s="1"/>
      <c r="T22" s="1"/>
      <c r="W22" s="155"/>
      <c r="X22" s="32"/>
      <c r="Y22" s="33"/>
      <c r="Z22" s="33"/>
      <c r="AA22" s="47"/>
      <c r="AB22" s="57"/>
      <c r="AC22" s="56"/>
      <c r="AE22" s="124"/>
      <c r="AF22" s="124"/>
      <c r="AG22" s="124"/>
      <c r="AZ22" s="305"/>
      <c r="BA22" s="149"/>
      <c r="BB22" s="306"/>
      <c r="BC22" s="149"/>
      <c r="BD22" s="306"/>
      <c r="BE22" s="306"/>
      <c r="BF22" s="17" t="s">
        <v>532</v>
      </c>
      <c r="BG22" s="310">
        <f>GEOMEAN(BG15:BG21)</f>
        <v>438.86694693791668</v>
      </c>
      <c r="BH22" s="410" t="s">
        <v>779</v>
      </c>
      <c r="BI22" s="411">
        <f>AVERAGE(BH15:BH21)</f>
        <v>575.14285714285711</v>
      </c>
      <c r="BJ22">
        <v>2007</v>
      </c>
      <c r="BK22" s="224" t="s">
        <v>586</v>
      </c>
      <c r="BL22">
        <v>21</v>
      </c>
      <c r="BM22">
        <v>212</v>
      </c>
      <c r="BN22">
        <v>927</v>
      </c>
      <c r="BO22">
        <v>375</v>
      </c>
      <c r="BP22" s="320">
        <v>3608</v>
      </c>
      <c r="BQ22" s="563">
        <v>687</v>
      </c>
      <c r="BR22">
        <v>126</v>
      </c>
      <c r="BT22">
        <v>170</v>
      </c>
    </row>
    <row r="23" spans="1:96" x14ac:dyDescent="0.25">
      <c r="A23" s="651"/>
      <c r="B23" s="626"/>
      <c r="C23" s="48" t="s">
        <v>9</v>
      </c>
      <c r="D23" s="48"/>
      <c r="E23" s="64">
        <v>5030</v>
      </c>
      <c r="F23" s="49"/>
      <c r="G23" s="64"/>
      <c r="H23" s="50"/>
      <c r="I23" s="49"/>
      <c r="J23" s="49"/>
      <c r="K23" s="64"/>
      <c r="L23" s="64"/>
      <c r="M23" s="70"/>
      <c r="N23" s="49"/>
      <c r="O23" s="49"/>
      <c r="P23" s="51"/>
      <c r="Q23" s="49"/>
      <c r="R23" s="48"/>
      <c r="S23" s="48"/>
      <c r="T23" s="48"/>
      <c r="W23" s="155"/>
      <c r="X23" s="32"/>
      <c r="Y23" s="33"/>
      <c r="Z23" s="33"/>
      <c r="AC23" s="3"/>
      <c r="AZ23" s="305" t="str">
        <f t="shared" si="5"/>
        <v>coho-MAG</v>
      </c>
      <c r="BA23" s="149" t="s">
        <v>527</v>
      </c>
      <c r="BB23" s="306" t="s">
        <v>14</v>
      </c>
      <c r="BC23" s="149" t="s">
        <v>257</v>
      </c>
      <c r="BD23" s="306" t="s">
        <v>176</v>
      </c>
      <c r="BE23" s="306">
        <v>1800</v>
      </c>
      <c r="BF23" s="149">
        <v>2010</v>
      </c>
      <c r="BG23" s="309">
        <v>849</v>
      </c>
      <c r="BH23" s="224">
        <v>118</v>
      </c>
      <c r="BJ23">
        <v>2008</v>
      </c>
      <c r="BK23" s="224" t="s">
        <v>585</v>
      </c>
      <c r="BL23">
        <v>82</v>
      </c>
      <c r="BM23">
        <v>360</v>
      </c>
      <c r="BN23">
        <v>995</v>
      </c>
      <c r="BO23">
        <v>292</v>
      </c>
      <c r="BP23" s="320">
        <v>1694</v>
      </c>
      <c r="BQ23" s="564">
        <v>1277</v>
      </c>
      <c r="BR23">
        <v>223</v>
      </c>
      <c r="BT23">
        <v>69</v>
      </c>
    </row>
    <row r="24" spans="1:96" x14ac:dyDescent="0.25">
      <c r="A24" s="651"/>
      <c r="B24" s="626" t="s">
        <v>64</v>
      </c>
      <c r="C24" s="1" t="s">
        <v>8</v>
      </c>
      <c r="D24" s="1">
        <v>50</v>
      </c>
      <c r="E24" s="63">
        <v>2711</v>
      </c>
      <c r="F24" s="43">
        <v>8434</v>
      </c>
      <c r="G24" s="43">
        <v>5023</v>
      </c>
      <c r="H24" s="44">
        <v>5000</v>
      </c>
      <c r="I24" s="43" t="s">
        <v>270</v>
      </c>
      <c r="J24" s="52" t="s">
        <v>124</v>
      </c>
      <c r="K24" s="129">
        <v>1000</v>
      </c>
      <c r="L24" s="103">
        <v>1873</v>
      </c>
      <c r="M24" s="100">
        <v>6225</v>
      </c>
      <c r="N24" s="43" t="s">
        <v>174</v>
      </c>
      <c r="O24" s="43" t="s">
        <v>173</v>
      </c>
      <c r="P24" s="45" t="s">
        <v>175</v>
      </c>
      <c r="Q24" s="43">
        <v>1200</v>
      </c>
      <c r="R24" s="46" t="str">
        <f>+T24</f>
        <v>1200-6225</v>
      </c>
      <c r="S24" s="1" t="s">
        <v>87</v>
      </c>
      <c r="T24" s="1" t="s">
        <v>95</v>
      </c>
      <c r="U24" s="148">
        <v>1200</v>
      </c>
      <c r="V24" s="148">
        <v>0.25</v>
      </c>
      <c r="W24" s="155">
        <f>+IF(E24&gt;(M24+L24)*V24,E24,(M24+L24)*V24)</f>
        <v>2711</v>
      </c>
      <c r="X24" s="32">
        <v>600</v>
      </c>
      <c r="Y24" s="33"/>
      <c r="Z24" s="33"/>
      <c r="AA24" s="47">
        <f>ROUND(Q24,-2)</f>
        <v>1200</v>
      </c>
      <c r="AB24" s="57">
        <f>((AC24-AA24)/2)+AA24</f>
        <v>3700</v>
      </c>
      <c r="AC24" s="56">
        <f>ROUND(M24,-2)</f>
        <v>6200</v>
      </c>
      <c r="AE24" s="124">
        <f>AA24/$K24</f>
        <v>1.2</v>
      </c>
      <c r="AF24" s="124">
        <f t="shared" ref="AF24" si="10">AB24/$K24</f>
        <v>3.7</v>
      </c>
      <c r="AG24" s="124">
        <f t="shared" ref="AG24" si="11">AC24/$K24</f>
        <v>6.2</v>
      </c>
      <c r="AZ24" s="305" t="str">
        <f t="shared" si="5"/>
        <v>coho-MAG</v>
      </c>
      <c r="BA24" s="149" t="s">
        <v>527</v>
      </c>
      <c r="BB24" s="306" t="s">
        <v>14</v>
      </c>
      <c r="BC24" s="149" t="s">
        <v>257</v>
      </c>
      <c r="BD24" s="306" t="s">
        <v>176</v>
      </c>
      <c r="BE24" s="306">
        <v>1800</v>
      </c>
      <c r="BF24" s="149">
        <v>2011</v>
      </c>
      <c r="BG24" s="309">
        <v>391</v>
      </c>
      <c r="BH24" s="224">
        <v>88</v>
      </c>
      <c r="BJ24">
        <v>2009</v>
      </c>
      <c r="BK24" s="224" t="s">
        <v>584</v>
      </c>
      <c r="BL24">
        <v>26</v>
      </c>
      <c r="BM24">
        <v>792</v>
      </c>
      <c r="BN24" s="47">
        <v>1195</v>
      </c>
      <c r="BO24">
        <v>778</v>
      </c>
      <c r="BP24" s="320">
        <v>7982</v>
      </c>
      <c r="BQ24" s="564">
        <v>1493</v>
      </c>
      <c r="BR24">
        <v>468</v>
      </c>
      <c r="BT24">
        <v>65</v>
      </c>
    </row>
    <row r="25" spans="1:96" s="558" customFormat="1" x14ac:dyDescent="0.25">
      <c r="A25" s="651"/>
      <c r="B25" s="626"/>
      <c r="C25" s="561" t="s">
        <v>9</v>
      </c>
      <c r="D25" s="561"/>
      <c r="E25" s="64">
        <v>3113</v>
      </c>
      <c r="F25" s="49"/>
      <c r="G25" s="64"/>
      <c r="H25" s="560"/>
      <c r="I25" s="49"/>
      <c r="J25" s="49"/>
      <c r="K25" s="64"/>
      <c r="L25" s="64"/>
      <c r="M25" s="70"/>
      <c r="N25" s="49"/>
      <c r="O25" s="49"/>
      <c r="P25" s="51"/>
      <c r="Q25" s="49"/>
      <c r="R25" s="561"/>
      <c r="S25" s="561"/>
      <c r="T25" s="561"/>
      <c r="U25" s="565"/>
      <c r="V25" s="565"/>
      <c r="W25" s="566"/>
      <c r="X25" s="567"/>
      <c r="Y25" s="568"/>
      <c r="Z25" s="568"/>
      <c r="AB25" s="569"/>
      <c r="AC25" s="570"/>
      <c r="AZ25" s="571" t="str">
        <f t="shared" si="5"/>
        <v>coho-MAG</v>
      </c>
      <c r="BA25" s="572" t="s">
        <v>527</v>
      </c>
      <c r="BB25" s="573" t="s">
        <v>14</v>
      </c>
      <c r="BC25" s="572" t="s">
        <v>257</v>
      </c>
      <c r="BD25" s="573" t="s">
        <v>176</v>
      </c>
      <c r="BE25" s="573">
        <v>1800</v>
      </c>
      <c r="BF25" s="572">
        <v>2012</v>
      </c>
      <c r="BG25" s="574">
        <v>386</v>
      </c>
      <c r="BH25" s="559">
        <v>11</v>
      </c>
      <c r="BJ25" s="558">
        <v>2010</v>
      </c>
      <c r="BK25" s="559" t="s">
        <v>584</v>
      </c>
      <c r="BL25" s="558">
        <v>68</v>
      </c>
      <c r="BM25" s="558">
        <v>279</v>
      </c>
      <c r="BN25" s="363">
        <v>1686</v>
      </c>
      <c r="BO25" s="363">
        <v>1960</v>
      </c>
      <c r="BP25" s="575">
        <v>1757</v>
      </c>
      <c r="BQ25" s="576">
        <v>901</v>
      </c>
      <c r="BR25" s="558">
        <v>920</v>
      </c>
      <c r="BT25" s="558">
        <v>223</v>
      </c>
    </row>
    <row r="26" spans="1:96" x14ac:dyDescent="0.25">
      <c r="A26" s="651"/>
      <c r="B26" s="626" t="s">
        <v>65</v>
      </c>
      <c r="C26" s="1" t="s">
        <v>8</v>
      </c>
      <c r="D26" s="1">
        <v>50</v>
      </c>
      <c r="E26" s="63">
        <v>2103</v>
      </c>
      <c r="F26" s="43">
        <v>25984</v>
      </c>
      <c r="G26" s="43">
        <v>27453</v>
      </c>
      <c r="H26" s="44">
        <v>27000</v>
      </c>
      <c r="I26" s="43" t="s">
        <v>270</v>
      </c>
      <c r="J26" s="2" t="s">
        <v>124</v>
      </c>
      <c r="K26" s="129">
        <v>1000</v>
      </c>
      <c r="L26" s="103">
        <v>1376</v>
      </c>
      <c r="M26" s="100">
        <v>8196</v>
      </c>
      <c r="N26" s="43" t="s">
        <v>174</v>
      </c>
      <c r="O26" s="43" t="s">
        <v>173</v>
      </c>
      <c r="P26" s="45" t="s">
        <v>175</v>
      </c>
      <c r="Q26" s="43">
        <v>1900</v>
      </c>
      <c r="R26" s="46" t="str">
        <f>+T26</f>
        <v>1900-8196</v>
      </c>
      <c r="S26" s="1" t="s">
        <v>87</v>
      </c>
      <c r="T26" s="1" t="s">
        <v>96</v>
      </c>
      <c r="U26" s="148">
        <v>1900</v>
      </c>
      <c r="V26" s="148">
        <v>0.25</v>
      </c>
      <c r="W26" s="155">
        <f>+IF(E26&gt;(M26+L26)*V26,E26,(M26+L26)*V26)</f>
        <v>2393</v>
      </c>
      <c r="X26" s="32">
        <v>600</v>
      </c>
      <c r="Y26" s="33"/>
      <c r="Z26" s="33"/>
      <c r="AA26" s="47">
        <f>ROUND(Q26,-2)</f>
        <v>1900</v>
      </c>
      <c r="AB26" s="57">
        <f>((AC26-AA26)/2)+AA26</f>
        <v>3000</v>
      </c>
      <c r="AC26" s="56">
        <f>ROUND(M26/2,-2)</f>
        <v>4100</v>
      </c>
      <c r="AE26" s="124">
        <f>AA26/$K26</f>
        <v>1.9</v>
      </c>
      <c r="AF26" s="124">
        <f t="shared" ref="AF26" si="12">AB26/$K26</f>
        <v>3</v>
      </c>
      <c r="AG26" s="124">
        <f t="shared" ref="AG26" si="13">AC26/$K26</f>
        <v>4.0999999999999996</v>
      </c>
      <c r="AZ26" s="305" t="str">
        <f t="shared" si="5"/>
        <v>coho-MAG</v>
      </c>
      <c r="BA26" s="149" t="s">
        <v>527</v>
      </c>
      <c r="BB26" s="306" t="s">
        <v>14</v>
      </c>
      <c r="BC26" s="149" t="s">
        <v>257</v>
      </c>
      <c r="BD26" s="306" t="s">
        <v>176</v>
      </c>
      <c r="BE26" s="306">
        <v>1800</v>
      </c>
      <c r="BF26" s="149">
        <v>2013</v>
      </c>
      <c r="BG26" s="309">
        <v>475</v>
      </c>
      <c r="BH26" s="224">
        <v>39</v>
      </c>
      <c r="BJ26">
        <v>2011</v>
      </c>
      <c r="BK26" s="224" t="s">
        <v>584</v>
      </c>
      <c r="BL26">
        <v>161</v>
      </c>
      <c r="BM26">
        <v>160</v>
      </c>
      <c r="BN26" s="47">
        <v>1546</v>
      </c>
      <c r="BO26">
        <v>298</v>
      </c>
      <c r="BP26" s="320">
        <v>2254</v>
      </c>
      <c r="BQ26" s="564">
        <v>3494</v>
      </c>
      <c r="BR26">
        <v>216</v>
      </c>
      <c r="BT26">
        <v>232</v>
      </c>
    </row>
    <row r="27" spans="1:96" x14ac:dyDescent="0.25">
      <c r="A27" s="651"/>
      <c r="B27" s="626"/>
      <c r="C27" s="48" t="s">
        <v>9</v>
      </c>
      <c r="D27" s="48"/>
      <c r="E27" s="64">
        <v>2823</v>
      </c>
      <c r="F27" s="49"/>
      <c r="G27" s="64"/>
      <c r="H27" s="50"/>
      <c r="I27" s="49"/>
      <c r="J27" s="49"/>
      <c r="K27" s="64"/>
      <c r="L27" s="64"/>
      <c r="M27" s="70"/>
      <c r="N27" s="49"/>
      <c r="O27" s="49"/>
      <c r="P27" s="51"/>
      <c r="Q27" s="49"/>
      <c r="R27" s="48"/>
      <c r="S27" s="48"/>
      <c r="T27" s="48"/>
      <c r="W27" s="155"/>
      <c r="X27" s="32"/>
      <c r="Y27" s="33"/>
      <c r="Z27" s="33"/>
      <c r="AB27" s="58"/>
      <c r="AC27" s="59"/>
      <c r="AZ27" s="305" t="str">
        <f t="shared" si="5"/>
        <v>coho-MAG</v>
      </c>
      <c r="BA27" s="149" t="s">
        <v>527</v>
      </c>
      <c r="BB27" s="306" t="s">
        <v>14</v>
      </c>
      <c r="BC27" s="149" t="s">
        <v>257</v>
      </c>
      <c r="BD27" s="306" t="s">
        <v>176</v>
      </c>
      <c r="BE27" s="306">
        <v>1800</v>
      </c>
      <c r="BF27" s="149">
        <v>2014</v>
      </c>
      <c r="BG27" s="309">
        <v>1575</v>
      </c>
      <c r="BH27" s="224">
        <v>214</v>
      </c>
      <c r="BJ27">
        <v>2012</v>
      </c>
      <c r="BK27" s="224" t="s">
        <v>585</v>
      </c>
      <c r="BL27">
        <v>129</v>
      </c>
      <c r="BM27">
        <v>409</v>
      </c>
      <c r="BN27">
        <v>619</v>
      </c>
      <c r="BO27">
        <v>210</v>
      </c>
      <c r="BP27" s="320">
        <v>1580</v>
      </c>
      <c r="BQ27" s="564">
        <v>1165</v>
      </c>
      <c r="BR27">
        <v>96</v>
      </c>
      <c r="BT27">
        <v>169</v>
      </c>
    </row>
    <row r="28" spans="1:96" x14ac:dyDescent="0.25">
      <c r="A28" s="651"/>
      <c r="B28" s="626" t="s">
        <v>66</v>
      </c>
      <c r="C28" s="1" t="s">
        <v>8</v>
      </c>
      <c r="D28" s="1">
        <v>50</v>
      </c>
      <c r="E28" s="63">
        <v>911</v>
      </c>
      <c r="F28" s="43" t="s">
        <v>250</v>
      </c>
      <c r="G28" s="43" t="s">
        <v>250</v>
      </c>
      <c r="H28" s="44"/>
      <c r="I28" s="43" t="s">
        <v>270</v>
      </c>
      <c r="J28" s="52" t="s">
        <v>124</v>
      </c>
      <c r="K28" s="129">
        <v>1000</v>
      </c>
      <c r="L28" s="43" t="s">
        <v>250</v>
      </c>
      <c r="M28" s="43" t="s">
        <v>250</v>
      </c>
      <c r="N28" s="43" t="s">
        <v>174</v>
      </c>
      <c r="O28" s="43" t="s">
        <v>173</v>
      </c>
      <c r="P28" s="45" t="s">
        <v>175</v>
      </c>
      <c r="Q28" s="43">
        <v>1900</v>
      </c>
      <c r="R28" s="46" t="str">
        <f>+T28</f>
        <v>1900-NA</v>
      </c>
      <c r="S28" s="1" t="s">
        <v>87</v>
      </c>
      <c r="T28" s="1" t="s">
        <v>97</v>
      </c>
      <c r="U28" s="148">
        <v>1900</v>
      </c>
      <c r="V28" s="148">
        <v>0.25</v>
      </c>
      <c r="W28" s="155" t="e">
        <f>+IF(E28&gt;(M28+L28)*V28,E28,(M28+L28)*V28)</f>
        <v>#VALUE!</v>
      </c>
      <c r="X28" s="32">
        <v>600</v>
      </c>
      <c r="Y28" s="33"/>
      <c r="Z28" s="33"/>
      <c r="AA28" s="47">
        <f>ROUND(Q28,-2)</f>
        <v>1900</v>
      </c>
      <c r="AB28" s="57">
        <f>AB26</f>
        <v>3000</v>
      </c>
      <c r="AC28" s="56">
        <f>ROUND(M26/2,-2)</f>
        <v>4100</v>
      </c>
      <c r="AE28" s="124">
        <f>AA28/$K28</f>
        <v>1.9</v>
      </c>
      <c r="AF28" s="124">
        <f t="shared" ref="AF28" si="14">AB28/$K28</f>
        <v>3</v>
      </c>
      <c r="AG28" s="124">
        <f t="shared" ref="AG28" si="15">AC28/$K28</f>
        <v>4.0999999999999996</v>
      </c>
      <c r="AZ28" s="305" t="str">
        <f t="shared" si="5"/>
        <v>coho-MAG</v>
      </c>
      <c r="BA28" s="149" t="s">
        <v>527</v>
      </c>
      <c r="BB28" s="306" t="s">
        <v>14</v>
      </c>
      <c r="BC28" s="149" t="s">
        <v>257</v>
      </c>
      <c r="BD28" s="306" t="s">
        <v>176</v>
      </c>
      <c r="BE28" s="306">
        <v>1800</v>
      </c>
      <c r="BF28" s="149">
        <v>2015</v>
      </c>
      <c r="BG28" s="309">
        <v>422</v>
      </c>
      <c r="BH28" s="224">
        <v>33</v>
      </c>
      <c r="BJ28">
        <v>2013</v>
      </c>
      <c r="BK28" s="224" t="s">
        <v>585</v>
      </c>
      <c r="BL28" s="224" t="s">
        <v>235</v>
      </c>
      <c r="BM28" s="224" t="s">
        <v>235</v>
      </c>
      <c r="BN28">
        <v>611</v>
      </c>
      <c r="BO28">
        <v>979</v>
      </c>
      <c r="BP28" s="320">
        <v>3202</v>
      </c>
      <c r="BQ28" s="563">
        <v>667</v>
      </c>
      <c r="BR28">
        <v>151</v>
      </c>
      <c r="BT28">
        <v>561</v>
      </c>
    </row>
    <row r="29" spans="1:96" x14ac:dyDescent="0.25">
      <c r="A29" s="651"/>
      <c r="B29" s="626"/>
      <c r="C29" s="48" t="s">
        <v>9</v>
      </c>
      <c r="D29" s="48"/>
      <c r="E29" s="64">
        <v>1532</v>
      </c>
      <c r="F29" s="49"/>
      <c r="G29" s="64"/>
      <c r="H29" s="50"/>
      <c r="I29" s="49"/>
      <c r="J29" s="49"/>
      <c r="K29" s="64"/>
      <c r="L29" s="64"/>
      <c r="M29" s="70"/>
      <c r="N29" s="49"/>
      <c r="O29" s="49"/>
      <c r="P29" s="51"/>
      <c r="Q29" s="49"/>
      <c r="R29" s="48"/>
      <c r="S29" s="48"/>
      <c r="T29" s="48"/>
      <c r="W29" s="155"/>
      <c r="X29" s="32"/>
      <c r="Y29" s="33"/>
      <c r="Z29" s="33"/>
      <c r="AB29" s="58"/>
      <c r="AC29" s="59"/>
      <c r="AZ29" s="305" t="str">
        <f t="shared" si="5"/>
        <v>coho-MAG</v>
      </c>
      <c r="BA29" s="149" t="s">
        <v>527</v>
      </c>
      <c r="BB29" s="306" t="s">
        <v>14</v>
      </c>
      <c r="BC29" s="149" t="s">
        <v>257</v>
      </c>
      <c r="BD29" s="306" t="s">
        <v>176</v>
      </c>
      <c r="BE29" s="306">
        <v>1800</v>
      </c>
      <c r="BF29" s="149">
        <v>2016</v>
      </c>
      <c r="BG29" s="309">
        <v>731</v>
      </c>
      <c r="BH29" s="224">
        <v>109</v>
      </c>
      <c r="BJ29">
        <v>2014</v>
      </c>
      <c r="BK29" s="224" t="s">
        <v>584</v>
      </c>
      <c r="BL29" s="224" t="s">
        <v>235</v>
      </c>
      <c r="BM29" s="224" t="s">
        <v>235</v>
      </c>
      <c r="BN29" s="47">
        <v>3246</v>
      </c>
      <c r="BO29" s="47">
        <v>1587</v>
      </c>
      <c r="BP29" s="320">
        <v>10670</v>
      </c>
      <c r="BQ29" s="564">
        <v>5942</v>
      </c>
      <c r="BR29">
        <v>362</v>
      </c>
      <c r="BT29">
        <v>42</v>
      </c>
    </row>
    <row r="30" spans="1:96" x14ac:dyDescent="0.25">
      <c r="A30" s="651"/>
      <c r="B30" s="276"/>
      <c r="C30" s="1"/>
      <c r="D30" s="1"/>
      <c r="E30" s="63"/>
      <c r="F30" s="43"/>
      <c r="G30" s="63"/>
      <c r="H30" s="44"/>
      <c r="I30" s="43"/>
      <c r="J30" s="43"/>
      <c r="K30" s="63"/>
      <c r="L30" s="63"/>
      <c r="M30" s="69"/>
      <c r="N30" s="43"/>
      <c r="O30" s="43"/>
      <c r="P30" s="45"/>
      <c r="Q30" s="43"/>
      <c r="R30" s="1"/>
      <c r="S30" s="1"/>
      <c r="T30" s="1"/>
      <c r="W30" s="155"/>
      <c r="X30" s="32"/>
      <c r="Y30" s="33"/>
      <c r="Z30" s="33"/>
      <c r="AB30" s="58"/>
      <c r="AC30" s="59"/>
      <c r="AZ30" s="305"/>
      <c r="BA30" s="149"/>
      <c r="BB30" s="306"/>
      <c r="BC30" s="149"/>
      <c r="BD30" s="306"/>
      <c r="BE30" s="306"/>
      <c r="BF30" s="17" t="s">
        <v>532</v>
      </c>
      <c r="BG30" s="310">
        <f>GEOMEAN(BG23:BG29)</f>
        <v>604.71908928841435</v>
      </c>
      <c r="BH30" s="410" t="s">
        <v>779</v>
      </c>
      <c r="BI30" s="411">
        <f>AVERAGE(BH23:BH29)</f>
        <v>87.428571428571431</v>
      </c>
      <c r="BJ30">
        <v>2015</v>
      </c>
      <c r="BK30" s="224" t="s">
        <v>586</v>
      </c>
      <c r="BL30" s="224" t="s">
        <v>235</v>
      </c>
      <c r="BM30" s="224" t="s">
        <v>235</v>
      </c>
      <c r="BN30">
        <v>240</v>
      </c>
      <c r="BO30">
        <v>487</v>
      </c>
      <c r="BP30" s="320">
        <v>1784</v>
      </c>
      <c r="BQ30" s="563">
        <v>443</v>
      </c>
      <c r="BR30">
        <v>30</v>
      </c>
      <c r="BT30">
        <v>4</v>
      </c>
    </row>
    <row r="31" spans="1:96" x14ac:dyDescent="0.25">
      <c r="A31" s="651"/>
      <c r="B31" s="626" t="s">
        <v>67</v>
      </c>
      <c r="C31" s="1" t="s">
        <v>8</v>
      </c>
      <c r="D31" s="1">
        <v>50</v>
      </c>
      <c r="E31" s="63">
        <v>3232</v>
      </c>
      <c r="F31" s="43">
        <v>17654</v>
      </c>
      <c r="G31" s="43">
        <v>17654</v>
      </c>
      <c r="H31" s="44">
        <v>18000</v>
      </c>
      <c r="I31" s="43" t="s">
        <v>271</v>
      </c>
      <c r="J31" s="2" t="s">
        <v>125</v>
      </c>
      <c r="K31" s="125">
        <v>2250</v>
      </c>
      <c r="L31" s="103">
        <v>11039</v>
      </c>
      <c r="M31" s="100">
        <v>23633</v>
      </c>
      <c r="N31" s="43" t="s">
        <v>174</v>
      </c>
      <c r="O31" s="43" t="s">
        <v>173</v>
      </c>
      <c r="P31" s="45" t="s">
        <v>175</v>
      </c>
      <c r="Q31" s="43">
        <v>2000</v>
      </c>
      <c r="R31" s="46" t="str">
        <f>+T31</f>
        <v>2000-23633</v>
      </c>
      <c r="S31" s="1" t="s">
        <v>87</v>
      </c>
      <c r="T31" s="1" t="s">
        <v>98</v>
      </c>
      <c r="U31" s="148">
        <v>2000</v>
      </c>
      <c r="V31" s="148">
        <v>0.25</v>
      </c>
      <c r="W31" s="155">
        <f>+IF(E31&gt;(M31+L31)*V31,E31,(M31+L31)*V31)</f>
        <v>8668</v>
      </c>
      <c r="X31" s="32">
        <v>300</v>
      </c>
      <c r="Y31" s="33"/>
      <c r="Z31" s="33"/>
      <c r="AA31" s="47">
        <f>ROUND(Q31,-2)</f>
        <v>2000</v>
      </c>
      <c r="AB31" s="57">
        <f>((AC31-AA31)/2)+AA31</f>
        <v>12800</v>
      </c>
      <c r="AC31" s="56">
        <f>ROUND(M31,-2)</f>
        <v>23600</v>
      </c>
      <c r="AE31" s="124">
        <f>AA31/$K31</f>
        <v>0.88888888888888884</v>
      </c>
      <c r="AF31" s="124">
        <f t="shared" ref="AF31" si="16">AB31/$K31</f>
        <v>5.6888888888888891</v>
      </c>
      <c r="AG31" s="124">
        <f t="shared" ref="AG31" si="17">AC31/$K31</f>
        <v>10.488888888888889</v>
      </c>
      <c r="AZ31" s="305" t="str">
        <f t="shared" si="5"/>
        <v>coho-L Cowlitz</v>
      </c>
      <c r="BA31" s="149" t="s">
        <v>527</v>
      </c>
      <c r="BB31" s="306" t="s">
        <v>15</v>
      </c>
      <c r="BC31" s="149" t="s">
        <v>529</v>
      </c>
      <c r="BD31" s="306" t="s">
        <v>174</v>
      </c>
      <c r="BE31" s="306">
        <v>3700</v>
      </c>
      <c r="BF31" s="149">
        <v>2010</v>
      </c>
      <c r="BG31" s="309">
        <v>5015</v>
      </c>
      <c r="BH31" s="224">
        <v>631</v>
      </c>
      <c r="BJ31">
        <v>2016</v>
      </c>
      <c r="BK31" s="224" t="s">
        <v>585</v>
      </c>
      <c r="BL31" s="224" t="s">
        <v>235</v>
      </c>
      <c r="BM31" s="224" t="s">
        <v>235</v>
      </c>
      <c r="BN31">
        <v>464</v>
      </c>
      <c r="BO31" s="47">
        <v>1200</v>
      </c>
      <c r="BP31" s="320">
        <v>1628</v>
      </c>
      <c r="BQ31" s="563">
        <v>939</v>
      </c>
      <c r="BR31">
        <v>395</v>
      </c>
      <c r="BT31">
        <v>57</v>
      </c>
    </row>
    <row r="32" spans="1:96" x14ac:dyDescent="0.25">
      <c r="A32" s="651"/>
      <c r="B32" s="626"/>
      <c r="C32" s="48" t="s">
        <v>9</v>
      </c>
      <c r="D32" s="48"/>
      <c r="E32" s="64">
        <v>10930</v>
      </c>
      <c r="F32" s="49"/>
      <c r="G32" s="64"/>
      <c r="H32" s="50"/>
      <c r="I32" s="49"/>
      <c r="J32" s="49"/>
      <c r="K32" s="128"/>
      <c r="L32" s="64"/>
      <c r="M32" s="70"/>
      <c r="N32" s="49"/>
      <c r="O32" s="49"/>
      <c r="P32" s="51"/>
      <c r="Q32" s="49"/>
      <c r="R32" s="48"/>
      <c r="S32" s="48"/>
      <c r="T32" s="48"/>
      <c r="W32" s="155"/>
      <c r="X32" s="32"/>
      <c r="Y32" s="33"/>
      <c r="Z32" s="33"/>
      <c r="AB32" s="57"/>
      <c r="AC32" s="56"/>
      <c r="AZ32" s="305" t="str">
        <f t="shared" si="5"/>
        <v>coho-L Cowlitz</v>
      </c>
      <c r="BA32" s="149" t="s">
        <v>527</v>
      </c>
      <c r="BB32" s="306" t="s">
        <v>15</v>
      </c>
      <c r="BC32" s="149" t="s">
        <v>529</v>
      </c>
      <c r="BD32" s="306" t="s">
        <v>174</v>
      </c>
      <c r="BE32" s="306">
        <v>3700</v>
      </c>
      <c r="BF32" s="149">
        <v>2011</v>
      </c>
      <c r="BG32" s="309">
        <v>4148</v>
      </c>
      <c r="BH32" s="224">
        <v>392</v>
      </c>
      <c r="BJ32">
        <v>2017</v>
      </c>
      <c r="BK32" s="224" t="s">
        <v>235</v>
      </c>
      <c r="BL32" s="224" t="s">
        <v>235</v>
      </c>
      <c r="BM32" s="224" t="s">
        <v>235</v>
      </c>
      <c r="BN32">
        <v>566</v>
      </c>
      <c r="BO32">
        <v>386</v>
      </c>
      <c r="BP32" s="320">
        <v>7598</v>
      </c>
      <c r="BQ32" s="564">
        <v>2384</v>
      </c>
      <c r="BR32" s="224" t="s">
        <v>235</v>
      </c>
      <c r="BT32" s="224" t="s">
        <v>235</v>
      </c>
    </row>
    <row r="33" spans="1:96" x14ac:dyDescent="0.25">
      <c r="A33" s="651"/>
      <c r="B33" s="626" t="s">
        <v>68</v>
      </c>
      <c r="C33" s="1" t="s">
        <v>8</v>
      </c>
      <c r="D33" s="1">
        <v>50</v>
      </c>
      <c r="E33" s="63" t="s">
        <v>75</v>
      </c>
      <c r="F33" s="43">
        <v>8029</v>
      </c>
      <c r="G33" s="43">
        <v>8029</v>
      </c>
      <c r="H33" s="44">
        <v>8000</v>
      </c>
      <c r="I33" s="43" t="s">
        <v>271</v>
      </c>
      <c r="J33" s="52" t="s">
        <v>125</v>
      </c>
      <c r="K33" s="129">
        <v>2250</v>
      </c>
      <c r="L33" s="103">
        <v>3752</v>
      </c>
      <c r="M33" s="100">
        <v>5351</v>
      </c>
      <c r="N33" s="43" t="s">
        <v>174</v>
      </c>
      <c r="O33" s="43" t="s">
        <v>173</v>
      </c>
      <c r="P33" s="45" t="s">
        <v>175</v>
      </c>
      <c r="Q33" s="43">
        <v>2000</v>
      </c>
      <c r="R33" s="46" t="str">
        <f>+T33</f>
        <v>2000-5351</v>
      </c>
      <c r="S33" s="1" t="s">
        <v>87</v>
      </c>
      <c r="T33" s="1" t="s">
        <v>99</v>
      </c>
      <c r="U33" s="148">
        <v>2000</v>
      </c>
      <c r="V33" s="148">
        <v>0.25</v>
      </c>
      <c r="W33" s="155" t="str">
        <f>+IF(E33&gt;(M33+L33)*V33,E33,(M33+L33)*V33)</f>
        <v>UC</v>
      </c>
      <c r="X33" s="32">
        <v>300</v>
      </c>
      <c r="Y33" s="33"/>
      <c r="Z33" s="33"/>
      <c r="AA33" s="47">
        <f>ROUND(Q33,-2)</f>
        <v>2000</v>
      </c>
      <c r="AB33" s="57">
        <f>((AC33-AA33)/2)+AA33</f>
        <v>3700</v>
      </c>
      <c r="AC33" s="56">
        <f>ROUND(M33,-2)</f>
        <v>5400</v>
      </c>
      <c r="AE33" s="124">
        <f>AA33/$K33</f>
        <v>0.88888888888888884</v>
      </c>
      <c r="AF33" s="124">
        <f t="shared" ref="AF33" si="18">AB33/$K33</f>
        <v>1.6444444444444444</v>
      </c>
      <c r="AG33" s="124">
        <f t="shared" ref="AG33" si="19">AC33/$K33</f>
        <v>2.4</v>
      </c>
      <c r="AZ33" s="305" t="str">
        <f t="shared" si="5"/>
        <v>coho-L Cowlitz</v>
      </c>
      <c r="BA33" s="149" t="s">
        <v>527</v>
      </c>
      <c r="BB33" s="306" t="s">
        <v>15</v>
      </c>
      <c r="BC33" s="149" t="s">
        <v>529</v>
      </c>
      <c r="BD33" s="306" t="s">
        <v>174</v>
      </c>
      <c r="BE33" s="306">
        <v>3700</v>
      </c>
      <c r="BF33" s="149">
        <v>2012</v>
      </c>
      <c r="BG33" s="309">
        <v>2990</v>
      </c>
      <c r="BH33" s="224">
        <v>487</v>
      </c>
      <c r="BJ33">
        <v>2018</v>
      </c>
      <c r="BK33" s="224" t="s">
        <v>235</v>
      </c>
      <c r="BL33" s="224" t="s">
        <v>235</v>
      </c>
      <c r="BM33" s="224" t="s">
        <v>235</v>
      </c>
      <c r="BN33" s="224" t="s">
        <v>235</v>
      </c>
      <c r="BO33" s="224" t="s">
        <v>235</v>
      </c>
      <c r="BP33" s="224" t="s">
        <v>235</v>
      </c>
      <c r="BQ33" s="224" t="s">
        <v>235</v>
      </c>
      <c r="BR33" s="224" t="s">
        <v>235</v>
      </c>
      <c r="BT33" s="224" t="s">
        <v>235</v>
      </c>
    </row>
    <row r="34" spans="1:96" x14ac:dyDescent="0.25">
      <c r="A34" s="651"/>
      <c r="B34" s="626"/>
      <c r="C34" s="48" t="s">
        <v>9</v>
      </c>
      <c r="D34" s="48"/>
      <c r="E34" s="64" t="s">
        <v>75</v>
      </c>
      <c r="F34" s="49"/>
      <c r="G34" s="64"/>
      <c r="H34" s="50"/>
      <c r="I34" s="49"/>
      <c r="J34" s="49"/>
      <c r="K34" s="128"/>
      <c r="L34" s="64"/>
      <c r="M34" s="70"/>
      <c r="N34" s="49"/>
      <c r="O34" s="49"/>
      <c r="P34" s="51"/>
      <c r="Q34" s="49"/>
      <c r="R34" s="48"/>
      <c r="S34" s="48"/>
      <c r="T34" s="48"/>
      <c r="W34" s="155"/>
      <c r="X34" s="32"/>
      <c r="Y34" s="33"/>
      <c r="Z34" s="33"/>
      <c r="AA34" s="56"/>
      <c r="AB34" s="57"/>
      <c r="AC34" s="56"/>
      <c r="AZ34" s="305" t="str">
        <f t="shared" si="5"/>
        <v>coho-L Cowlitz</v>
      </c>
      <c r="BA34" s="149" t="s">
        <v>527</v>
      </c>
      <c r="BB34" s="306" t="s">
        <v>15</v>
      </c>
      <c r="BC34" s="149" t="s">
        <v>529</v>
      </c>
      <c r="BD34" s="306" t="s">
        <v>174</v>
      </c>
      <c r="BE34" s="306">
        <v>3700</v>
      </c>
      <c r="BF34" s="149">
        <v>2013</v>
      </c>
      <c r="BG34" s="309">
        <v>4522</v>
      </c>
      <c r="BH34" s="224">
        <v>1211</v>
      </c>
      <c r="BL34" s="224"/>
    </row>
    <row r="35" spans="1:96" x14ac:dyDescent="0.25">
      <c r="A35" s="651"/>
      <c r="B35" s="626" t="s">
        <v>69</v>
      </c>
      <c r="C35" s="1" t="s">
        <v>8</v>
      </c>
      <c r="D35" s="1">
        <v>50</v>
      </c>
      <c r="E35" s="63">
        <v>1610</v>
      </c>
      <c r="F35" s="43">
        <v>5599</v>
      </c>
      <c r="G35" s="43">
        <v>5599</v>
      </c>
      <c r="H35" s="44">
        <v>5600</v>
      </c>
      <c r="I35" s="43" t="s">
        <v>177</v>
      </c>
      <c r="J35" s="125" t="s">
        <v>126</v>
      </c>
      <c r="K35" s="125">
        <v>500</v>
      </c>
      <c r="L35" s="43">
        <v>261</v>
      </c>
      <c r="M35" s="100">
        <v>3233</v>
      </c>
      <c r="N35" s="43" t="s">
        <v>172</v>
      </c>
      <c r="O35" s="43" t="s">
        <v>173</v>
      </c>
      <c r="P35" s="45" t="s">
        <v>173</v>
      </c>
      <c r="Q35" s="43">
        <v>0</v>
      </c>
      <c r="R35" s="46" t="str">
        <f>+T35</f>
        <v>NA-3233</v>
      </c>
      <c r="S35" s="1" t="s">
        <v>87</v>
      </c>
      <c r="T35" s="1" t="s">
        <v>100</v>
      </c>
      <c r="U35" s="165" t="s">
        <v>287</v>
      </c>
      <c r="V35" s="148">
        <v>0.25</v>
      </c>
      <c r="W35" s="155">
        <f>+IF(E35&gt;(M35+L35)*V35,E35,(M35+L35)*V35)</f>
        <v>1610</v>
      </c>
      <c r="X35" s="32">
        <v>150</v>
      </c>
      <c r="Y35" s="33"/>
      <c r="Z35" s="33"/>
      <c r="AA35" s="47">
        <f>ROUND(BG54,-2)</f>
        <v>2200</v>
      </c>
      <c r="AB35" s="57">
        <f>((AC35-AA35)/2)+AA35</f>
        <v>2700</v>
      </c>
      <c r="AC35" s="56">
        <f>ROUND(M35,-2)</f>
        <v>3200</v>
      </c>
      <c r="AF35">
        <v>50</v>
      </c>
      <c r="AG35">
        <v>100</v>
      </c>
      <c r="AH35">
        <v>150</v>
      </c>
      <c r="AZ35" s="305" t="str">
        <f t="shared" si="5"/>
        <v>coho-L Cowlitz</v>
      </c>
      <c r="BA35" s="149" t="s">
        <v>527</v>
      </c>
      <c r="BB35" s="306" t="s">
        <v>15</v>
      </c>
      <c r="BC35" s="149" t="s">
        <v>529</v>
      </c>
      <c r="BD35" s="306" t="s">
        <v>174</v>
      </c>
      <c r="BE35" s="306">
        <v>3700</v>
      </c>
      <c r="BF35" s="149">
        <v>2014</v>
      </c>
      <c r="BG35" s="309">
        <v>17201</v>
      </c>
      <c r="BH35" s="224">
        <v>1252</v>
      </c>
      <c r="BI35" s="224"/>
      <c r="BJ35" t="s">
        <v>669</v>
      </c>
      <c r="BL35" s="47">
        <f>GEOMEAN(BL23:BL27)</f>
        <v>78.657898622860245</v>
      </c>
      <c r="BM35" s="47">
        <f>GEOMEAN(BM23:BM27)</f>
        <v>349.37758236704468</v>
      </c>
      <c r="BN35" s="47"/>
      <c r="BO35" s="47"/>
      <c r="BP35" s="47"/>
      <c r="BQ35" s="47"/>
      <c r="BR35" s="47"/>
      <c r="BS35" s="47"/>
      <c r="BT35" s="47"/>
      <c r="BU35" s="98"/>
    </row>
    <row r="36" spans="1:96" x14ac:dyDescent="0.25">
      <c r="A36" s="651"/>
      <c r="B36" s="626"/>
      <c r="C36" s="48" t="s">
        <v>9</v>
      </c>
      <c r="D36" s="48"/>
      <c r="E36" s="64">
        <v>6668</v>
      </c>
      <c r="F36" s="49"/>
      <c r="G36" s="64"/>
      <c r="H36" s="50"/>
      <c r="I36" s="49"/>
      <c r="J36" s="49"/>
      <c r="K36" s="128"/>
      <c r="L36" s="49"/>
      <c r="M36" s="70"/>
      <c r="N36" s="49"/>
      <c r="O36" s="49"/>
      <c r="P36" s="51"/>
      <c r="Q36" s="49"/>
      <c r="R36" s="48"/>
      <c r="S36" s="48"/>
      <c r="T36" s="48"/>
      <c r="W36" s="155"/>
      <c r="X36" s="32"/>
      <c r="Y36" s="33"/>
      <c r="Z36" s="33"/>
      <c r="AB36" s="58"/>
      <c r="AC36" s="59"/>
      <c r="AZ36" s="305" t="str">
        <f t="shared" si="5"/>
        <v>coho-L Cowlitz</v>
      </c>
      <c r="BA36" s="149" t="s">
        <v>527</v>
      </c>
      <c r="BB36" s="306" t="s">
        <v>15</v>
      </c>
      <c r="BC36" s="149" t="s">
        <v>529</v>
      </c>
      <c r="BD36" s="306" t="s">
        <v>174</v>
      </c>
      <c r="BE36" s="306">
        <v>3700</v>
      </c>
      <c r="BF36" s="149">
        <v>2015</v>
      </c>
      <c r="BG36" s="309">
        <v>1576</v>
      </c>
      <c r="BH36" s="224">
        <v>150</v>
      </c>
      <c r="BI36" s="224"/>
      <c r="BJ36" t="s">
        <v>671</v>
      </c>
      <c r="BL36" s="47"/>
      <c r="BM36" s="47"/>
      <c r="BN36" s="47"/>
      <c r="BO36" s="47"/>
      <c r="BP36" s="47"/>
      <c r="BQ36" s="47"/>
      <c r="BR36" s="47">
        <f>GEOMEAN(BR22:BR31)</f>
        <v>209.45165392422138</v>
      </c>
      <c r="BS36" s="47"/>
      <c r="BT36" s="47">
        <f>GEOMEAN(BT22:BT31)</f>
        <v>90.240977709274119</v>
      </c>
      <c r="BU36" s="98"/>
    </row>
    <row r="37" spans="1:96" x14ac:dyDescent="0.25">
      <c r="A37" s="651"/>
      <c r="B37" s="626" t="s">
        <v>16</v>
      </c>
      <c r="C37" s="1" t="s">
        <v>8</v>
      </c>
      <c r="D37" s="1">
        <v>50</v>
      </c>
      <c r="E37" s="63">
        <v>13</v>
      </c>
      <c r="F37" s="43">
        <v>1306</v>
      </c>
      <c r="G37" s="43">
        <v>796</v>
      </c>
      <c r="H37" s="44">
        <v>800</v>
      </c>
      <c r="I37" s="43" t="s">
        <v>270</v>
      </c>
      <c r="J37" s="52" t="s">
        <v>124</v>
      </c>
      <c r="K37" s="129">
        <v>1000</v>
      </c>
      <c r="L37" s="43">
        <v>484</v>
      </c>
      <c r="M37" s="100">
        <v>1033</v>
      </c>
      <c r="N37" s="43" t="s">
        <v>176</v>
      </c>
      <c r="O37" s="43" t="s">
        <v>173</v>
      </c>
      <c r="P37" s="45" t="s">
        <v>180</v>
      </c>
      <c r="Q37" s="43">
        <v>500</v>
      </c>
      <c r="R37" s="46" t="str">
        <f>+T37</f>
        <v>500-1033</v>
      </c>
      <c r="S37" s="1" t="s">
        <v>87</v>
      </c>
      <c r="T37" s="1" t="s">
        <v>101</v>
      </c>
      <c r="U37" s="148">
        <v>500</v>
      </c>
      <c r="V37" s="148">
        <v>0.25</v>
      </c>
      <c r="W37" s="155">
        <f>+IF(E37&gt;(M37+L37)*V37,E37,(M37+L37)*V37)</f>
        <v>379.25</v>
      </c>
      <c r="X37" s="32">
        <v>300</v>
      </c>
      <c r="Y37" s="33"/>
      <c r="Z37" s="33"/>
      <c r="AA37" s="47">
        <f>ROUND(Q37,-2)</f>
        <v>500</v>
      </c>
      <c r="AB37" s="57">
        <f>((AC37-AA37)/2)+AA37</f>
        <v>750</v>
      </c>
      <c r="AC37" s="56">
        <f>ROUND(M37,-2)</f>
        <v>1000</v>
      </c>
      <c r="AZ37" s="305" t="str">
        <f t="shared" si="5"/>
        <v>coho-L Cowlitz</v>
      </c>
      <c r="BA37" s="149" t="s">
        <v>527</v>
      </c>
      <c r="BB37" s="306" t="s">
        <v>15</v>
      </c>
      <c r="BC37" s="149" t="s">
        <v>529</v>
      </c>
      <c r="BD37" s="306" t="s">
        <v>174</v>
      </c>
      <c r="BE37" s="306">
        <v>3700</v>
      </c>
      <c r="BF37" s="149">
        <v>2016</v>
      </c>
      <c r="BG37" s="309">
        <v>4340</v>
      </c>
      <c r="BH37" s="224">
        <v>334</v>
      </c>
      <c r="BI37" s="224"/>
      <c r="BJ37" s="25" t="s">
        <v>670</v>
      </c>
      <c r="BK37" s="25"/>
      <c r="BL37" s="363"/>
      <c r="BM37" s="363"/>
      <c r="BN37" s="363">
        <f>GEOMEAN(BN23:BN32)</f>
        <v>866.93873432052123</v>
      </c>
      <c r="BO37" s="363">
        <f>GEOMEAN(BO23:BO32)</f>
        <v>629.46432425146816</v>
      </c>
      <c r="BP37" s="363">
        <f>GEOMEAN(BP23:BP32)</f>
        <v>3023.2510866400294</v>
      </c>
      <c r="BQ37" s="363">
        <f>GEOMEAN(BQ23:BQ32)</f>
        <v>1392.8547747074088</v>
      </c>
      <c r="BR37" s="363"/>
      <c r="BS37" s="363"/>
      <c r="BT37" s="363"/>
      <c r="BU37" s="98"/>
      <c r="BV37" s="274"/>
      <c r="BW37" s="274"/>
      <c r="BX37" s="644"/>
      <c r="BY37" s="644"/>
      <c r="BZ37" s="644"/>
      <c r="CA37" s="644"/>
      <c r="CB37" s="644"/>
      <c r="CC37" s="644"/>
    </row>
    <row r="38" spans="1:96" x14ac:dyDescent="0.25">
      <c r="A38" s="651"/>
      <c r="B38" s="626"/>
      <c r="C38" s="1"/>
      <c r="D38" s="1"/>
      <c r="E38" s="63"/>
      <c r="F38" s="43"/>
      <c r="G38" s="43"/>
      <c r="H38" s="44"/>
      <c r="I38" s="43"/>
      <c r="J38" s="52"/>
      <c r="K38" s="129"/>
      <c r="L38" s="43"/>
      <c r="M38" s="100"/>
      <c r="N38" s="43"/>
      <c r="O38" s="43"/>
      <c r="P38" s="45"/>
      <c r="Q38" s="43"/>
      <c r="R38" s="46"/>
      <c r="S38" s="1"/>
      <c r="T38" s="1"/>
      <c r="W38" s="155"/>
      <c r="X38" s="32"/>
      <c r="Y38" s="33"/>
      <c r="Z38" s="33"/>
      <c r="AA38" s="47"/>
      <c r="AB38" s="57"/>
      <c r="AC38" s="56"/>
      <c r="AZ38" s="305"/>
      <c r="BA38" s="149"/>
      <c r="BB38" s="306"/>
      <c r="BC38" s="149"/>
      <c r="BD38" s="306"/>
      <c r="BE38" s="306"/>
      <c r="BF38" s="17" t="s">
        <v>532</v>
      </c>
      <c r="BG38" s="310">
        <f>GEOMEAN(BG31:BG37)</f>
        <v>4422.5526311520898</v>
      </c>
      <c r="BH38" s="410" t="s">
        <v>779</v>
      </c>
      <c r="BI38" s="412">
        <f>AVERAGE(BH31:BH37)</f>
        <v>636.71428571428567</v>
      </c>
      <c r="BV38" s="224"/>
      <c r="BW38" s="224"/>
      <c r="BX38" s="224"/>
      <c r="BY38" s="224"/>
      <c r="BZ38" s="224"/>
      <c r="CA38" s="224"/>
      <c r="CB38" s="224"/>
      <c r="CC38" s="224"/>
    </row>
    <row r="39" spans="1:96" x14ac:dyDescent="0.25">
      <c r="A39" s="651"/>
      <c r="B39" s="626"/>
      <c r="C39" s="48" t="s">
        <v>9</v>
      </c>
      <c r="D39" s="48"/>
      <c r="E39" s="64">
        <v>392</v>
      </c>
      <c r="F39" s="49"/>
      <c r="G39" s="64"/>
      <c r="H39" s="50"/>
      <c r="I39" s="49"/>
      <c r="J39" s="49"/>
      <c r="K39" s="64"/>
      <c r="L39" s="49"/>
      <c r="M39" s="70"/>
      <c r="N39" s="49"/>
      <c r="O39" s="49"/>
      <c r="P39" s="51"/>
      <c r="Q39" s="49"/>
      <c r="R39" s="48"/>
      <c r="S39" s="48"/>
      <c r="T39" s="48"/>
      <c r="W39" s="155"/>
      <c r="X39" s="32"/>
      <c r="Y39" s="33"/>
      <c r="Z39" s="33"/>
      <c r="AB39" s="57"/>
      <c r="AC39" s="56"/>
      <c r="AZ39" s="305" t="str">
        <f t="shared" si="5"/>
        <v>coho-U Cowlitz + Cispus</v>
      </c>
      <c r="BA39" s="149" t="s">
        <v>527</v>
      </c>
      <c r="BB39" s="306" t="s">
        <v>15</v>
      </c>
      <c r="BC39" s="149" t="s">
        <v>530</v>
      </c>
      <c r="BD39" s="306" t="s">
        <v>174</v>
      </c>
      <c r="BE39" s="306">
        <v>4000</v>
      </c>
      <c r="BF39" s="149">
        <v>2010</v>
      </c>
      <c r="BG39" s="130">
        <v>2906</v>
      </c>
      <c r="BH39" s="224">
        <v>18834</v>
      </c>
      <c r="BI39" s="224"/>
    </row>
    <row r="40" spans="1:96" x14ac:dyDescent="0.25">
      <c r="A40" s="651"/>
      <c r="B40" s="626" t="s">
        <v>70</v>
      </c>
      <c r="C40" s="1" t="s">
        <v>8</v>
      </c>
      <c r="D40" s="1">
        <v>200</v>
      </c>
      <c r="E40" s="63">
        <v>2934</v>
      </c>
      <c r="F40" s="43">
        <v>29357</v>
      </c>
      <c r="G40" s="43">
        <f>23332+5890</f>
        <v>29222</v>
      </c>
      <c r="H40" s="44">
        <v>40000</v>
      </c>
      <c r="I40" s="43" t="s">
        <v>271</v>
      </c>
      <c r="J40" s="2" t="s">
        <v>125</v>
      </c>
      <c r="K40" s="125">
        <v>2250</v>
      </c>
      <c r="L40" s="43">
        <v>13893</v>
      </c>
      <c r="M40" s="100">
        <v>20979</v>
      </c>
      <c r="N40" s="43" t="s">
        <v>176</v>
      </c>
      <c r="O40" s="43" t="s">
        <v>173</v>
      </c>
      <c r="P40" s="45" t="s">
        <v>180</v>
      </c>
      <c r="Q40" s="43">
        <v>500</v>
      </c>
      <c r="R40" s="46" t="str">
        <f>+T40</f>
        <v>500-20979</v>
      </c>
      <c r="S40" s="1" t="s">
        <v>87</v>
      </c>
      <c r="T40" s="1" t="s">
        <v>102</v>
      </c>
      <c r="U40" s="148">
        <v>500</v>
      </c>
      <c r="V40" s="148">
        <v>0.25</v>
      </c>
      <c r="W40" s="155">
        <f>+IF(E40&gt;(M40+L40)*V40,E40,(M40+L40)*V40)</f>
        <v>8718</v>
      </c>
      <c r="X40" s="32">
        <v>600</v>
      </c>
      <c r="Y40" s="33"/>
      <c r="Z40" s="33"/>
      <c r="AA40" s="47">
        <f>ROUND(Q40,-2)</f>
        <v>500</v>
      </c>
      <c r="AB40" s="57">
        <f>((AC40-AA40)/2)+AA40</f>
        <v>10750</v>
      </c>
      <c r="AC40" s="56">
        <f>ROUND(M40,-2)</f>
        <v>21000</v>
      </c>
      <c r="AZ40" s="305" t="str">
        <f t="shared" si="5"/>
        <v>coho-U Cowlitz + Cispus</v>
      </c>
      <c r="BA40" s="149" t="s">
        <v>527</v>
      </c>
      <c r="BB40" s="306" t="s">
        <v>15</v>
      </c>
      <c r="BC40" s="149" t="s">
        <v>530</v>
      </c>
      <c r="BD40" s="306" t="s">
        <v>174</v>
      </c>
      <c r="BE40" s="306">
        <v>4000</v>
      </c>
      <c r="BF40" s="149">
        <v>2011</v>
      </c>
      <c r="BG40" s="130">
        <v>7877</v>
      </c>
      <c r="BH40" s="224">
        <v>12421</v>
      </c>
      <c r="BI40" s="224"/>
      <c r="BJ40" t="s">
        <v>665</v>
      </c>
    </row>
    <row r="41" spans="1:96" x14ac:dyDescent="0.25">
      <c r="A41" s="651"/>
      <c r="B41" s="626"/>
      <c r="C41" s="48" t="s">
        <v>9</v>
      </c>
      <c r="D41" s="48"/>
      <c r="E41" s="64">
        <v>4139</v>
      </c>
      <c r="F41" s="49"/>
      <c r="G41" s="64"/>
      <c r="H41" s="50"/>
      <c r="I41" s="49"/>
      <c r="J41" s="49"/>
      <c r="K41" s="128"/>
      <c r="L41" s="64"/>
      <c r="M41" s="70">
        <f>4771+16208</f>
        <v>20979</v>
      </c>
      <c r="N41" s="49"/>
      <c r="O41" s="49"/>
      <c r="P41" s="51"/>
      <c r="Q41" s="49"/>
      <c r="R41" s="48"/>
      <c r="S41" s="48"/>
      <c r="T41" s="48"/>
      <c r="W41" s="155"/>
      <c r="X41" s="32"/>
      <c r="Y41" s="33"/>
      <c r="Z41" s="33"/>
      <c r="AB41" s="57"/>
      <c r="AC41" s="56"/>
      <c r="AZ41" s="305" t="str">
        <f t="shared" si="5"/>
        <v>coho-U Cowlitz + Cispus</v>
      </c>
      <c r="BA41" s="149" t="s">
        <v>527</v>
      </c>
      <c r="BB41" s="306" t="s">
        <v>15</v>
      </c>
      <c r="BC41" s="149" t="s">
        <v>530</v>
      </c>
      <c r="BD41" s="306" t="s">
        <v>174</v>
      </c>
      <c r="BE41" s="306">
        <v>4000</v>
      </c>
      <c r="BF41" s="149">
        <v>2012</v>
      </c>
      <c r="BG41" s="130">
        <v>1689</v>
      </c>
      <c r="BH41" s="224">
        <v>5132</v>
      </c>
      <c r="BI41" s="224"/>
      <c r="BL41" s="644" t="s">
        <v>150</v>
      </c>
      <c r="BM41" s="644"/>
      <c r="BN41" s="644"/>
      <c r="BO41" s="644" t="s">
        <v>540</v>
      </c>
      <c r="BP41" s="644"/>
      <c r="BQ41" s="644" t="s">
        <v>541</v>
      </c>
      <c r="BR41" s="644"/>
      <c r="BS41" s="644"/>
      <c r="BT41" s="274"/>
      <c r="BU41" t="s">
        <v>666</v>
      </c>
      <c r="CH41" s="25"/>
      <c r="CI41" s="25"/>
      <c r="CJ41" s="25"/>
      <c r="CK41" s="25"/>
      <c r="CL41" s="25"/>
      <c r="CM41" s="25"/>
      <c r="CN41" s="25"/>
      <c r="CO41" s="25"/>
      <c r="CP41" s="25"/>
      <c r="CQ41" s="25"/>
      <c r="CR41" s="25"/>
    </row>
    <row r="42" spans="1:96" x14ac:dyDescent="0.25">
      <c r="A42" s="651"/>
      <c r="B42" s="626" t="s">
        <v>71</v>
      </c>
      <c r="C42" s="1" t="s">
        <v>8</v>
      </c>
      <c r="D42" s="1">
        <v>50</v>
      </c>
      <c r="E42" s="63">
        <v>1595</v>
      </c>
      <c r="F42" s="43">
        <v>4280</v>
      </c>
      <c r="G42" s="43">
        <v>5053</v>
      </c>
      <c r="H42" s="44">
        <v>3000</v>
      </c>
      <c r="I42" s="43" t="s">
        <v>270</v>
      </c>
      <c r="J42" s="52" t="s">
        <v>124</v>
      </c>
      <c r="K42" s="129">
        <v>1000</v>
      </c>
      <c r="L42" s="43">
        <v>1066</v>
      </c>
      <c r="M42" s="100">
        <v>3306</v>
      </c>
      <c r="N42" s="43" t="s">
        <v>174</v>
      </c>
      <c r="O42" s="43" t="s">
        <v>173</v>
      </c>
      <c r="P42" s="45" t="s">
        <v>175</v>
      </c>
      <c r="Q42" s="43">
        <v>2000</v>
      </c>
      <c r="R42" s="46" t="str">
        <f>+T42</f>
        <v>2000-3306</v>
      </c>
      <c r="S42" s="1" t="s">
        <v>87</v>
      </c>
      <c r="T42" s="1" t="s">
        <v>103</v>
      </c>
      <c r="U42" s="148">
        <v>2000</v>
      </c>
      <c r="V42" s="148">
        <v>0.25</v>
      </c>
      <c r="W42" s="155">
        <f>+IF(E42&gt;(M42+L42)*V42,E42,(M42+L42)*V42)</f>
        <v>1595</v>
      </c>
      <c r="X42" s="32">
        <v>600</v>
      </c>
      <c r="Y42" s="33"/>
      <c r="Z42" s="33"/>
      <c r="AA42" s="47">
        <f>ROUND(Q42,-2)</f>
        <v>2000</v>
      </c>
      <c r="AB42" s="57">
        <f>((AC42-AA42)/2)+AA42</f>
        <v>2650</v>
      </c>
      <c r="AC42" s="56">
        <f>ROUND(M42,-2)</f>
        <v>3300</v>
      </c>
      <c r="AE42" s="124">
        <f>AA42/$K42</f>
        <v>2</v>
      </c>
      <c r="AF42" s="124">
        <f t="shared" ref="AF42" si="20">AB42/$K42</f>
        <v>2.65</v>
      </c>
      <c r="AG42" s="124">
        <f t="shared" ref="AG42" si="21">AC42/$K42</f>
        <v>3.3</v>
      </c>
      <c r="AZ42" s="305" t="str">
        <f t="shared" si="5"/>
        <v>coho-U Cowlitz + Cispus</v>
      </c>
      <c r="BA42" s="149" t="s">
        <v>527</v>
      </c>
      <c r="BB42" s="306" t="s">
        <v>15</v>
      </c>
      <c r="BC42" s="149" t="s">
        <v>530</v>
      </c>
      <c r="BD42" s="306" t="s">
        <v>174</v>
      </c>
      <c r="BE42" s="306">
        <v>4000</v>
      </c>
      <c r="BF42" s="149">
        <v>2013</v>
      </c>
      <c r="BG42" s="130">
        <v>4</v>
      </c>
      <c r="BH42" s="224">
        <v>5825</v>
      </c>
      <c r="BI42" s="224"/>
      <c r="BL42" s="337" t="s">
        <v>542</v>
      </c>
      <c r="BM42" s="337" t="s">
        <v>543</v>
      </c>
      <c r="BN42" s="337" t="s">
        <v>10</v>
      </c>
      <c r="BO42" s="337" t="s">
        <v>542</v>
      </c>
      <c r="BP42" s="337" t="s">
        <v>543</v>
      </c>
      <c r="BQ42" s="337" t="s">
        <v>10</v>
      </c>
      <c r="BR42" s="337" t="s">
        <v>542</v>
      </c>
      <c r="BS42" s="337" t="s">
        <v>543</v>
      </c>
      <c r="BT42" s="337" t="s">
        <v>10</v>
      </c>
      <c r="BU42" s="337" t="s">
        <v>10</v>
      </c>
    </row>
    <row r="43" spans="1:96" x14ac:dyDescent="0.25">
      <c r="A43" s="651"/>
      <c r="B43" s="626"/>
      <c r="C43" s="48" t="s">
        <v>9</v>
      </c>
      <c r="D43" s="48"/>
      <c r="E43" s="64">
        <v>1899</v>
      </c>
      <c r="F43" s="49"/>
      <c r="G43" s="64"/>
      <c r="H43" s="50"/>
      <c r="I43" s="49"/>
      <c r="J43" s="49"/>
      <c r="K43" s="128"/>
      <c r="L43" s="64"/>
      <c r="M43" s="101"/>
      <c r="N43" s="49"/>
      <c r="O43" s="49"/>
      <c r="P43" s="51"/>
      <c r="Q43" s="49"/>
      <c r="R43" s="48"/>
      <c r="S43" s="48"/>
      <c r="T43" s="48"/>
      <c r="W43" s="155"/>
      <c r="X43" s="32"/>
      <c r="Y43" s="33"/>
      <c r="Z43" s="33"/>
      <c r="AB43" s="57"/>
      <c r="AC43" s="56"/>
      <c r="AZ43" s="305" t="str">
        <f t="shared" si="5"/>
        <v>coho-U Cowlitz + Cispus</v>
      </c>
      <c r="BA43" s="149" t="s">
        <v>527</v>
      </c>
      <c r="BB43" s="306" t="s">
        <v>15</v>
      </c>
      <c r="BC43" s="149" t="s">
        <v>530</v>
      </c>
      <c r="BD43" s="306" t="s">
        <v>174</v>
      </c>
      <c r="BE43" s="306">
        <v>4000</v>
      </c>
      <c r="BF43" s="149">
        <v>2014</v>
      </c>
      <c r="BG43" s="130">
        <v>6923</v>
      </c>
      <c r="BH43" s="224">
        <v>22587</v>
      </c>
      <c r="BJ43" t="s">
        <v>544</v>
      </c>
      <c r="BL43" s="47">
        <f>BR36</f>
        <v>209.45165392422138</v>
      </c>
      <c r="BM43" s="47">
        <v>50</v>
      </c>
      <c r="BN43" s="47">
        <f>SUM(BL43:BM43)</f>
        <v>259.45165392422138</v>
      </c>
      <c r="BO43" s="47">
        <v>962</v>
      </c>
      <c r="BP43" s="47">
        <v>1900</v>
      </c>
      <c r="BQ43" s="47">
        <f>SUM(BO43:BP43)</f>
        <v>2862</v>
      </c>
      <c r="BR43" s="47">
        <v>3102</v>
      </c>
      <c r="BS43" s="47">
        <f>BP43*3</f>
        <v>5700</v>
      </c>
      <c r="BT43" s="47">
        <f>SUM(BR43:BS43)</f>
        <v>8802</v>
      </c>
      <c r="BU43" s="47">
        <f>(BQ43+BT43)/2</f>
        <v>5832</v>
      </c>
    </row>
    <row r="44" spans="1:96" x14ac:dyDescent="0.25">
      <c r="A44" s="651"/>
      <c r="B44" s="626" t="s">
        <v>17</v>
      </c>
      <c r="C44" s="1" t="s">
        <v>8</v>
      </c>
      <c r="D44" s="1">
        <v>50</v>
      </c>
      <c r="E44" s="63">
        <v>2054</v>
      </c>
      <c r="F44" s="43">
        <v>5266</v>
      </c>
      <c r="G44" s="43">
        <v>5266</v>
      </c>
      <c r="H44" s="44">
        <v>5300</v>
      </c>
      <c r="I44" s="43" t="s">
        <v>177</v>
      </c>
      <c r="J44" s="52" t="s">
        <v>126</v>
      </c>
      <c r="K44" s="129">
        <v>500</v>
      </c>
      <c r="L44" s="43">
        <v>722</v>
      </c>
      <c r="M44" s="100">
        <v>4621</v>
      </c>
      <c r="N44" s="43" t="s">
        <v>172</v>
      </c>
      <c r="O44" s="43" t="s">
        <v>173</v>
      </c>
      <c r="P44" s="45" t="s">
        <v>173</v>
      </c>
      <c r="Q44" s="43">
        <v>0</v>
      </c>
      <c r="R44" s="46" t="str">
        <f>+T44</f>
        <v>0-4621</v>
      </c>
      <c r="S44" s="1" t="s">
        <v>87</v>
      </c>
      <c r="T44" s="1" t="s">
        <v>116</v>
      </c>
      <c r="V44" s="148">
        <v>0.25</v>
      </c>
      <c r="W44" s="155">
        <f>+IF(E44&gt;(M44+L44)*V44,E44,(M44+L44)*V44)</f>
        <v>2054</v>
      </c>
      <c r="X44" s="32">
        <v>75</v>
      </c>
      <c r="Y44" s="33"/>
      <c r="Z44" s="33"/>
      <c r="AA44" s="47">
        <f>BG110</f>
        <v>1244.4003768613484</v>
      </c>
      <c r="AB44" s="57">
        <f>((AC44-AA44)/2)+AA44</f>
        <v>2922.2001884306742</v>
      </c>
      <c r="AC44" s="56">
        <f>ROUND(M44,-2)</f>
        <v>4600</v>
      </c>
      <c r="AZ44" s="305" t="str">
        <f t="shared" si="5"/>
        <v>coho-U Cowlitz + Cispus</v>
      </c>
      <c r="BA44" s="149" t="s">
        <v>527</v>
      </c>
      <c r="BB44" s="306" t="s">
        <v>15</v>
      </c>
      <c r="BC44" s="149" t="s">
        <v>530</v>
      </c>
      <c r="BD44" s="306" t="s">
        <v>174</v>
      </c>
      <c r="BE44" s="306">
        <v>4000</v>
      </c>
      <c r="BF44" s="149">
        <v>2015</v>
      </c>
      <c r="BG44" s="130">
        <v>381</v>
      </c>
      <c r="BH44" s="224">
        <v>954</v>
      </c>
      <c r="BJ44" t="s">
        <v>545</v>
      </c>
      <c r="BL44" s="47">
        <f>BT36</f>
        <v>90.240977709274119</v>
      </c>
      <c r="BM44" s="47">
        <v>50</v>
      </c>
      <c r="BN44" s="47">
        <f>SUM(BL44:BM44)</f>
        <v>140.24097770927412</v>
      </c>
      <c r="BO44" s="47">
        <v>5203</v>
      </c>
      <c r="BP44" s="47">
        <v>1900</v>
      </c>
      <c r="BQ44" s="47">
        <f>SUM(BO44:BP44)</f>
        <v>7103</v>
      </c>
      <c r="BR44" s="47">
        <v>5486</v>
      </c>
      <c r="BS44" s="47">
        <f>BP44*3</f>
        <v>5700</v>
      </c>
      <c r="BT44" s="47">
        <f>SUM(BR44:BS44)</f>
        <v>11186</v>
      </c>
      <c r="BU44" s="47">
        <f>(BQ44+BT44)/2</f>
        <v>9144.5</v>
      </c>
    </row>
    <row r="45" spans="1:96" x14ac:dyDescent="0.25">
      <c r="A45" s="651"/>
      <c r="B45" s="626"/>
      <c r="C45" s="48" t="s">
        <v>9</v>
      </c>
      <c r="D45" s="48"/>
      <c r="E45" s="64">
        <v>2258</v>
      </c>
      <c r="F45" s="49"/>
      <c r="G45" s="64"/>
      <c r="H45" s="50"/>
      <c r="I45" s="49"/>
      <c r="J45" s="49"/>
      <c r="K45" s="128"/>
      <c r="L45" s="64"/>
      <c r="M45" s="101"/>
      <c r="N45" s="49"/>
      <c r="O45" s="49"/>
      <c r="P45" s="51"/>
      <c r="Q45" s="49"/>
      <c r="R45" s="48"/>
      <c r="S45" s="48"/>
      <c r="T45" s="48"/>
      <c r="W45" s="155"/>
      <c r="X45" s="32"/>
      <c r="Y45" s="33"/>
      <c r="Z45" s="33"/>
      <c r="AB45" s="58"/>
      <c r="AC45" s="59"/>
      <c r="AZ45" s="305" t="str">
        <f t="shared" si="5"/>
        <v>coho-U Cowlitz + Cispus</v>
      </c>
      <c r="BA45" s="149" t="s">
        <v>527</v>
      </c>
      <c r="BB45" s="306" t="s">
        <v>15</v>
      </c>
      <c r="BC45" s="149" t="s">
        <v>530</v>
      </c>
      <c r="BD45" s="306" t="s">
        <v>174</v>
      </c>
      <c r="BE45" s="306">
        <v>4000</v>
      </c>
      <c r="BF45" s="149">
        <v>2016</v>
      </c>
      <c r="BG45" s="130">
        <v>906</v>
      </c>
      <c r="BH45" s="224">
        <v>9535</v>
      </c>
    </row>
    <row r="46" spans="1:96" x14ac:dyDescent="0.25">
      <c r="A46" s="651"/>
      <c r="B46" s="276"/>
      <c r="C46" s="1"/>
      <c r="D46" s="1"/>
      <c r="E46" s="63"/>
      <c r="F46" s="43"/>
      <c r="G46" s="63"/>
      <c r="H46" s="44"/>
      <c r="I46" s="43"/>
      <c r="J46" s="43"/>
      <c r="K46" s="103"/>
      <c r="L46" s="63"/>
      <c r="M46" s="100"/>
      <c r="N46" s="43"/>
      <c r="O46" s="43"/>
      <c r="P46" s="45"/>
      <c r="Q46" s="43"/>
      <c r="R46" s="1"/>
      <c r="S46" s="1"/>
      <c r="T46" s="1"/>
      <c r="W46" s="155"/>
      <c r="X46" s="32"/>
      <c r="Y46" s="33"/>
      <c r="Z46" s="33"/>
      <c r="AB46" s="58"/>
      <c r="AC46" s="59"/>
      <c r="AZ46" s="305"/>
      <c r="BA46" s="149"/>
      <c r="BB46" s="306"/>
      <c r="BC46" s="149"/>
      <c r="BD46" s="306"/>
      <c r="BE46" s="306"/>
      <c r="BF46" s="17" t="s">
        <v>532</v>
      </c>
      <c r="BG46" s="311">
        <f>GEOMEAN(BG39:BG45)</f>
        <v>867.44498995817685</v>
      </c>
      <c r="BH46" s="410" t="s">
        <v>779</v>
      </c>
      <c r="BI46" s="411">
        <f>AVERAGE(BH39:BH45)</f>
        <v>10755.428571428571</v>
      </c>
    </row>
    <row r="47" spans="1:96" ht="18.600000000000001" customHeight="1" x14ac:dyDescent="0.25">
      <c r="A47" s="651"/>
      <c r="B47" s="626" t="s">
        <v>53</v>
      </c>
      <c r="C47" s="1" t="s">
        <v>8</v>
      </c>
      <c r="D47" s="1">
        <v>50</v>
      </c>
      <c r="E47" s="63">
        <v>469</v>
      </c>
      <c r="F47" s="43">
        <v>3934</v>
      </c>
      <c r="G47" s="43">
        <v>2862</v>
      </c>
      <c r="H47" s="44">
        <v>3000</v>
      </c>
      <c r="I47" s="43" t="s">
        <v>270</v>
      </c>
      <c r="J47" s="2" t="s">
        <v>124</v>
      </c>
      <c r="K47" s="125">
        <v>1000</v>
      </c>
      <c r="L47" s="43">
        <v>824</v>
      </c>
      <c r="M47" s="100">
        <v>3362</v>
      </c>
      <c r="N47" s="43" t="s">
        <v>176</v>
      </c>
      <c r="O47" s="43" t="s">
        <v>173</v>
      </c>
      <c r="P47" s="45" t="s">
        <v>181</v>
      </c>
      <c r="Q47" s="43">
        <v>1500</v>
      </c>
      <c r="R47" s="46" t="str">
        <f>+T47</f>
        <v>1500-3362</v>
      </c>
      <c r="S47" s="1" t="s">
        <v>87</v>
      </c>
      <c r="T47" s="1" t="s">
        <v>104</v>
      </c>
      <c r="U47" s="148">
        <v>1500</v>
      </c>
      <c r="V47" s="148">
        <v>0.25</v>
      </c>
      <c r="W47" s="155">
        <f>+IF(E47&gt;(M47+L47)*V47+E47,E47,(M47+L47)*V47+E47)</f>
        <v>1515.5</v>
      </c>
      <c r="X47" s="32">
        <v>300</v>
      </c>
      <c r="Y47" s="33"/>
      <c r="Z47" s="33"/>
      <c r="AA47" s="47">
        <f>ROUND(Q47,-2)</f>
        <v>1500</v>
      </c>
      <c r="AB47" s="57">
        <f>((AC47-AA47)/2)+AA47</f>
        <v>2450</v>
      </c>
      <c r="AC47" s="56">
        <f>ROUND(M47,-2)</f>
        <v>3400</v>
      </c>
      <c r="AZ47" s="305" t="str">
        <f t="shared" si="5"/>
        <v>coho-Tilton</v>
      </c>
      <c r="BA47" s="149" t="s">
        <v>527</v>
      </c>
      <c r="BB47" s="306" t="s">
        <v>15</v>
      </c>
      <c r="BC47" s="149" t="s">
        <v>69</v>
      </c>
      <c r="BD47" s="306" t="s">
        <v>172</v>
      </c>
      <c r="BE47" s="306" t="s">
        <v>179</v>
      </c>
      <c r="BF47" s="149">
        <v>2010</v>
      </c>
      <c r="BG47" s="309">
        <v>978</v>
      </c>
      <c r="BH47" s="224">
        <v>2532</v>
      </c>
      <c r="BJ47" s="224" t="s">
        <v>655</v>
      </c>
      <c r="BK47" s="224" t="s">
        <v>658</v>
      </c>
    </row>
    <row r="48" spans="1:96" x14ac:dyDescent="0.25">
      <c r="A48" s="651"/>
      <c r="B48" s="626"/>
      <c r="C48" s="48" t="s">
        <v>9</v>
      </c>
      <c r="D48" s="48"/>
      <c r="E48" s="64">
        <v>819</v>
      </c>
      <c r="F48" s="49"/>
      <c r="G48" s="64"/>
      <c r="H48" s="50"/>
      <c r="I48" s="49"/>
      <c r="J48" s="49"/>
      <c r="K48" s="128"/>
      <c r="L48" s="64"/>
      <c r="M48" s="70"/>
      <c r="N48" s="49"/>
      <c r="O48" s="49"/>
      <c r="P48" s="51"/>
      <c r="Q48" s="49"/>
      <c r="R48" s="48"/>
      <c r="S48" s="48"/>
      <c r="T48" s="48"/>
      <c r="W48" s="155"/>
      <c r="X48" s="32"/>
      <c r="Y48" s="33"/>
      <c r="Z48" s="33"/>
      <c r="AA48" s="58"/>
      <c r="AC48" s="58"/>
      <c r="AZ48" s="305" t="str">
        <f t="shared" si="5"/>
        <v>coho-Tilton</v>
      </c>
      <c r="BA48" s="149" t="s">
        <v>527</v>
      </c>
      <c r="BB48" s="306" t="s">
        <v>15</v>
      </c>
      <c r="BC48" s="149" t="s">
        <v>69</v>
      </c>
      <c r="BD48" s="306" t="s">
        <v>172</v>
      </c>
      <c r="BE48" s="306" t="s">
        <v>179</v>
      </c>
      <c r="BF48" s="149">
        <v>2011</v>
      </c>
      <c r="BG48" s="309">
        <v>2088</v>
      </c>
      <c r="BH48" s="224">
        <v>4791</v>
      </c>
      <c r="BJ48" s="224" t="s">
        <v>656</v>
      </c>
      <c r="BK48" s="224" t="s">
        <v>42</v>
      </c>
    </row>
    <row r="49" spans="1:96" x14ac:dyDescent="0.25">
      <c r="A49" s="651"/>
      <c r="B49" s="626" t="s">
        <v>72</v>
      </c>
      <c r="C49" s="1" t="s">
        <v>8</v>
      </c>
      <c r="D49" s="1">
        <v>1622</v>
      </c>
      <c r="E49" s="63">
        <v>1230</v>
      </c>
      <c r="F49" s="43"/>
      <c r="G49" s="63"/>
      <c r="H49" s="44">
        <v>19647</v>
      </c>
      <c r="I49" s="43" t="s">
        <v>271</v>
      </c>
      <c r="J49" s="52">
        <v>3300</v>
      </c>
      <c r="K49" s="129">
        <v>2250</v>
      </c>
      <c r="L49" s="63" t="s">
        <v>113</v>
      </c>
      <c r="M49" s="69"/>
      <c r="N49" s="43" t="s">
        <v>174</v>
      </c>
      <c r="O49" s="43" t="s">
        <v>173</v>
      </c>
      <c r="P49" s="45" t="s">
        <v>175</v>
      </c>
      <c r="Q49" s="43">
        <v>5685</v>
      </c>
      <c r="R49" s="46">
        <v>5134</v>
      </c>
      <c r="S49" s="1" t="s">
        <v>87</v>
      </c>
      <c r="T49" s="1"/>
      <c r="U49" s="148">
        <v>5685</v>
      </c>
      <c r="V49" s="148">
        <v>0.25</v>
      </c>
      <c r="W49" s="155" t="e">
        <f>+IF(E49&gt;(M49+L49)*V49,E49,(M49+L49)*V49)</f>
        <v>#VALUE!</v>
      </c>
      <c r="X49" s="32"/>
      <c r="Y49" s="33"/>
      <c r="Z49" s="33"/>
      <c r="AA49" s="47">
        <f>ROUND(Q49,-2)</f>
        <v>5700</v>
      </c>
      <c r="AB49" s="57">
        <f>((AC49-AA49)/2)+AA49</f>
        <v>8550</v>
      </c>
      <c r="AC49" s="56">
        <f>2*AA49</f>
        <v>11400</v>
      </c>
      <c r="AZ49" s="305" t="str">
        <f t="shared" si="5"/>
        <v>coho-Tilton</v>
      </c>
      <c r="BA49" s="149" t="s">
        <v>527</v>
      </c>
      <c r="BB49" s="306" t="s">
        <v>15</v>
      </c>
      <c r="BC49" s="149" t="s">
        <v>69</v>
      </c>
      <c r="BD49" s="306" t="s">
        <v>172</v>
      </c>
      <c r="BE49" s="306" t="s">
        <v>179</v>
      </c>
      <c r="BF49" s="149">
        <v>2012</v>
      </c>
      <c r="BG49" s="309">
        <v>1444</v>
      </c>
      <c r="BH49" s="224">
        <v>5196</v>
      </c>
      <c r="BJ49" s="224" t="s">
        <v>657</v>
      </c>
      <c r="BK49" s="47">
        <f t="shared" ref="BK49:BK55" si="22">BG87+BJ50</f>
        <v>1537</v>
      </c>
    </row>
    <row r="50" spans="1:96" x14ac:dyDescent="0.25">
      <c r="A50" s="651"/>
      <c r="B50" s="626"/>
      <c r="C50" s="48" t="s">
        <v>9</v>
      </c>
      <c r="D50" s="48"/>
      <c r="E50" s="64">
        <v>1322</v>
      </c>
      <c r="F50" s="49"/>
      <c r="G50" s="64"/>
      <c r="H50" s="50"/>
      <c r="I50" s="49"/>
      <c r="J50" s="49"/>
      <c r="K50" s="128"/>
      <c r="L50" s="64"/>
      <c r="M50" s="70"/>
      <c r="N50" s="49"/>
      <c r="O50" s="49"/>
      <c r="P50" s="51"/>
      <c r="Q50" s="64"/>
      <c r="R50" s="48"/>
      <c r="S50" s="48"/>
      <c r="T50" s="48"/>
      <c r="W50" s="155"/>
      <c r="X50" s="32"/>
      <c r="Y50" s="33"/>
      <c r="Z50" s="33"/>
      <c r="AZ50" s="305" t="str">
        <f t="shared" si="5"/>
        <v>coho-Tilton</v>
      </c>
      <c r="BA50" s="149" t="s">
        <v>527</v>
      </c>
      <c r="BB50" s="306" t="s">
        <v>15</v>
      </c>
      <c r="BC50" s="149" t="s">
        <v>69</v>
      </c>
      <c r="BD50" s="306" t="s">
        <v>172</v>
      </c>
      <c r="BE50" s="306" t="s">
        <v>179</v>
      </c>
      <c r="BF50" s="149">
        <v>2013</v>
      </c>
      <c r="BG50" s="309">
        <v>2744</v>
      </c>
      <c r="BH50" s="224">
        <v>3716</v>
      </c>
      <c r="BJ50">
        <v>0</v>
      </c>
      <c r="BK50" s="47">
        <f t="shared" si="22"/>
        <v>1026</v>
      </c>
    </row>
    <row r="51" spans="1:96" ht="13.9" customHeight="1" x14ac:dyDescent="0.25">
      <c r="A51" s="651"/>
      <c r="B51" s="626" t="s">
        <v>73</v>
      </c>
      <c r="C51" s="1" t="s">
        <v>8</v>
      </c>
      <c r="D51" s="1">
        <v>6548</v>
      </c>
      <c r="E51" s="63">
        <v>2806</v>
      </c>
      <c r="F51" s="43"/>
      <c r="G51" s="63"/>
      <c r="H51" s="44">
        <v>52565</v>
      </c>
      <c r="I51" s="43" t="s">
        <v>271</v>
      </c>
      <c r="J51" s="2">
        <v>3600</v>
      </c>
      <c r="K51" s="125">
        <v>2250</v>
      </c>
      <c r="L51" s="63" t="s">
        <v>114</v>
      </c>
      <c r="M51" s="69">
        <v>15047</v>
      </c>
      <c r="N51" s="43" t="s">
        <v>174</v>
      </c>
      <c r="O51" s="43" t="s">
        <v>177</v>
      </c>
      <c r="P51" s="45" t="s">
        <v>178</v>
      </c>
      <c r="Q51" s="43">
        <v>11232</v>
      </c>
      <c r="R51" s="46">
        <v>10138</v>
      </c>
      <c r="S51" s="1" t="s">
        <v>87</v>
      </c>
      <c r="T51" s="1"/>
      <c r="U51" s="148">
        <v>11232</v>
      </c>
      <c r="V51" s="148">
        <v>0.25</v>
      </c>
      <c r="W51" s="155" t="e">
        <f>+IF(E51&gt;(M51+L51)*V51+E51,E51,(M51+L51)*V51+E51)</f>
        <v>#VALUE!</v>
      </c>
      <c r="X51" s="32"/>
      <c r="Y51" s="33"/>
      <c r="Z51" s="33"/>
      <c r="AA51" s="47">
        <f>ROUND(Q51,-2)</f>
        <v>11200</v>
      </c>
      <c r="AB51" s="57">
        <f>((AC51-AA51)/2)+AA51</f>
        <v>16800</v>
      </c>
      <c r="AC51" s="56">
        <f>2*AA51</f>
        <v>22400</v>
      </c>
      <c r="AZ51" s="305" t="str">
        <f t="shared" si="5"/>
        <v>coho-Tilton</v>
      </c>
      <c r="BA51" s="149" t="s">
        <v>527</v>
      </c>
      <c r="BB51" s="306" t="s">
        <v>15</v>
      </c>
      <c r="BC51" s="149" t="s">
        <v>69</v>
      </c>
      <c r="BD51" s="306" t="s">
        <v>172</v>
      </c>
      <c r="BE51" s="306" t="s">
        <v>179</v>
      </c>
      <c r="BF51" s="149">
        <v>2014</v>
      </c>
      <c r="BG51" s="309">
        <v>9074</v>
      </c>
      <c r="BH51" s="224">
        <v>5781</v>
      </c>
      <c r="BJ51">
        <v>0</v>
      </c>
      <c r="BK51" s="47">
        <f t="shared" si="22"/>
        <v>545</v>
      </c>
    </row>
    <row r="52" spans="1:96" x14ac:dyDescent="0.25">
      <c r="A52" s="651"/>
      <c r="B52" s="626"/>
      <c r="C52" s="48" t="s">
        <v>9</v>
      </c>
      <c r="D52" s="48"/>
      <c r="E52" s="64">
        <v>327</v>
      </c>
      <c r="F52" s="49"/>
      <c r="G52" s="64"/>
      <c r="H52" s="50"/>
      <c r="I52" s="49"/>
      <c r="J52" s="49"/>
      <c r="K52" s="64"/>
      <c r="L52" s="64"/>
      <c r="M52" s="70"/>
      <c r="N52" s="49"/>
      <c r="O52" s="49"/>
      <c r="P52" s="51"/>
      <c r="Q52" s="64"/>
      <c r="R52" s="48"/>
      <c r="S52" s="48"/>
      <c r="T52" s="48"/>
      <c r="W52" s="155"/>
      <c r="X52" s="32"/>
      <c r="Y52" s="33"/>
      <c r="Z52" s="33"/>
      <c r="AZ52" s="305" t="str">
        <f t="shared" si="5"/>
        <v>coho-Tilton</v>
      </c>
      <c r="BA52" s="149" t="s">
        <v>527</v>
      </c>
      <c r="BB52" s="306" t="s">
        <v>15</v>
      </c>
      <c r="BC52" s="149" t="s">
        <v>69</v>
      </c>
      <c r="BD52" s="306" t="s">
        <v>172</v>
      </c>
      <c r="BE52" s="306" t="s">
        <v>179</v>
      </c>
      <c r="BF52" s="149">
        <v>2015</v>
      </c>
      <c r="BG52" s="309">
        <v>1392</v>
      </c>
      <c r="BH52" s="224">
        <v>1122</v>
      </c>
      <c r="BJ52">
        <v>0</v>
      </c>
      <c r="BK52" s="47">
        <f t="shared" si="22"/>
        <v>689</v>
      </c>
    </row>
    <row r="53" spans="1:96" x14ac:dyDescent="0.25">
      <c r="A53" s="651"/>
      <c r="B53" s="649" t="s">
        <v>49</v>
      </c>
      <c r="C53" s="122" t="s">
        <v>8</v>
      </c>
      <c r="D53" s="122"/>
      <c r="E53" s="65">
        <f>+E21+E24+E26+E28+E31+E35+E37+E40+E42+E44+E47+E49+E51</f>
        <v>26314</v>
      </c>
      <c r="F53" s="53"/>
      <c r="G53" s="65"/>
      <c r="H53" s="71">
        <f>+H21+H24+H26+H31+H35+H37+H40+H42+H44+H47+H49+H51</f>
        <v>197912</v>
      </c>
      <c r="I53" s="65"/>
      <c r="J53" s="53"/>
      <c r="K53" s="65"/>
      <c r="L53" s="65" t="s">
        <v>118</v>
      </c>
      <c r="M53" s="71">
        <f t="shared" ref="M53" si="23">+M21+M24+M26+M31+M35+M37+M40+M42+M44+M47+M49+M51</f>
        <v>105290</v>
      </c>
      <c r="N53" s="65"/>
      <c r="O53" s="65"/>
      <c r="P53" s="71"/>
      <c r="Q53" s="53">
        <f>+Q21+Q24+Q26+Q31+Q35+Q37+Q40+Q42+Q44+Q47+Q49+Q51</f>
        <v>30217</v>
      </c>
      <c r="R53" s="54"/>
      <c r="S53" s="122" t="s">
        <v>87</v>
      </c>
      <c r="T53" s="122"/>
      <c r="U53" s="156"/>
      <c r="V53" s="156"/>
      <c r="W53" s="157" t="e">
        <f>+W21+W24+W26+W49+W51</f>
        <v>#VALUE!</v>
      </c>
      <c r="X53" s="160"/>
      <c r="Y53" s="132"/>
      <c r="Z53" s="132"/>
      <c r="AA53" s="131"/>
      <c r="AB53" s="131"/>
      <c r="AC53" s="131"/>
      <c r="AD53" s="131"/>
      <c r="AE53" s="131"/>
      <c r="AF53" s="131"/>
      <c r="AG53" s="131"/>
      <c r="AZ53" s="305" t="str">
        <f t="shared" si="5"/>
        <v>coho-Tilton</v>
      </c>
      <c r="BA53" s="149" t="s">
        <v>527</v>
      </c>
      <c r="BB53" s="306" t="s">
        <v>15</v>
      </c>
      <c r="BC53" s="149" t="s">
        <v>69</v>
      </c>
      <c r="BD53" s="306" t="s">
        <v>172</v>
      </c>
      <c r="BE53" s="306" t="s">
        <v>179</v>
      </c>
      <c r="BF53" s="149">
        <v>2016</v>
      </c>
      <c r="BG53" s="309">
        <v>2666</v>
      </c>
      <c r="BH53" s="224">
        <v>5171</v>
      </c>
      <c r="BJ53">
        <v>27</v>
      </c>
      <c r="BK53" s="47">
        <f t="shared" si="22"/>
        <v>1730</v>
      </c>
    </row>
    <row r="54" spans="1:96" x14ac:dyDescent="0.25">
      <c r="A54" s="651"/>
      <c r="B54" s="649"/>
      <c r="C54" s="122"/>
      <c r="D54" s="122"/>
      <c r="E54" s="65"/>
      <c r="F54" s="53"/>
      <c r="G54" s="65"/>
      <c r="H54" s="71"/>
      <c r="I54" s="65"/>
      <c r="J54" s="53"/>
      <c r="K54" s="65"/>
      <c r="L54" s="65"/>
      <c r="M54" s="71"/>
      <c r="N54" s="65"/>
      <c r="O54" s="65"/>
      <c r="P54" s="71"/>
      <c r="Q54" s="53"/>
      <c r="R54" s="54"/>
      <c r="S54" s="122"/>
      <c r="T54" s="122"/>
      <c r="U54" s="156"/>
      <c r="V54" s="156"/>
      <c r="W54" s="157"/>
      <c r="X54" s="160"/>
      <c r="Y54" s="132"/>
      <c r="Z54" s="132"/>
      <c r="AA54" s="131"/>
      <c r="AB54" s="131"/>
      <c r="AC54" s="131"/>
      <c r="AD54" s="131"/>
      <c r="AE54" s="131"/>
      <c r="AF54" s="131"/>
      <c r="AG54" s="131"/>
      <c r="AZ54" s="305"/>
      <c r="BA54" s="149"/>
      <c r="BB54" s="306"/>
      <c r="BC54" s="149"/>
      <c r="BD54" s="306"/>
      <c r="BE54" s="306"/>
      <c r="BF54" s="17" t="s">
        <v>532</v>
      </c>
      <c r="BG54" s="310">
        <f>GEOMEAN(BG47:BG53)</f>
        <v>2227.9358733099953</v>
      </c>
      <c r="BH54" s="410" t="s">
        <v>779</v>
      </c>
      <c r="BI54" s="411">
        <f>AVERAGE(BH47:BH53)</f>
        <v>4044.1428571428573</v>
      </c>
      <c r="BJ54">
        <v>714</v>
      </c>
      <c r="BK54" s="47">
        <f t="shared" si="22"/>
        <v>274</v>
      </c>
    </row>
    <row r="55" spans="1:96" s="25" customFormat="1" x14ac:dyDescent="0.25">
      <c r="A55" s="651"/>
      <c r="B55" s="649"/>
      <c r="C55" s="123" t="s">
        <v>9</v>
      </c>
      <c r="D55" s="123"/>
      <c r="E55" s="66">
        <f>+E23+E25+E27+E29+E32+E36+E39+E41+E43+E45+E48+E50+E52</f>
        <v>41252</v>
      </c>
      <c r="F55" s="55"/>
      <c r="G55" s="66"/>
      <c r="H55" s="133"/>
      <c r="I55" s="55"/>
      <c r="J55" s="55"/>
      <c r="K55" s="66"/>
      <c r="L55" s="66"/>
      <c r="M55" s="72"/>
      <c r="N55" s="66"/>
      <c r="O55" s="66"/>
      <c r="P55" s="72"/>
      <c r="Q55" s="66"/>
      <c r="R55" s="123"/>
      <c r="S55" s="123"/>
      <c r="T55" s="123"/>
      <c r="U55" s="158"/>
      <c r="V55" s="158"/>
      <c r="W55" s="159"/>
      <c r="X55" s="158"/>
      <c r="Y55" s="135"/>
      <c r="Z55" s="135"/>
      <c r="AA55" s="134"/>
      <c r="AB55" s="134"/>
      <c r="AC55" s="134"/>
      <c r="AD55" s="134"/>
      <c r="AE55" s="134"/>
      <c r="AF55" s="134"/>
      <c r="AG55" s="134"/>
      <c r="AZ55" s="305" t="str">
        <f t="shared" si="5"/>
        <v>coho-SF Toutle</v>
      </c>
      <c r="BA55" s="149" t="s">
        <v>527</v>
      </c>
      <c r="BB55" s="306" t="s">
        <v>15</v>
      </c>
      <c r="BC55" s="149" t="s">
        <v>65</v>
      </c>
      <c r="BD55" s="306" t="s">
        <v>174</v>
      </c>
      <c r="BE55" s="306">
        <v>1900</v>
      </c>
      <c r="BF55" s="149">
        <v>2010</v>
      </c>
      <c r="BG55" s="309">
        <v>1115</v>
      </c>
      <c r="BH55" s="224">
        <v>292</v>
      </c>
      <c r="BI55"/>
      <c r="BJ55">
        <v>114</v>
      </c>
      <c r="BK55" s="47">
        <f t="shared" si="22"/>
        <v>1936</v>
      </c>
      <c r="BL55"/>
      <c r="BM55"/>
      <c r="BN55"/>
      <c r="BO55"/>
      <c r="BP55"/>
      <c r="BQ55"/>
      <c r="BR55"/>
      <c r="BS55"/>
      <c r="BT55"/>
      <c r="BU55"/>
      <c r="BV55"/>
      <c r="BW55"/>
      <c r="BX55"/>
      <c r="BY55"/>
      <c r="BZ55"/>
      <c r="CA55"/>
      <c r="CB55"/>
      <c r="CC55"/>
      <c r="CD55"/>
      <c r="CE55"/>
      <c r="CF55"/>
      <c r="CG55"/>
      <c r="CH55"/>
      <c r="CI55"/>
      <c r="CJ55"/>
      <c r="CK55"/>
      <c r="CL55"/>
      <c r="CM55"/>
      <c r="CN55"/>
      <c r="CO55"/>
      <c r="CP55"/>
      <c r="CQ55"/>
      <c r="CR55"/>
    </row>
    <row r="56" spans="1:96" x14ac:dyDescent="0.25">
      <c r="A56" s="651" t="s">
        <v>18</v>
      </c>
      <c r="B56" s="626" t="s">
        <v>54</v>
      </c>
      <c r="C56" s="1" t="s">
        <v>8</v>
      </c>
      <c r="D56" s="1">
        <v>50</v>
      </c>
      <c r="E56" s="63">
        <v>821</v>
      </c>
      <c r="F56" s="43"/>
      <c r="G56" s="43">
        <v>416</v>
      </c>
      <c r="H56" s="44">
        <v>4423</v>
      </c>
      <c r="I56" s="43" t="s">
        <v>270</v>
      </c>
      <c r="J56" s="2" t="s">
        <v>124</v>
      </c>
      <c r="K56" s="129">
        <v>1000</v>
      </c>
      <c r="L56" s="63" t="s">
        <v>119</v>
      </c>
      <c r="M56" s="100">
        <v>123</v>
      </c>
      <c r="N56" s="43" t="s">
        <v>174</v>
      </c>
      <c r="O56" s="43" t="s">
        <v>173</v>
      </c>
      <c r="P56" s="45" t="s">
        <v>175</v>
      </c>
      <c r="Q56" s="98">
        <v>1900</v>
      </c>
      <c r="R56" s="46">
        <v>1104</v>
      </c>
      <c r="S56" s="1" t="s">
        <v>87</v>
      </c>
      <c r="T56" s="1" t="s">
        <v>105</v>
      </c>
      <c r="U56" s="165" t="s">
        <v>286</v>
      </c>
      <c r="V56" s="148">
        <v>0.5</v>
      </c>
      <c r="W56" s="155" t="e">
        <f>+IF(E56&gt;(M56+L56+E56)*V56,E56,(M56+L56)*V56+E56)</f>
        <v>#VALUE!</v>
      </c>
      <c r="X56" s="148">
        <v>600</v>
      </c>
      <c r="AA56" s="47">
        <f>ROUND(Q56,-2)</f>
        <v>1900</v>
      </c>
      <c r="AB56" s="57">
        <f>((AC56-AA56)/2)+AA56</f>
        <v>2850</v>
      </c>
      <c r="AC56" s="56">
        <f>2*AA56</f>
        <v>3800</v>
      </c>
      <c r="AZ56" s="305" t="str">
        <f t="shared" si="5"/>
        <v>coho-SF Toutle</v>
      </c>
      <c r="BA56" s="149" t="s">
        <v>527</v>
      </c>
      <c r="BB56" s="306" t="s">
        <v>15</v>
      </c>
      <c r="BC56" s="149" t="s">
        <v>65</v>
      </c>
      <c r="BD56" s="306" t="s">
        <v>174</v>
      </c>
      <c r="BE56" s="306">
        <v>1900</v>
      </c>
      <c r="BF56" s="149">
        <v>2011</v>
      </c>
      <c r="BG56" s="309">
        <v>1019</v>
      </c>
      <c r="BH56" s="224">
        <v>194</v>
      </c>
      <c r="BJ56">
        <v>1509</v>
      </c>
      <c r="BK56" s="47">
        <f>GEOMEAN(BK49:BK55)</f>
        <v>916.56382017308829</v>
      </c>
    </row>
    <row r="57" spans="1:96" x14ac:dyDescent="0.25">
      <c r="A57" s="651"/>
      <c r="B57" s="626"/>
      <c r="C57" s="48" t="s">
        <v>9</v>
      </c>
      <c r="D57" s="48"/>
      <c r="E57" s="64">
        <v>1112</v>
      </c>
      <c r="F57" s="49"/>
      <c r="G57" s="49"/>
      <c r="H57" s="50"/>
      <c r="I57" s="49"/>
      <c r="J57" s="49"/>
      <c r="K57" s="128"/>
      <c r="L57" s="64"/>
      <c r="M57" s="101"/>
      <c r="N57" s="49"/>
      <c r="O57" s="49"/>
      <c r="P57" s="51"/>
      <c r="Q57" s="98"/>
      <c r="R57" s="48"/>
      <c r="S57" s="48"/>
      <c r="T57" s="48"/>
      <c r="W57" s="155"/>
      <c r="AZ57" s="305" t="str">
        <f t="shared" si="5"/>
        <v>coho-SF Toutle</v>
      </c>
      <c r="BA57" s="149" t="s">
        <v>527</v>
      </c>
      <c r="BB57" s="306" t="s">
        <v>15</v>
      </c>
      <c r="BC57" s="149" t="s">
        <v>65</v>
      </c>
      <c r="BD57" s="306" t="s">
        <v>174</v>
      </c>
      <c r="BE57" s="306">
        <v>1900</v>
      </c>
      <c r="BF57" s="149">
        <v>2012</v>
      </c>
      <c r="BG57" s="309">
        <v>1369</v>
      </c>
      <c r="BH57" s="224">
        <v>186</v>
      </c>
    </row>
    <row r="58" spans="1:96" x14ac:dyDescent="0.25">
      <c r="A58" s="651"/>
      <c r="B58" s="626" t="s">
        <v>57</v>
      </c>
      <c r="C58" s="1" t="s">
        <v>8</v>
      </c>
      <c r="D58" s="1">
        <v>50</v>
      </c>
      <c r="E58" s="63"/>
      <c r="F58" s="43"/>
      <c r="G58" s="43">
        <v>186</v>
      </c>
      <c r="H58" s="645">
        <v>8846</v>
      </c>
      <c r="I58" s="43" t="s">
        <v>270</v>
      </c>
      <c r="J58" s="2" t="s">
        <v>124</v>
      </c>
      <c r="K58" s="129">
        <v>1000</v>
      </c>
      <c r="L58" s="43">
        <v>418</v>
      </c>
      <c r="M58" s="100">
        <v>898</v>
      </c>
      <c r="N58" s="43" t="s">
        <v>174</v>
      </c>
      <c r="O58" s="43" t="s">
        <v>173</v>
      </c>
      <c r="P58" s="45" t="s">
        <v>182</v>
      </c>
      <c r="Q58" s="98">
        <v>1900</v>
      </c>
      <c r="R58" s="46" t="str">
        <f>+T58</f>
        <v>50-898</v>
      </c>
      <c r="S58" s="1" t="s">
        <v>87</v>
      </c>
      <c r="T58" s="1" t="s">
        <v>106</v>
      </c>
      <c r="U58" s="148">
        <v>1900</v>
      </c>
      <c r="V58" s="148">
        <v>0.5</v>
      </c>
      <c r="W58" s="155">
        <f>+IF(E58&gt;(M58+L58)*V58,E58,(M58+L58)*V58)</f>
        <v>658</v>
      </c>
      <c r="X58" s="148">
        <v>600</v>
      </c>
      <c r="AA58" s="47">
        <f>ROUND(Q58,-2)</f>
        <v>1900</v>
      </c>
      <c r="AB58" s="57">
        <f>((AC58-AA58)/2)+AA58</f>
        <v>2850</v>
      </c>
      <c r="AC58" s="56">
        <f>2*AA58</f>
        <v>3800</v>
      </c>
      <c r="AZ58" s="305" t="str">
        <f t="shared" si="5"/>
        <v>coho-SF Toutle</v>
      </c>
      <c r="BA58" s="149" t="s">
        <v>527</v>
      </c>
      <c r="BB58" s="306" t="s">
        <v>15</v>
      </c>
      <c r="BC58" s="149" t="s">
        <v>65</v>
      </c>
      <c r="BD58" s="306" t="s">
        <v>174</v>
      </c>
      <c r="BE58" s="306">
        <v>1900</v>
      </c>
      <c r="BF58" s="149">
        <v>2013</v>
      </c>
      <c r="BG58" s="309">
        <v>2130</v>
      </c>
      <c r="BH58" s="224">
        <v>368</v>
      </c>
    </row>
    <row r="59" spans="1:96" x14ac:dyDescent="0.25">
      <c r="A59" s="651"/>
      <c r="B59" s="626"/>
      <c r="C59" s="48" t="s">
        <v>9</v>
      </c>
      <c r="D59" s="48"/>
      <c r="E59" s="64"/>
      <c r="F59" s="49"/>
      <c r="G59" s="49"/>
      <c r="H59" s="646"/>
      <c r="I59" s="49"/>
      <c r="J59" s="49"/>
      <c r="K59" s="128"/>
      <c r="L59" s="64"/>
      <c r="M59" s="101"/>
      <c r="N59" s="49"/>
      <c r="O59" s="49"/>
      <c r="P59" s="51"/>
      <c r="Q59"/>
      <c r="R59" s="48"/>
      <c r="S59" s="48"/>
      <c r="T59" s="48"/>
      <c r="W59" s="155"/>
      <c r="AZ59" s="305" t="str">
        <f t="shared" si="5"/>
        <v>coho-SF Toutle</v>
      </c>
      <c r="BA59" s="149" t="s">
        <v>527</v>
      </c>
      <c r="BB59" s="306" t="s">
        <v>15</v>
      </c>
      <c r="BC59" s="149" t="s">
        <v>65</v>
      </c>
      <c r="BD59" s="306" t="s">
        <v>174</v>
      </c>
      <c r="BE59" s="306">
        <v>1900</v>
      </c>
      <c r="BF59" s="149">
        <v>2014</v>
      </c>
      <c r="BG59" s="309">
        <v>7343</v>
      </c>
      <c r="BH59" s="224">
        <v>1795</v>
      </c>
    </row>
    <row r="60" spans="1:96" x14ac:dyDescent="0.25">
      <c r="A60" s="651"/>
      <c r="B60" s="626" t="s">
        <v>74</v>
      </c>
      <c r="C60" s="1" t="s">
        <v>8</v>
      </c>
      <c r="D60" s="1"/>
      <c r="E60" s="63">
        <v>58</v>
      </c>
      <c r="F60" s="43"/>
      <c r="G60" s="63"/>
      <c r="H60" s="646"/>
      <c r="I60" s="43" t="s">
        <v>177</v>
      </c>
      <c r="J60" s="52">
        <v>2200</v>
      </c>
      <c r="K60" s="129">
        <v>1000</v>
      </c>
      <c r="L60" s="63" t="s">
        <v>115</v>
      </c>
      <c r="M60" s="69"/>
      <c r="N60" s="63" t="s">
        <v>174</v>
      </c>
      <c r="O60" s="43" t="s">
        <v>173</v>
      </c>
      <c r="P60" s="69" t="s">
        <v>175</v>
      </c>
      <c r="Q60" s="63" t="s">
        <v>266</v>
      </c>
      <c r="R60" s="46">
        <v>5149</v>
      </c>
      <c r="S60" s="1" t="s">
        <v>87</v>
      </c>
      <c r="T60" s="1"/>
      <c r="V60" s="148">
        <v>0.5</v>
      </c>
      <c r="W60" s="155" t="e">
        <f>+IF(E60&gt;(M60+L60)*V60,E60,(M60+L60)*V60)</f>
        <v>#VALUE!</v>
      </c>
      <c r="X60" s="165" t="s">
        <v>288</v>
      </c>
      <c r="AA60" s="130">
        <f>AA58</f>
        <v>1900</v>
      </c>
      <c r="AB60" s="57">
        <f>((AC60-AA60)/2)+AA60</f>
        <v>2850</v>
      </c>
      <c r="AC60" s="56">
        <f>2*AA60</f>
        <v>3800</v>
      </c>
      <c r="AZ60" s="305" t="str">
        <f t="shared" si="5"/>
        <v>coho-SF Toutle</v>
      </c>
      <c r="BA60" s="149" t="s">
        <v>527</v>
      </c>
      <c r="BB60" s="306" t="s">
        <v>15</v>
      </c>
      <c r="BC60" s="149" t="s">
        <v>65</v>
      </c>
      <c r="BD60" s="306" t="s">
        <v>174</v>
      </c>
      <c r="BE60" s="306">
        <v>1900</v>
      </c>
      <c r="BF60" s="149">
        <v>2015</v>
      </c>
      <c r="BG60" s="309">
        <v>906</v>
      </c>
      <c r="BH60" s="224">
        <v>835</v>
      </c>
    </row>
    <row r="61" spans="1:96" x14ac:dyDescent="0.25">
      <c r="A61" s="651"/>
      <c r="B61" s="626"/>
      <c r="C61" s="48" t="s">
        <v>9</v>
      </c>
      <c r="D61" s="48"/>
      <c r="E61" s="64">
        <v>215</v>
      </c>
      <c r="F61" s="49"/>
      <c r="G61" s="64"/>
      <c r="H61" s="647"/>
      <c r="I61" s="49"/>
      <c r="J61" s="49"/>
      <c r="K61" s="128"/>
      <c r="L61" s="64"/>
      <c r="M61" s="70"/>
      <c r="N61" s="64"/>
      <c r="O61" s="64"/>
      <c r="P61" s="70"/>
      <c r="Q61"/>
      <c r="R61" s="48"/>
      <c r="S61" s="48"/>
      <c r="T61" s="48"/>
      <c r="W61" s="155"/>
      <c r="AA61" s="47"/>
      <c r="AZ61" s="305" t="str">
        <f t="shared" si="5"/>
        <v>coho-SF Toutle</v>
      </c>
      <c r="BA61" s="149" t="s">
        <v>527</v>
      </c>
      <c r="BB61" s="306" t="s">
        <v>15</v>
      </c>
      <c r="BC61" s="149" t="s">
        <v>65</v>
      </c>
      <c r="BD61" s="306" t="s">
        <v>174</v>
      </c>
      <c r="BE61" s="306">
        <v>1900</v>
      </c>
      <c r="BF61" s="149">
        <v>2016</v>
      </c>
      <c r="BG61" s="309">
        <v>2692</v>
      </c>
      <c r="BH61" s="224">
        <v>840</v>
      </c>
    </row>
    <row r="62" spans="1:96" x14ac:dyDescent="0.25">
      <c r="A62" s="651"/>
      <c r="B62" s="276"/>
      <c r="C62" s="1"/>
      <c r="D62" s="1"/>
      <c r="E62" s="63"/>
      <c r="F62" s="43"/>
      <c r="G62" s="63"/>
      <c r="H62" s="44"/>
      <c r="I62" s="43"/>
      <c r="J62" s="43"/>
      <c r="K62" s="103"/>
      <c r="L62" s="63"/>
      <c r="M62" s="69"/>
      <c r="N62" s="63"/>
      <c r="O62" s="63"/>
      <c r="P62" s="69"/>
      <c r="Q62"/>
      <c r="R62" s="1"/>
      <c r="S62" s="1"/>
      <c r="T62" s="1"/>
      <c r="W62" s="155"/>
      <c r="AA62" s="47"/>
      <c r="AZ62" s="305"/>
      <c r="BA62" s="149"/>
      <c r="BB62" s="306"/>
      <c r="BC62" s="149"/>
      <c r="BD62" s="306"/>
      <c r="BE62" s="306"/>
      <c r="BF62" s="17" t="s">
        <v>532</v>
      </c>
      <c r="BG62" s="310">
        <f>GEOMEAN(BG55:BG61)</f>
        <v>1791.9663108764062</v>
      </c>
      <c r="BH62" s="410" t="s">
        <v>779</v>
      </c>
      <c r="BI62" s="411">
        <f>AVERAGE(BH55:BH61)</f>
        <v>644.28571428571433</v>
      </c>
    </row>
    <row r="63" spans="1:96" x14ac:dyDescent="0.25">
      <c r="A63" s="651"/>
      <c r="B63" s="649" t="s">
        <v>50</v>
      </c>
      <c r="C63" s="122" t="s">
        <v>8</v>
      </c>
      <c r="D63" s="122"/>
      <c r="E63" s="65">
        <f>+E56+E58+E60</f>
        <v>879</v>
      </c>
      <c r="F63" s="53"/>
      <c r="G63" s="65">
        <f>+G56+G58+G60</f>
        <v>602</v>
      </c>
      <c r="H63" s="136"/>
      <c r="I63" s="53"/>
      <c r="J63" s="53"/>
      <c r="K63" s="65"/>
      <c r="L63" s="65" t="s">
        <v>120</v>
      </c>
      <c r="M63" s="71">
        <f t="shared" ref="M63" si="24">+M56+M58+M60</f>
        <v>1021</v>
      </c>
      <c r="N63" s="65"/>
      <c r="O63" s="65"/>
      <c r="P63" s="71"/>
      <c r="Q63" s="65" t="s">
        <v>122</v>
      </c>
      <c r="R63" s="54"/>
      <c r="S63" s="122"/>
      <c r="T63" s="122"/>
      <c r="U63" s="156"/>
      <c r="V63" s="156"/>
      <c r="W63" s="157" t="e">
        <f>+W56+W60</f>
        <v>#VALUE!</v>
      </c>
      <c r="X63" s="156"/>
      <c r="Y63" s="137"/>
      <c r="Z63" s="137"/>
      <c r="AA63" s="131"/>
      <c r="AB63" s="131"/>
      <c r="AC63" s="131"/>
      <c r="AD63" s="131"/>
      <c r="AE63" s="131"/>
      <c r="AF63" s="131"/>
      <c r="AG63" s="131"/>
      <c r="AZ63" s="305" t="str">
        <f t="shared" si="5"/>
        <v>coho-NF Toutle</v>
      </c>
      <c r="BA63" s="149" t="s">
        <v>527</v>
      </c>
      <c r="BB63" s="306" t="s">
        <v>15</v>
      </c>
      <c r="BC63" s="149" t="s">
        <v>66</v>
      </c>
      <c r="BD63" s="306" t="s">
        <v>174</v>
      </c>
      <c r="BE63" s="306">
        <v>1900</v>
      </c>
      <c r="BF63" s="149">
        <v>2010</v>
      </c>
      <c r="BG63" s="309">
        <v>1421</v>
      </c>
      <c r="BH63" s="224">
        <v>1510</v>
      </c>
    </row>
    <row r="64" spans="1:96" ht="15" customHeight="1" x14ac:dyDescent="0.25">
      <c r="A64" s="651"/>
      <c r="B64" s="649"/>
      <c r="C64" s="122" t="s">
        <v>9</v>
      </c>
      <c r="D64" s="122"/>
      <c r="E64" s="65">
        <f>+E57+E59+E61</f>
        <v>1327</v>
      </c>
      <c r="F64" s="53"/>
      <c r="G64" s="65"/>
      <c r="H64" s="136"/>
      <c r="I64" s="53"/>
      <c r="J64" s="53"/>
      <c r="K64" s="65"/>
      <c r="L64" s="65"/>
      <c r="M64" s="71"/>
      <c r="N64" s="65"/>
      <c r="O64" s="65"/>
      <c r="P64" s="71"/>
      <c r="Q64" s="65"/>
      <c r="R64" s="122"/>
      <c r="S64" s="122"/>
      <c r="T64" s="122"/>
      <c r="U64" s="156"/>
      <c r="V64" s="156"/>
      <c r="W64" s="161"/>
      <c r="X64" s="156"/>
      <c r="Y64" s="137"/>
      <c r="Z64" s="137"/>
      <c r="AA64" s="131"/>
      <c r="AB64" s="131"/>
      <c r="AC64" s="131"/>
      <c r="AD64" s="131"/>
      <c r="AE64" s="131"/>
      <c r="AF64" s="131"/>
      <c r="AG64" s="131"/>
      <c r="AZ64" s="305" t="str">
        <f t="shared" si="5"/>
        <v>coho-NF Toutle</v>
      </c>
      <c r="BA64" s="149" t="s">
        <v>527</v>
      </c>
      <c r="BB64" s="306" t="s">
        <v>15</v>
      </c>
      <c r="BC64" s="149" t="s">
        <v>66</v>
      </c>
      <c r="BD64" s="306" t="s">
        <v>174</v>
      </c>
      <c r="BE64" s="306">
        <v>1900</v>
      </c>
      <c r="BF64" s="149">
        <v>2011</v>
      </c>
      <c r="BG64" s="309">
        <v>1048</v>
      </c>
      <c r="BH64" s="224">
        <v>441</v>
      </c>
      <c r="CI64" s="641" t="s">
        <v>147</v>
      </c>
      <c r="CJ64" s="641"/>
      <c r="CK64" s="641"/>
      <c r="CL64" s="641"/>
      <c r="CM64" s="641"/>
    </row>
    <row r="65" spans="1:96" ht="15" customHeight="1" x14ac:dyDescent="0.25">
      <c r="A65" s="650" t="s">
        <v>19</v>
      </c>
      <c r="B65" s="648" t="s">
        <v>19</v>
      </c>
      <c r="C65" s="138" t="s">
        <v>8</v>
      </c>
      <c r="D65" s="138"/>
      <c r="E65" s="139">
        <f>+E63+E53+E19</f>
        <v>31401</v>
      </c>
      <c r="F65" s="140"/>
      <c r="G65" s="139">
        <f>+G63+G53+G19</f>
        <v>602</v>
      </c>
      <c r="H65" s="141"/>
      <c r="I65" s="140"/>
      <c r="J65" s="140"/>
      <c r="K65" s="139"/>
      <c r="L65" s="139" t="s">
        <v>121</v>
      </c>
      <c r="M65" s="142">
        <f t="shared" ref="M65" si="25">+M63+M53+M19</f>
        <v>118881</v>
      </c>
      <c r="N65" s="139"/>
      <c r="O65" s="139"/>
      <c r="P65" s="142"/>
      <c r="Q65" s="143" t="s">
        <v>123</v>
      </c>
      <c r="R65" s="144"/>
      <c r="S65" s="138"/>
      <c r="T65" s="138"/>
      <c r="U65" s="162"/>
      <c r="V65" s="162"/>
      <c r="W65" s="163" t="e">
        <f>+W63+W53+W19</f>
        <v>#VALUE!</v>
      </c>
      <c r="X65" s="164"/>
      <c r="Y65" s="146"/>
      <c r="Z65" s="146"/>
      <c r="AA65" s="145"/>
      <c r="AB65" s="145"/>
      <c r="AC65" s="145"/>
      <c r="AD65" s="145"/>
      <c r="AE65" s="145"/>
      <c r="AF65" s="145"/>
      <c r="AG65" s="145"/>
      <c r="AZ65" s="305" t="str">
        <f t="shared" si="5"/>
        <v>coho-NF Toutle</v>
      </c>
      <c r="BA65" s="149" t="s">
        <v>527</v>
      </c>
      <c r="BB65" s="306" t="s">
        <v>15</v>
      </c>
      <c r="BC65" s="149" t="s">
        <v>66</v>
      </c>
      <c r="BD65" s="306" t="s">
        <v>174</v>
      </c>
      <c r="BE65" s="306">
        <v>1900</v>
      </c>
      <c r="BF65" s="149">
        <v>2012</v>
      </c>
      <c r="BG65" s="309">
        <v>1037</v>
      </c>
      <c r="BH65" s="224">
        <v>279</v>
      </c>
      <c r="CK65" s="224" t="s">
        <v>899</v>
      </c>
      <c r="CL65" s="224" t="s">
        <v>900</v>
      </c>
      <c r="CM65" s="224" t="s">
        <v>10</v>
      </c>
    </row>
    <row r="66" spans="1:96" x14ac:dyDescent="0.25">
      <c r="A66" s="650"/>
      <c r="B66" s="648"/>
      <c r="C66" s="138" t="s">
        <v>9</v>
      </c>
      <c r="D66" s="138"/>
      <c r="E66" s="139">
        <f>+E64+E55+E20</f>
        <v>49537</v>
      </c>
      <c r="F66" s="140"/>
      <c r="G66" s="139"/>
      <c r="H66" s="141"/>
      <c r="I66" s="140"/>
      <c r="J66" s="140"/>
      <c r="K66" s="139"/>
      <c r="L66" s="139"/>
      <c r="M66" s="142"/>
      <c r="N66" s="139"/>
      <c r="O66" s="139"/>
      <c r="P66" s="142"/>
      <c r="Q66" s="139"/>
      <c r="R66" s="138"/>
      <c r="S66" s="138"/>
      <c r="T66" s="138"/>
      <c r="U66" s="162"/>
      <c r="V66" s="162"/>
      <c r="W66" s="162"/>
      <c r="X66" s="162"/>
      <c r="Y66" s="147"/>
      <c r="Z66" s="147"/>
      <c r="AA66" s="145"/>
      <c r="AB66" s="145"/>
      <c r="AC66" s="145"/>
      <c r="AD66" s="145"/>
      <c r="AE66" s="145"/>
      <c r="AF66" s="145"/>
      <c r="AG66" s="145"/>
      <c r="AZ66" s="305" t="str">
        <f t="shared" si="5"/>
        <v>coho-NF Toutle</v>
      </c>
      <c r="BA66" s="149" t="s">
        <v>527</v>
      </c>
      <c r="BB66" s="306" t="s">
        <v>15</v>
      </c>
      <c r="BC66" s="149" t="s">
        <v>66</v>
      </c>
      <c r="BD66" s="306" t="s">
        <v>174</v>
      </c>
      <c r="BE66" s="306">
        <v>1900</v>
      </c>
      <c r="BF66" s="149">
        <v>2013</v>
      </c>
      <c r="BG66" s="309">
        <v>2469</v>
      </c>
      <c r="BH66" s="224">
        <v>620</v>
      </c>
      <c r="CI66" t="s">
        <v>544</v>
      </c>
      <c r="CK66">
        <v>4423</v>
      </c>
      <c r="CL66">
        <v>280</v>
      </c>
      <c r="CM66">
        <f>CK66+CL66</f>
        <v>4703</v>
      </c>
    </row>
    <row r="67" spans="1:96" x14ac:dyDescent="0.25">
      <c r="AZ67" s="305" t="str">
        <f t="shared" si="5"/>
        <v>coho-NF Toutle</v>
      </c>
      <c r="BA67" s="149" t="s">
        <v>527</v>
      </c>
      <c r="BB67" s="306" t="s">
        <v>15</v>
      </c>
      <c r="BC67" s="149" t="s">
        <v>66</v>
      </c>
      <c r="BD67" s="306" t="s">
        <v>174</v>
      </c>
      <c r="BE67" s="306">
        <v>1900</v>
      </c>
      <c r="BF67" s="149">
        <v>2014</v>
      </c>
      <c r="BG67" s="309">
        <v>4296</v>
      </c>
      <c r="BH67" s="224">
        <v>2025</v>
      </c>
      <c r="CI67" t="s">
        <v>901</v>
      </c>
      <c r="CK67">
        <v>8846</v>
      </c>
      <c r="CL67" s="224">
        <v>946</v>
      </c>
      <c r="CM67">
        <f>SUM(CK67:CL67)</f>
        <v>9792</v>
      </c>
    </row>
    <row r="68" spans="1:96" x14ac:dyDescent="0.25">
      <c r="A68" t="s">
        <v>274</v>
      </c>
      <c r="B68" t="s">
        <v>275</v>
      </c>
      <c r="C68" s="149" t="s">
        <v>132</v>
      </c>
      <c r="I68" t="s">
        <v>177</v>
      </c>
      <c r="AZ68" s="305" t="str">
        <f t="shared" si="5"/>
        <v>coho-NF Toutle</v>
      </c>
      <c r="BA68" s="149" t="s">
        <v>527</v>
      </c>
      <c r="BB68" s="306" t="s">
        <v>15</v>
      </c>
      <c r="BC68" s="149" t="s">
        <v>66</v>
      </c>
      <c r="BD68" s="306" t="s">
        <v>174</v>
      </c>
      <c r="BE68" s="306">
        <v>1900</v>
      </c>
      <c r="BF68" s="149">
        <v>2015</v>
      </c>
      <c r="BG68" s="309">
        <v>604</v>
      </c>
      <c r="BH68" s="224">
        <v>785</v>
      </c>
      <c r="CI68" s="448" t="s">
        <v>946</v>
      </c>
    </row>
    <row r="69" spans="1:96" x14ac:dyDescent="0.25">
      <c r="C69" s="150" t="s">
        <v>9</v>
      </c>
      <c r="E69">
        <v>485</v>
      </c>
      <c r="AZ69" s="305" t="str">
        <f t="shared" si="5"/>
        <v>coho-NF Toutle</v>
      </c>
      <c r="BA69" s="149" t="s">
        <v>527</v>
      </c>
      <c r="BB69" s="306" t="s">
        <v>15</v>
      </c>
      <c r="BC69" s="149" t="s">
        <v>66</v>
      </c>
      <c r="BD69" s="306" t="s">
        <v>174</v>
      </c>
      <c r="BE69" s="306">
        <v>1900</v>
      </c>
      <c r="BF69" s="149">
        <v>2016</v>
      </c>
      <c r="BG69" s="309">
        <v>1592</v>
      </c>
      <c r="BH69" s="224">
        <v>2562</v>
      </c>
    </row>
    <row r="70" spans="1:96" x14ac:dyDescent="0.25">
      <c r="C70" s="150"/>
      <c r="E70"/>
      <c r="AZ70" s="305"/>
      <c r="BA70" s="149"/>
      <c r="BB70" s="306"/>
      <c r="BC70" s="149"/>
      <c r="BD70" s="306"/>
      <c r="BE70" s="306"/>
      <c r="BF70" s="17" t="s">
        <v>532</v>
      </c>
      <c r="BG70" s="310">
        <f>GEOMEAN(BG63:BG69)</f>
        <v>1482.6641377148919</v>
      </c>
      <c r="BH70" s="410" t="s">
        <v>779</v>
      </c>
      <c r="BI70" s="411">
        <f>AVERAGE(BH63:BH69)</f>
        <v>1174.5714285714287</v>
      </c>
    </row>
    <row r="71" spans="1:96" x14ac:dyDescent="0.25">
      <c r="B71" t="s">
        <v>348</v>
      </c>
      <c r="C71" s="149" t="s">
        <v>132</v>
      </c>
      <c r="E71"/>
      <c r="AZ71" s="305" t="str">
        <f t="shared" si="5"/>
        <v>coho-Coweeman</v>
      </c>
      <c r="BA71" s="149" t="s">
        <v>527</v>
      </c>
      <c r="BB71" s="306" t="s">
        <v>15</v>
      </c>
      <c r="BC71" s="149" t="s">
        <v>64</v>
      </c>
      <c r="BD71" s="306" t="s">
        <v>174</v>
      </c>
      <c r="BE71" s="306">
        <v>1200</v>
      </c>
      <c r="BF71" s="149">
        <v>2010</v>
      </c>
      <c r="BG71" s="309">
        <v>2318</v>
      </c>
      <c r="BH71" s="307">
        <v>229</v>
      </c>
    </row>
    <row r="72" spans="1:96" x14ac:dyDescent="0.25">
      <c r="C72" s="150" t="s">
        <v>9</v>
      </c>
      <c r="E72"/>
      <c r="AZ72" s="305" t="str">
        <f t="shared" si="5"/>
        <v>coho-Coweeman</v>
      </c>
      <c r="BA72" s="149" t="s">
        <v>527</v>
      </c>
      <c r="BB72" s="306" t="s">
        <v>15</v>
      </c>
      <c r="BC72" s="149" t="s">
        <v>64</v>
      </c>
      <c r="BD72" s="306" t="s">
        <v>174</v>
      </c>
      <c r="BE72" s="306">
        <v>1200</v>
      </c>
      <c r="BF72" s="149">
        <v>2011</v>
      </c>
      <c r="BG72" s="309">
        <v>2372</v>
      </c>
      <c r="BH72" s="307">
        <v>120</v>
      </c>
    </row>
    <row r="73" spans="1:96" x14ac:dyDescent="0.25">
      <c r="B73" t="s">
        <v>276</v>
      </c>
      <c r="C73" s="149" t="s">
        <v>132</v>
      </c>
      <c r="E73">
        <v>250</v>
      </c>
      <c r="I73" t="s">
        <v>271</v>
      </c>
      <c r="L73" s="148">
        <v>3136</v>
      </c>
      <c r="AC73">
        <f>S74</f>
        <v>6000</v>
      </c>
      <c r="AZ73" s="305" t="str">
        <f t="shared" si="5"/>
        <v>coho-Coweeman</v>
      </c>
      <c r="BA73" s="149" t="s">
        <v>527</v>
      </c>
      <c r="BB73" s="306" t="s">
        <v>15</v>
      </c>
      <c r="BC73" s="149" t="s">
        <v>64</v>
      </c>
      <c r="BD73" s="306" t="s">
        <v>174</v>
      </c>
      <c r="BE73" s="306">
        <v>1200</v>
      </c>
      <c r="BF73" s="149">
        <v>2012</v>
      </c>
      <c r="BG73" s="309">
        <v>2049</v>
      </c>
      <c r="BH73" s="224">
        <v>102</v>
      </c>
    </row>
    <row r="74" spans="1:96" x14ac:dyDescent="0.25">
      <c r="C74" s="150" t="s">
        <v>9</v>
      </c>
      <c r="E74">
        <v>5377</v>
      </c>
      <c r="L74" s="148"/>
      <c r="Q74" s="39"/>
      <c r="S74">
        <v>6000</v>
      </c>
      <c r="AZ74" s="305" t="str">
        <f t="shared" si="5"/>
        <v>coho-Coweeman</v>
      </c>
      <c r="BA74" s="149" t="s">
        <v>527</v>
      </c>
      <c r="BB74" s="306" t="s">
        <v>15</v>
      </c>
      <c r="BC74" s="149" t="s">
        <v>64</v>
      </c>
      <c r="BD74" s="306" t="s">
        <v>174</v>
      </c>
      <c r="BE74" s="306">
        <v>1200</v>
      </c>
      <c r="BF74" s="149">
        <v>2013</v>
      </c>
      <c r="BG74" s="309">
        <v>2881</v>
      </c>
      <c r="BH74" s="224">
        <v>401</v>
      </c>
    </row>
    <row r="75" spans="1:96" x14ac:dyDescent="0.25">
      <c r="B75" s="148" t="s">
        <v>277</v>
      </c>
      <c r="C75" s="149" t="s">
        <v>132</v>
      </c>
      <c r="E75">
        <v>638</v>
      </c>
      <c r="I75" t="s">
        <v>271</v>
      </c>
      <c r="AZ75" s="305" t="str">
        <f t="shared" si="5"/>
        <v>coho-Coweeman</v>
      </c>
      <c r="BA75" s="149" t="s">
        <v>527</v>
      </c>
      <c r="BB75" s="306" t="s">
        <v>15</v>
      </c>
      <c r="BC75" s="149" t="s">
        <v>64</v>
      </c>
      <c r="BD75" s="306" t="s">
        <v>174</v>
      </c>
      <c r="BE75" s="306">
        <v>1200</v>
      </c>
      <c r="BF75" s="149">
        <v>2014</v>
      </c>
      <c r="BG75" s="309">
        <v>3545</v>
      </c>
      <c r="BH75" s="224">
        <v>709</v>
      </c>
    </row>
    <row r="76" spans="1:96" x14ac:dyDescent="0.25">
      <c r="B76" s="148"/>
      <c r="C76" s="150" t="s">
        <v>9</v>
      </c>
      <c r="E76">
        <v>5040</v>
      </c>
      <c r="H76" s="27">
        <v>60000</v>
      </c>
      <c r="AZ76" s="305" t="str">
        <f t="shared" si="5"/>
        <v>coho-Coweeman</v>
      </c>
      <c r="BA76" s="149" t="s">
        <v>527</v>
      </c>
      <c r="BB76" s="306" t="s">
        <v>15</v>
      </c>
      <c r="BC76" s="149" t="s">
        <v>64</v>
      </c>
      <c r="BD76" s="306" t="s">
        <v>174</v>
      </c>
      <c r="BE76" s="306">
        <v>1200</v>
      </c>
      <c r="BF76" s="149">
        <v>2015</v>
      </c>
      <c r="BG76" s="309">
        <v>606</v>
      </c>
      <c r="BH76" s="224">
        <v>177</v>
      </c>
      <c r="CM76" s="25"/>
      <c r="CN76" s="25"/>
      <c r="CO76" s="25"/>
      <c r="CP76" s="25"/>
      <c r="CQ76" s="25"/>
      <c r="CR76" s="25"/>
    </row>
    <row r="77" spans="1:96" x14ac:dyDescent="0.25">
      <c r="B77" s="148" t="s">
        <v>278</v>
      </c>
      <c r="C77" s="149" t="s">
        <v>132</v>
      </c>
      <c r="E77">
        <v>86</v>
      </c>
      <c r="I77" t="s">
        <v>270</v>
      </c>
      <c r="L77" s="148">
        <v>3789</v>
      </c>
      <c r="S77">
        <v>1500</v>
      </c>
      <c r="AC77">
        <f>S77</f>
        <v>1500</v>
      </c>
      <c r="AZ77" s="305" t="str">
        <f t="shared" si="5"/>
        <v>coho-Coweeman</v>
      </c>
      <c r="BA77" s="149" t="s">
        <v>527</v>
      </c>
      <c r="BB77" s="306" t="s">
        <v>15</v>
      </c>
      <c r="BC77" s="149" t="s">
        <v>64</v>
      </c>
      <c r="BD77" s="306" t="s">
        <v>174</v>
      </c>
      <c r="BE77" s="306">
        <v>1200</v>
      </c>
      <c r="BF77" s="149">
        <v>2016</v>
      </c>
      <c r="BG77" s="309">
        <v>2154</v>
      </c>
      <c r="BH77" s="224">
        <v>445</v>
      </c>
    </row>
    <row r="78" spans="1:96" x14ac:dyDescent="0.25">
      <c r="B78" s="148"/>
      <c r="C78" s="149"/>
      <c r="E78"/>
      <c r="L78" s="148"/>
      <c r="AZ78" s="305"/>
      <c r="BA78" s="149"/>
      <c r="BB78" s="306"/>
      <c r="BC78" s="149"/>
      <c r="BD78" s="306"/>
      <c r="BE78" s="306"/>
      <c r="BF78" s="17" t="s">
        <v>532</v>
      </c>
      <c r="BG78" s="310">
        <f>GEOMEAN(BG71:BG77)</f>
        <v>2046.2076282416047</v>
      </c>
      <c r="BH78" s="410" t="s">
        <v>779</v>
      </c>
      <c r="BI78" s="411">
        <f>AVERAGE(BH71:BH77)</f>
        <v>311.85714285714283</v>
      </c>
    </row>
    <row r="79" spans="1:96" x14ac:dyDescent="0.25">
      <c r="B79" s="148"/>
      <c r="C79" s="150" t="s">
        <v>9</v>
      </c>
      <c r="E79">
        <v>2726</v>
      </c>
      <c r="H79" s="27">
        <v>6500</v>
      </c>
      <c r="L79" s="148"/>
      <c r="AZ79" s="305" t="str">
        <f t="shared" si="5"/>
        <v>coho-Kalama</v>
      </c>
      <c r="BA79" s="149" t="s">
        <v>527</v>
      </c>
      <c r="BB79" s="306" t="s">
        <v>15</v>
      </c>
      <c r="BC79" s="149" t="s">
        <v>16</v>
      </c>
      <c r="BD79" s="306" t="s">
        <v>176</v>
      </c>
      <c r="BE79" s="306">
        <v>500</v>
      </c>
      <c r="BF79" s="149">
        <v>2010</v>
      </c>
      <c r="BG79" s="309">
        <v>4</v>
      </c>
      <c r="BH79" s="224">
        <v>403</v>
      </c>
      <c r="BJ79" s="25" t="s">
        <v>772</v>
      </c>
      <c r="BK79" s="25"/>
      <c r="BL79" s="25"/>
      <c r="BM79" s="25"/>
      <c r="BN79" s="25"/>
      <c r="BO79" s="25"/>
      <c r="BP79" s="25"/>
      <c r="BQ79" s="25"/>
      <c r="BR79" s="25"/>
      <c r="BS79" s="25"/>
      <c r="BT79" s="25"/>
    </row>
    <row r="80" spans="1:96" x14ac:dyDescent="0.25">
      <c r="B80" s="148" t="s">
        <v>279</v>
      </c>
      <c r="C80" s="149" t="s">
        <v>132</v>
      </c>
      <c r="E80"/>
      <c r="I80" t="s">
        <v>271</v>
      </c>
      <c r="AZ80" s="305" t="str">
        <f t="shared" si="5"/>
        <v>coho-Kalama</v>
      </c>
      <c r="BA80" s="149" t="s">
        <v>527</v>
      </c>
      <c r="BB80" s="306" t="s">
        <v>15</v>
      </c>
      <c r="BC80" s="149" t="s">
        <v>16</v>
      </c>
      <c r="BD80" s="306" t="s">
        <v>176</v>
      </c>
      <c r="BE80" s="306">
        <v>500</v>
      </c>
      <c r="BF80" s="149">
        <v>2011</v>
      </c>
      <c r="BG80" s="309">
        <v>8</v>
      </c>
      <c r="BH80" s="224">
        <v>271</v>
      </c>
      <c r="BJ80" s="224" t="s">
        <v>199</v>
      </c>
      <c r="BK80" s="224" t="s">
        <v>208</v>
      </c>
      <c r="BL80" s="224" t="s">
        <v>61</v>
      </c>
      <c r="BM80" s="224" t="s">
        <v>505</v>
      </c>
      <c r="BN80" s="224" t="s">
        <v>62</v>
      </c>
      <c r="BO80" s="224" t="s">
        <v>245</v>
      </c>
      <c r="BP80" s="224" t="s">
        <v>73</v>
      </c>
      <c r="BQ80" s="224" t="s">
        <v>72</v>
      </c>
      <c r="BR80" s="224" t="s">
        <v>580</v>
      </c>
      <c r="BS80" s="643" t="s">
        <v>545</v>
      </c>
      <c r="BT80" s="643"/>
    </row>
    <row r="81" spans="2:90" x14ac:dyDescent="0.25">
      <c r="B81" s="148"/>
      <c r="C81" s="150" t="s">
        <v>9</v>
      </c>
      <c r="E81"/>
      <c r="H81" s="27">
        <v>11000</v>
      </c>
      <c r="AZ81" s="305" t="str">
        <f t="shared" ref="AZ81:AZ117" si="26">CONCATENATE(BA81, "-", BC81)</f>
        <v>coho-Kalama</v>
      </c>
      <c r="BA81" s="149" t="s">
        <v>527</v>
      </c>
      <c r="BB81" s="306" t="s">
        <v>15</v>
      </c>
      <c r="BC81" s="149" t="s">
        <v>16</v>
      </c>
      <c r="BD81" s="306" t="s">
        <v>176</v>
      </c>
      <c r="BE81" s="306">
        <v>500</v>
      </c>
      <c r="BF81" s="149">
        <v>2012</v>
      </c>
      <c r="BG81" s="309">
        <v>17</v>
      </c>
      <c r="BH81" s="224">
        <v>161</v>
      </c>
      <c r="BJ81" s="337" t="s">
        <v>581</v>
      </c>
      <c r="BK81" s="337" t="s">
        <v>582</v>
      </c>
      <c r="BL81" s="337" t="s">
        <v>769</v>
      </c>
      <c r="BM81" s="337" t="s">
        <v>769</v>
      </c>
      <c r="BN81" s="337" t="s">
        <v>769</v>
      </c>
      <c r="BO81" s="337" t="s">
        <v>769</v>
      </c>
      <c r="BP81" s="337" t="s">
        <v>769</v>
      </c>
      <c r="BQ81" s="337" t="s">
        <v>769</v>
      </c>
      <c r="BR81" s="337" t="s">
        <v>769</v>
      </c>
      <c r="BS81" s="642" t="s">
        <v>769</v>
      </c>
      <c r="BT81" s="642"/>
    </row>
    <row r="82" spans="2:90" x14ac:dyDescent="0.25">
      <c r="B82" s="148" t="s">
        <v>280</v>
      </c>
      <c r="C82" s="149" t="s">
        <v>132</v>
      </c>
      <c r="E82">
        <v>12</v>
      </c>
      <c r="L82" s="148">
        <v>4169</v>
      </c>
      <c r="S82">
        <v>1500</v>
      </c>
      <c r="AC82">
        <f>S82</f>
        <v>1500</v>
      </c>
      <c r="AZ82" s="305" t="str">
        <f t="shared" si="26"/>
        <v>coho-Kalama</v>
      </c>
      <c r="BA82" s="149" t="s">
        <v>527</v>
      </c>
      <c r="BB82" s="306" t="s">
        <v>15</v>
      </c>
      <c r="BC82" s="149" t="s">
        <v>16</v>
      </c>
      <c r="BD82" s="306" t="s">
        <v>176</v>
      </c>
      <c r="BE82" s="306">
        <v>500</v>
      </c>
      <c r="BF82" s="149">
        <v>2013</v>
      </c>
      <c r="BG82" s="309">
        <v>31</v>
      </c>
      <c r="BH82" s="224">
        <v>260</v>
      </c>
      <c r="BJ82">
        <v>1992</v>
      </c>
      <c r="BK82" s="224" t="s">
        <v>235</v>
      </c>
      <c r="BL82" s="224" t="s">
        <v>235</v>
      </c>
      <c r="BM82" s="224" t="s">
        <v>235</v>
      </c>
      <c r="BN82" s="224" t="s">
        <v>235</v>
      </c>
      <c r="BO82" s="224" t="s">
        <v>235</v>
      </c>
      <c r="BP82">
        <v>0.35</v>
      </c>
      <c r="BQ82">
        <v>0</v>
      </c>
      <c r="BR82" t="s">
        <v>235</v>
      </c>
      <c r="BT82" s="224" t="s">
        <v>235</v>
      </c>
    </row>
    <row r="83" spans="2:90" x14ac:dyDescent="0.25">
      <c r="B83" s="148"/>
      <c r="C83" s="150" t="s">
        <v>9</v>
      </c>
      <c r="E83">
        <v>874</v>
      </c>
      <c r="H83" s="27">
        <v>27000</v>
      </c>
      <c r="AZ83" s="305" t="str">
        <f t="shared" si="26"/>
        <v>coho-Kalama</v>
      </c>
      <c r="BA83" s="149" t="s">
        <v>527</v>
      </c>
      <c r="BB83" s="306" t="s">
        <v>15</v>
      </c>
      <c r="BC83" s="149" t="s">
        <v>16</v>
      </c>
      <c r="BD83" s="306" t="s">
        <v>176</v>
      </c>
      <c r="BE83" s="306">
        <v>500</v>
      </c>
      <c r="BF83" s="149">
        <v>2014</v>
      </c>
      <c r="BG83" s="309">
        <v>59</v>
      </c>
      <c r="BH83" s="224">
        <v>580</v>
      </c>
      <c r="BJ83">
        <v>1993</v>
      </c>
      <c r="BK83" s="224" t="s">
        <v>235</v>
      </c>
      <c r="BL83" s="224" t="s">
        <v>235</v>
      </c>
      <c r="BM83" s="224" t="s">
        <v>235</v>
      </c>
      <c r="BN83" s="224" t="s">
        <v>235</v>
      </c>
      <c r="BO83" s="224" t="s">
        <v>235</v>
      </c>
      <c r="BP83">
        <v>0.35</v>
      </c>
      <c r="BQ83">
        <v>0</v>
      </c>
      <c r="BR83" t="s">
        <v>235</v>
      </c>
      <c r="BT83" s="224" t="s">
        <v>235</v>
      </c>
    </row>
    <row r="84" spans="2:90" x14ac:dyDescent="0.25">
      <c r="B84" s="148" t="s">
        <v>281</v>
      </c>
      <c r="C84" s="149" t="s">
        <v>132</v>
      </c>
      <c r="E84"/>
      <c r="L84" s="148"/>
      <c r="AZ84" s="305" t="str">
        <f t="shared" si="26"/>
        <v>coho-Kalama</v>
      </c>
      <c r="BA84" s="149" t="s">
        <v>527</v>
      </c>
      <c r="BB84" s="306" t="s">
        <v>15</v>
      </c>
      <c r="BC84" s="149" t="s">
        <v>16</v>
      </c>
      <c r="BD84" s="306" t="s">
        <v>176</v>
      </c>
      <c r="BE84" s="306">
        <v>500</v>
      </c>
      <c r="BF84" s="149">
        <v>2015</v>
      </c>
      <c r="BG84" s="309">
        <v>12</v>
      </c>
      <c r="BH84" s="224">
        <v>110</v>
      </c>
      <c r="BJ84">
        <v>1994</v>
      </c>
      <c r="BK84" s="224" t="s">
        <v>668</v>
      </c>
      <c r="BL84" s="224" t="s">
        <v>235</v>
      </c>
      <c r="BM84" s="224" t="s">
        <v>235</v>
      </c>
      <c r="BN84" s="224" t="s">
        <v>235</v>
      </c>
      <c r="BO84" s="224" t="s">
        <v>235</v>
      </c>
      <c r="BP84">
        <v>0.35</v>
      </c>
      <c r="BQ84">
        <v>0</v>
      </c>
      <c r="BR84" t="s">
        <v>235</v>
      </c>
      <c r="BT84" s="224" t="s">
        <v>235</v>
      </c>
    </row>
    <row r="85" spans="2:90" x14ac:dyDescent="0.25">
      <c r="B85" s="148"/>
      <c r="C85" s="150" t="s">
        <v>9</v>
      </c>
      <c r="E85"/>
      <c r="H85" s="27">
        <v>10000</v>
      </c>
      <c r="AZ85" s="305" t="str">
        <f t="shared" si="26"/>
        <v>coho-Kalama</v>
      </c>
      <c r="BA85" s="149" t="s">
        <v>527</v>
      </c>
      <c r="BB85" s="306" t="s">
        <v>15</v>
      </c>
      <c r="BC85" s="149" t="s">
        <v>16</v>
      </c>
      <c r="BD85" s="306" t="s">
        <v>176</v>
      </c>
      <c r="BE85" s="306">
        <v>500</v>
      </c>
      <c r="BF85" s="149">
        <v>2016</v>
      </c>
      <c r="BG85" s="309">
        <v>62</v>
      </c>
      <c r="BH85" s="224">
        <v>195</v>
      </c>
      <c r="BJ85">
        <v>1995</v>
      </c>
      <c r="BK85" s="224" t="s">
        <v>668</v>
      </c>
      <c r="BL85" s="224" t="s">
        <v>235</v>
      </c>
      <c r="BM85" s="224" t="s">
        <v>235</v>
      </c>
      <c r="BN85" s="224" t="s">
        <v>235</v>
      </c>
      <c r="BO85" s="224" t="s">
        <v>235</v>
      </c>
      <c r="BP85">
        <v>0.35</v>
      </c>
      <c r="BQ85">
        <v>0</v>
      </c>
      <c r="BR85" t="s">
        <v>235</v>
      </c>
      <c r="BT85" s="224" t="s">
        <v>235</v>
      </c>
    </row>
    <row r="86" spans="2:90" x14ac:dyDescent="0.25">
      <c r="B86" s="148"/>
      <c r="C86" s="150"/>
      <c r="E86"/>
      <c r="AZ86" s="305"/>
      <c r="BA86" s="149"/>
      <c r="BB86" s="306"/>
      <c r="BC86" s="149"/>
      <c r="BD86" s="306"/>
      <c r="BE86" s="306"/>
      <c r="BF86" s="17" t="s">
        <v>532</v>
      </c>
      <c r="BG86" s="310">
        <f>GEOMEAN(BG79:BG85)</f>
        <v>18.495031581795629</v>
      </c>
      <c r="BH86" s="410" t="s">
        <v>779</v>
      </c>
      <c r="BI86" s="411">
        <f>AVERAGE(BH79:BH85)</f>
        <v>282.85714285714283</v>
      </c>
      <c r="BJ86">
        <v>1996</v>
      </c>
      <c r="BK86" s="224" t="s">
        <v>668</v>
      </c>
      <c r="BL86" s="224" t="s">
        <v>235</v>
      </c>
      <c r="BM86" s="224" t="s">
        <v>235</v>
      </c>
      <c r="BN86" s="224" t="s">
        <v>235</v>
      </c>
      <c r="BO86" s="224" t="s">
        <v>235</v>
      </c>
      <c r="BP86">
        <v>0.35</v>
      </c>
      <c r="BQ86">
        <v>0</v>
      </c>
      <c r="BR86" t="s">
        <v>235</v>
      </c>
      <c r="BT86" s="224" t="s">
        <v>235</v>
      </c>
    </row>
    <row r="87" spans="2:90" x14ac:dyDescent="0.25">
      <c r="B87" s="148" t="s">
        <v>282</v>
      </c>
      <c r="C87" s="149" t="s">
        <v>132</v>
      </c>
      <c r="E87"/>
      <c r="AZ87" s="305" t="str">
        <f t="shared" si="26"/>
        <v>coho-NF Lewis</v>
      </c>
      <c r="BA87" s="149" t="s">
        <v>527</v>
      </c>
      <c r="BB87" s="306" t="s">
        <v>15</v>
      </c>
      <c r="BC87" s="149" t="s">
        <v>70</v>
      </c>
      <c r="BD87" s="306" t="s">
        <v>176</v>
      </c>
      <c r="BE87" s="306">
        <v>500</v>
      </c>
      <c r="BF87" s="149">
        <v>2010</v>
      </c>
      <c r="BG87" s="309">
        <v>1537</v>
      </c>
      <c r="BH87" s="224">
        <v>122</v>
      </c>
      <c r="BJ87">
        <v>1997</v>
      </c>
      <c r="BK87" s="224" t="s">
        <v>668</v>
      </c>
      <c r="BL87" s="224" t="s">
        <v>235</v>
      </c>
      <c r="BM87" s="224" t="s">
        <v>235</v>
      </c>
      <c r="BN87" s="224" t="s">
        <v>235</v>
      </c>
      <c r="BO87" s="224" t="s">
        <v>235</v>
      </c>
      <c r="BP87">
        <v>0.35</v>
      </c>
      <c r="BQ87">
        <v>0</v>
      </c>
      <c r="BR87" t="s">
        <v>235</v>
      </c>
      <c r="BT87" s="224" t="s">
        <v>235</v>
      </c>
      <c r="CI87" s="25"/>
    </row>
    <row r="88" spans="2:90" x14ac:dyDescent="0.25">
      <c r="B88" s="148"/>
      <c r="C88" s="150" t="s">
        <v>9</v>
      </c>
      <c r="E88"/>
      <c r="H88" s="27">
        <v>60000</v>
      </c>
      <c r="AZ88" s="305" t="str">
        <f t="shared" si="26"/>
        <v>coho-NF Lewis</v>
      </c>
      <c r="BA88" s="149" t="s">
        <v>527</v>
      </c>
      <c r="BB88" s="306" t="s">
        <v>15</v>
      </c>
      <c r="BC88" s="149" t="s">
        <v>70</v>
      </c>
      <c r="BD88" s="306" t="s">
        <v>176</v>
      </c>
      <c r="BE88" s="306">
        <v>500</v>
      </c>
      <c r="BF88" s="149">
        <v>2011</v>
      </c>
      <c r="BG88" s="309">
        <v>1026</v>
      </c>
      <c r="BH88" s="224">
        <v>121</v>
      </c>
      <c r="BJ88">
        <v>1998</v>
      </c>
      <c r="BK88" s="224" t="s">
        <v>668</v>
      </c>
      <c r="BL88" s="224" t="s">
        <v>235</v>
      </c>
      <c r="BM88" s="224" t="s">
        <v>235</v>
      </c>
      <c r="BN88" s="224" t="s">
        <v>235</v>
      </c>
      <c r="BO88" s="224" t="s">
        <v>235</v>
      </c>
      <c r="BP88">
        <v>0.35</v>
      </c>
      <c r="BQ88">
        <v>0</v>
      </c>
      <c r="BR88" t="s">
        <v>235</v>
      </c>
      <c r="BT88" s="224" t="s">
        <v>235</v>
      </c>
      <c r="CJ88" s="25"/>
      <c r="CK88" s="25"/>
      <c r="CL88" s="25"/>
    </row>
    <row r="89" spans="2:90" x14ac:dyDescent="0.25">
      <c r="B89" s="148" t="s">
        <v>284</v>
      </c>
      <c r="C89" s="149" t="s">
        <v>132</v>
      </c>
      <c r="E89"/>
      <c r="AZ89" s="305" t="str">
        <f t="shared" si="26"/>
        <v>coho-NF Lewis</v>
      </c>
      <c r="BA89" s="149" t="s">
        <v>527</v>
      </c>
      <c r="BB89" s="306" t="s">
        <v>15</v>
      </c>
      <c r="BC89" s="149" t="s">
        <v>70</v>
      </c>
      <c r="BD89" s="306" t="s">
        <v>176</v>
      </c>
      <c r="BE89" s="306">
        <v>500</v>
      </c>
      <c r="BF89" s="149">
        <v>2012</v>
      </c>
      <c r="BG89" s="309">
        <v>545</v>
      </c>
      <c r="BH89" s="224">
        <v>43</v>
      </c>
      <c r="BJ89">
        <v>1999</v>
      </c>
      <c r="BK89" s="224" t="s">
        <v>668</v>
      </c>
      <c r="BL89" s="224" t="s">
        <v>235</v>
      </c>
      <c r="BM89" s="224" t="s">
        <v>235</v>
      </c>
      <c r="BN89" s="224" t="s">
        <v>235</v>
      </c>
      <c r="BO89" s="224" t="s">
        <v>235</v>
      </c>
      <c r="BP89">
        <v>0.35</v>
      </c>
      <c r="BQ89">
        <v>0</v>
      </c>
      <c r="BR89" t="s">
        <v>235</v>
      </c>
      <c r="BT89" s="224" t="s">
        <v>235</v>
      </c>
    </row>
    <row r="90" spans="2:90" x14ac:dyDescent="0.25">
      <c r="B90" s="148"/>
      <c r="C90" s="150" t="s">
        <v>9</v>
      </c>
      <c r="E90"/>
      <c r="AZ90" s="305" t="str">
        <f t="shared" si="26"/>
        <v>coho-NF Lewis</v>
      </c>
      <c r="BA90" s="149" t="s">
        <v>527</v>
      </c>
      <c r="BB90" s="306" t="s">
        <v>15</v>
      </c>
      <c r="BC90" s="149" t="s">
        <v>70</v>
      </c>
      <c r="BD90" s="306" t="s">
        <v>176</v>
      </c>
      <c r="BE90" s="306">
        <v>500</v>
      </c>
      <c r="BF90" s="149">
        <v>2013</v>
      </c>
      <c r="BG90" s="309">
        <v>662</v>
      </c>
      <c r="BH90" s="224">
        <v>240</v>
      </c>
      <c r="BJ90">
        <v>2000</v>
      </c>
      <c r="BK90" s="224" t="s">
        <v>586</v>
      </c>
      <c r="BL90" s="224" t="s">
        <v>235</v>
      </c>
      <c r="BM90" s="224" t="s">
        <v>235</v>
      </c>
      <c r="BN90" s="224" t="s">
        <v>235</v>
      </c>
      <c r="BO90" s="224" t="s">
        <v>235</v>
      </c>
      <c r="BP90">
        <v>0.39</v>
      </c>
      <c r="BQ90">
        <v>0</v>
      </c>
      <c r="BR90" t="s">
        <v>235</v>
      </c>
      <c r="BT90" s="224" t="s">
        <v>235</v>
      </c>
    </row>
    <row r="91" spans="2:90" x14ac:dyDescent="0.25">
      <c r="B91" s="148" t="s">
        <v>283</v>
      </c>
      <c r="C91" s="149" t="s">
        <v>132</v>
      </c>
      <c r="E91"/>
      <c r="S91">
        <v>1000</v>
      </c>
      <c r="AC91">
        <f>S92</f>
        <v>3500</v>
      </c>
      <c r="AZ91" s="305" t="str">
        <f t="shared" si="26"/>
        <v>coho-NF Lewis</v>
      </c>
      <c r="BA91" s="149" t="s">
        <v>527</v>
      </c>
      <c r="BB91" s="306" t="s">
        <v>15</v>
      </c>
      <c r="BC91" s="149" t="s">
        <v>70</v>
      </c>
      <c r="BD91" s="306" t="s">
        <v>176</v>
      </c>
      <c r="BE91" s="306">
        <v>500</v>
      </c>
      <c r="BF91" s="149">
        <v>2014</v>
      </c>
      <c r="BG91" s="309">
        <v>1016</v>
      </c>
      <c r="BH91" s="224">
        <v>319</v>
      </c>
      <c r="BJ91">
        <v>2001</v>
      </c>
      <c r="BK91" s="224" t="s">
        <v>584</v>
      </c>
      <c r="BL91" s="224" t="s">
        <v>235</v>
      </c>
      <c r="BM91" s="224" t="s">
        <v>235</v>
      </c>
      <c r="BN91" s="224" t="s">
        <v>235</v>
      </c>
      <c r="BO91" s="224" t="s">
        <v>235</v>
      </c>
      <c r="BP91">
        <v>0.44</v>
      </c>
      <c r="BQ91">
        <v>0</v>
      </c>
      <c r="BR91" t="s">
        <v>235</v>
      </c>
      <c r="BT91" s="224" t="s">
        <v>235</v>
      </c>
    </row>
    <row r="92" spans="2:90" x14ac:dyDescent="0.25">
      <c r="B92" s="148"/>
      <c r="C92" s="150" t="s">
        <v>9</v>
      </c>
      <c r="E92"/>
      <c r="S92">
        <v>3500</v>
      </c>
      <c r="AZ92" s="305" t="str">
        <f t="shared" si="26"/>
        <v>coho-NF Lewis</v>
      </c>
      <c r="BA92" s="149" t="s">
        <v>527</v>
      </c>
      <c r="BB92" s="306" t="s">
        <v>15</v>
      </c>
      <c r="BC92" s="149" t="s">
        <v>70</v>
      </c>
      <c r="BD92" s="306" t="s">
        <v>176</v>
      </c>
      <c r="BE92" s="306">
        <v>500</v>
      </c>
      <c r="BF92" s="149">
        <v>2015</v>
      </c>
      <c r="BG92" s="309">
        <v>160</v>
      </c>
      <c r="BH92" s="224">
        <v>45</v>
      </c>
      <c r="BJ92">
        <v>2002</v>
      </c>
      <c r="BK92" s="224" t="s">
        <v>584</v>
      </c>
      <c r="BL92">
        <v>0.86</v>
      </c>
      <c r="BM92">
        <v>0.9</v>
      </c>
      <c r="BN92">
        <v>0.22</v>
      </c>
      <c r="BO92">
        <v>0</v>
      </c>
      <c r="BP92">
        <v>0.56999999999999995</v>
      </c>
      <c r="BQ92">
        <v>0.56999999999999995</v>
      </c>
      <c r="BR92">
        <v>0.17</v>
      </c>
      <c r="BT92">
        <v>0.6</v>
      </c>
    </row>
    <row r="93" spans="2:90" x14ac:dyDescent="0.25">
      <c r="B93" s="148" t="s">
        <v>285</v>
      </c>
      <c r="C93" s="149" t="s">
        <v>132</v>
      </c>
      <c r="E93"/>
      <c r="AC93">
        <f>R95</f>
        <v>14000</v>
      </c>
      <c r="AZ93" s="305" t="str">
        <f t="shared" si="26"/>
        <v>coho-NF Lewis</v>
      </c>
      <c r="BA93" s="149" t="s">
        <v>527</v>
      </c>
      <c r="BB93" s="306" t="s">
        <v>15</v>
      </c>
      <c r="BC93" s="149" t="s">
        <v>70</v>
      </c>
      <c r="BD93" s="306" t="s">
        <v>176</v>
      </c>
      <c r="BE93" s="306">
        <v>500</v>
      </c>
      <c r="BF93" s="149">
        <v>2016</v>
      </c>
      <c r="BG93" s="309">
        <v>427</v>
      </c>
      <c r="BH93" s="224">
        <v>140</v>
      </c>
      <c r="BJ93">
        <v>2003</v>
      </c>
      <c r="BK93" s="224" t="s">
        <v>584</v>
      </c>
      <c r="BL93">
        <v>0.86</v>
      </c>
      <c r="BM93">
        <v>0.4</v>
      </c>
      <c r="BN93">
        <v>0</v>
      </c>
      <c r="BO93">
        <v>0.1</v>
      </c>
      <c r="BP93">
        <v>0.1</v>
      </c>
      <c r="BQ93">
        <v>0</v>
      </c>
    </row>
    <row r="94" spans="2:90" x14ac:dyDescent="0.25">
      <c r="B94" s="148"/>
      <c r="C94" s="149"/>
      <c r="E94"/>
      <c r="AZ94" s="305"/>
      <c r="BA94" s="149"/>
      <c r="BB94" s="306"/>
      <c r="BC94" s="149"/>
      <c r="BD94" s="306"/>
      <c r="BE94" s="306"/>
      <c r="BF94" s="17" t="s">
        <v>532</v>
      </c>
      <c r="BG94" s="310">
        <f>GEOMEAN(BG87:BG93)</f>
        <v>630.23492946159593</v>
      </c>
      <c r="BH94" s="410" t="s">
        <v>779</v>
      </c>
      <c r="BI94" s="411">
        <f>AVERAGE(BH87:BH93)</f>
        <v>147.14285714285714</v>
      </c>
      <c r="BJ94">
        <v>2004</v>
      </c>
      <c r="BK94" s="224" t="s">
        <v>585</v>
      </c>
      <c r="BL94">
        <v>0.86</v>
      </c>
      <c r="BM94">
        <v>0.7</v>
      </c>
      <c r="BN94">
        <v>0</v>
      </c>
      <c r="BO94">
        <v>0.08</v>
      </c>
      <c r="BP94">
        <v>0.16</v>
      </c>
      <c r="BQ94">
        <v>0.1</v>
      </c>
    </row>
    <row r="95" spans="2:90" x14ac:dyDescent="0.25">
      <c r="B95" s="148"/>
      <c r="C95" s="150" t="s">
        <v>9</v>
      </c>
      <c r="E95">
        <v>2753</v>
      </c>
      <c r="R95">
        <v>14000</v>
      </c>
      <c r="AZ95" s="305" t="str">
        <f t="shared" si="26"/>
        <v>coho-EF Lewis</v>
      </c>
      <c r="BA95" s="149" t="s">
        <v>527</v>
      </c>
      <c r="BB95" s="306" t="s">
        <v>15</v>
      </c>
      <c r="BC95" s="149" t="s">
        <v>71</v>
      </c>
      <c r="BD95" s="306" t="s">
        <v>174</v>
      </c>
      <c r="BE95" s="306">
        <v>2000</v>
      </c>
      <c r="BF95" s="149">
        <v>2010</v>
      </c>
      <c r="BG95" s="309">
        <v>1031</v>
      </c>
      <c r="BH95" s="224">
        <v>346</v>
      </c>
      <c r="BJ95">
        <v>2005</v>
      </c>
      <c r="BK95" s="224" t="s">
        <v>585</v>
      </c>
      <c r="BL95">
        <v>0.75</v>
      </c>
      <c r="BM95">
        <v>0.36</v>
      </c>
      <c r="BN95">
        <v>0.01</v>
      </c>
      <c r="BO95">
        <v>0</v>
      </c>
      <c r="BP95">
        <v>0.28000000000000003</v>
      </c>
      <c r="BQ95">
        <v>0</v>
      </c>
      <c r="BR95">
        <v>0.85</v>
      </c>
      <c r="BT95">
        <v>0.45</v>
      </c>
    </row>
    <row r="96" spans="2:90" x14ac:dyDescent="0.25">
      <c r="B96" s="148" t="s">
        <v>17</v>
      </c>
      <c r="C96" s="149" t="s">
        <v>132</v>
      </c>
      <c r="E96"/>
      <c r="AZ96" s="305" t="str">
        <f t="shared" si="26"/>
        <v>coho-EF Lewis</v>
      </c>
      <c r="BA96" s="149" t="s">
        <v>527</v>
      </c>
      <c r="BB96" s="306" t="s">
        <v>15</v>
      </c>
      <c r="BC96" s="149" t="s">
        <v>71</v>
      </c>
      <c r="BD96" s="306" t="s">
        <v>174</v>
      </c>
      <c r="BE96" s="306">
        <v>2000</v>
      </c>
      <c r="BF96" s="149">
        <v>2011</v>
      </c>
      <c r="BG96" s="309">
        <v>1160</v>
      </c>
      <c r="BH96" s="224">
        <v>90</v>
      </c>
      <c r="BJ96">
        <v>2006</v>
      </c>
      <c r="BK96" s="224" t="s">
        <v>586</v>
      </c>
      <c r="BL96">
        <v>0.84</v>
      </c>
      <c r="BN96">
        <v>0.1</v>
      </c>
      <c r="BO96">
        <v>0.05</v>
      </c>
      <c r="BP96">
        <v>0.76</v>
      </c>
      <c r="BR96">
        <v>0.7</v>
      </c>
      <c r="BT96">
        <v>0.48</v>
      </c>
    </row>
    <row r="97" spans="3:72" x14ac:dyDescent="0.25">
      <c r="C97" s="150" t="s">
        <v>9</v>
      </c>
      <c r="E97"/>
      <c r="R97">
        <v>20000</v>
      </c>
      <c r="AC97">
        <f>R97</f>
        <v>20000</v>
      </c>
      <c r="AZ97" s="305" t="str">
        <f t="shared" si="26"/>
        <v>coho-EF Lewis</v>
      </c>
      <c r="BA97" s="149" t="s">
        <v>527</v>
      </c>
      <c r="BB97" s="306" t="s">
        <v>15</v>
      </c>
      <c r="BC97" s="149" t="s">
        <v>71</v>
      </c>
      <c r="BD97" s="306" t="s">
        <v>174</v>
      </c>
      <c r="BE97" s="306">
        <v>2000</v>
      </c>
      <c r="BF97" s="149">
        <v>2012</v>
      </c>
      <c r="BG97" s="309">
        <v>1875</v>
      </c>
      <c r="BH97" s="224">
        <v>147</v>
      </c>
      <c r="BJ97">
        <v>2007</v>
      </c>
      <c r="BK97" s="224" t="s">
        <v>586</v>
      </c>
      <c r="BL97">
        <v>0.4</v>
      </c>
      <c r="BM97">
        <v>0.51</v>
      </c>
      <c r="BN97">
        <v>0.04</v>
      </c>
      <c r="BO97">
        <v>0</v>
      </c>
      <c r="BP97">
        <v>0.14000000000000001</v>
      </c>
      <c r="BQ97">
        <v>0.09</v>
      </c>
      <c r="BR97">
        <v>0.67</v>
      </c>
      <c r="BT97">
        <v>0.45</v>
      </c>
    </row>
    <row r="98" spans="3:72" x14ac:dyDescent="0.25">
      <c r="AZ98" s="305" t="str">
        <f t="shared" si="26"/>
        <v>coho-EF Lewis</v>
      </c>
      <c r="BA98" s="149" t="s">
        <v>527</v>
      </c>
      <c r="BB98" s="306" t="s">
        <v>15</v>
      </c>
      <c r="BC98" s="149" t="s">
        <v>71</v>
      </c>
      <c r="BD98" s="306" t="s">
        <v>174</v>
      </c>
      <c r="BE98" s="306">
        <v>2000</v>
      </c>
      <c r="BF98" s="149">
        <v>2013</v>
      </c>
      <c r="BG98" s="309">
        <v>1811</v>
      </c>
      <c r="BH98" s="224">
        <v>183</v>
      </c>
      <c r="BJ98">
        <v>2008</v>
      </c>
      <c r="BK98" s="224" t="s">
        <v>585</v>
      </c>
      <c r="BL98">
        <v>0.22</v>
      </c>
      <c r="BM98">
        <v>0.15</v>
      </c>
      <c r="BN98">
        <v>0</v>
      </c>
      <c r="BO98">
        <v>0</v>
      </c>
      <c r="BP98">
        <v>0.45</v>
      </c>
      <c r="BQ98">
        <v>0</v>
      </c>
      <c r="BR98">
        <v>0.46</v>
      </c>
      <c r="BT98">
        <v>0.28999999999999998</v>
      </c>
    </row>
    <row r="99" spans="3:72" x14ac:dyDescent="0.25">
      <c r="AZ99" s="305" t="str">
        <f t="shared" si="26"/>
        <v>coho-EF Lewis</v>
      </c>
      <c r="BA99" s="149" t="s">
        <v>527</v>
      </c>
      <c r="BB99" s="306" t="s">
        <v>15</v>
      </c>
      <c r="BC99" s="149" t="s">
        <v>71</v>
      </c>
      <c r="BD99" s="306" t="s">
        <v>174</v>
      </c>
      <c r="BE99" s="306">
        <v>2000</v>
      </c>
      <c r="BF99" s="149">
        <v>2014</v>
      </c>
      <c r="BG99" s="309">
        <v>2472</v>
      </c>
      <c r="BH99" s="224">
        <v>557</v>
      </c>
      <c r="BJ99">
        <v>2009</v>
      </c>
      <c r="BK99" s="224" t="s">
        <v>584</v>
      </c>
      <c r="BL99">
        <v>0.92</v>
      </c>
      <c r="BM99">
        <v>0.54</v>
      </c>
      <c r="BN99">
        <v>0.01</v>
      </c>
      <c r="BO99">
        <v>0</v>
      </c>
      <c r="BP99">
        <v>0.27</v>
      </c>
      <c r="BQ99">
        <v>0.1</v>
      </c>
      <c r="BR99">
        <v>0.28999999999999998</v>
      </c>
    </row>
    <row r="100" spans="3:72" x14ac:dyDescent="0.25">
      <c r="AZ100" s="305" t="str">
        <f t="shared" si="26"/>
        <v>coho-EF Lewis</v>
      </c>
      <c r="BA100" s="149" t="s">
        <v>527</v>
      </c>
      <c r="BB100" s="306" t="s">
        <v>15</v>
      </c>
      <c r="BC100" s="149" t="s">
        <v>71</v>
      </c>
      <c r="BD100" s="306" t="s">
        <v>174</v>
      </c>
      <c r="BE100" s="306">
        <v>2000</v>
      </c>
      <c r="BF100" s="149">
        <v>2015</v>
      </c>
      <c r="BG100" s="309">
        <v>212</v>
      </c>
      <c r="BH100" s="224">
        <v>82</v>
      </c>
      <c r="BJ100">
        <v>2010</v>
      </c>
      <c r="BK100" s="224" t="s">
        <v>584</v>
      </c>
      <c r="BL100">
        <v>0.61</v>
      </c>
      <c r="BM100">
        <v>0.3</v>
      </c>
      <c r="BN100">
        <v>0.03</v>
      </c>
      <c r="BO100">
        <v>0</v>
      </c>
      <c r="BP100">
        <v>0.56000000000000005</v>
      </c>
      <c r="BQ100">
        <v>0.12</v>
      </c>
      <c r="BR100">
        <v>7.0000000000000007E-2</v>
      </c>
      <c r="BT100">
        <v>0.85</v>
      </c>
    </row>
    <row r="101" spans="3:72" x14ac:dyDescent="0.25">
      <c r="AZ101" s="305" t="str">
        <f t="shared" si="26"/>
        <v>coho-EF Lewis</v>
      </c>
      <c r="BA101" s="149" t="s">
        <v>527</v>
      </c>
      <c r="BB101" s="306" t="s">
        <v>15</v>
      </c>
      <c r="BC101" s="149" t="s">
        <v>71</v>
      </c>
      <c r="BD101" s="306" t="s">
        <v>174</v>
      </c>
      <c r="BE101" s="306">
        <v>2000</v>
      </c>
      <c r="BF101" s="149">
        <v>2016</v>
      </c>
      <c r="BG101" s="309">
        <v>246</v>
      </c>
      <c r="BH101" s="224">
        <v>346</v>
      </c>
      <c r="BJ101">
        <v>2011</v>
      </c>
      <c r="BK101" s="224" t="s">
        <v>584</v>
      </c>
      <c r="BL101">
        <v>0.66</v>
      </c>
      <c r="BM101">
        <v>0.52</v>
      </c>
      <c r="BN101">
        <v>0.01</v>
      </c>
      <c r="BO101">
        <v>0</v>
      </c>
      <c r="BP101">
        <v>0.1</v>
      </c>
      <c r="BQ101">
        <v>0.08</v>
      </c>
      <c r="BR101">
        <v>0.54</v>
      </c>
      <c r="BT101">
        <v>0.69</v>
      </c>
    </row>
    <row r="102" spans="3:72" x14ac:dyDescent="0.25">
      <c r="AZ102" s="305"/>
      <c r="BA102" s="149"/>
      <c r="BB102" s="306"/>
      <c r="BC102" s="149"/>
      <c r="BD102" s="306"/>
      <c r="BE102" s="306"/>
      <c r="BF102" s="17" t="s">
        <v>532</v>
      </c>
      <c r="BG102" s="310">
        <f>GEOMEAN(BG95:BG101)</f>
        <v>911.69763914955763</v>
      </c>
      <c r="BH102" s="410" t="s">
        <v>779</v>
      </c>
      <c r="BI102" s="411">
        <f>AVERAGE(BH95:BH101)</f>
        <v>250.14285714285714</v>
      </c>
      <c r="BJ102">
        <v>2012</v>
      </c>
      <c r="BK102" s="224" t="s">
        <v>585</v>
      </c>
      <c r="BL102">
        <v>0.47</v>
      </c>
      <c r="BM102">
        <v>0.21</v>
      </c>
      <c r="BN102">
        <v>0.11</v>
      </c>
      <c r="BO102">
        <v>0</v>
      </c>
      <c r="BP102">
        <v>0.1</v>
      </c>
      <c r="BQ102">
        <v>0.03</v>
      </c>
      <c r="BR102">
        <v>0.56000000000000005</v>
      </c>
      <c r="BT102">
        <v>0.78</v>
      </c>
    </row>
    <row r="103" spans="3:72" x14ac:dyDescent="0.25">
      <c r="AZ103" s="305" t="str">
        <f t="shared" si="26"/>
        <v>coho-Salmon</v>
      </c>
      <c r="BA103" s="149" t="s">
        <v>527</v>
      </c>
      <c r="BB103" s="306" t="s">
        <v>15</v>
      </c>
      <c r="BC103" s="149" t="s">
        <v>17</v>
      </c>
      <c r="BD103" s="306" t="s">
        <v>172</v>
      </c>
      <c r="BE103" s="306" t="s">
        <v>179</v>
      </c>
      <c r="BF103" s="149">
        <v>2010</v>
      </c>
      <c r="BG103" s="309">
        <v>2133</v>
      </c>
      <c r="BH103" s="224">
        <v>193</v>
      </c>
      <c r="BJ103">
        <v>2013</v>
      </c>
      <c r="BK103" s="224" t="s">
        <v>585</v>
      </c>
      <c r="BN103">
        <v>0.11</v>
      </c>
      <c r="BO103">
        <v>0</v>
      </c>
      <c r="BP103">
        <v>0.01</v>
      </c>
      <c r="BQ103">
        <v>0.12</v>
      </c>
      <c r="BR103">
        <v>0.06</v>
      </c>
      <c r="BT103">
        <v>0.65</v>
      </c>
    </row>
    <row r="104" spans="3:72" x14ac:dyDescent="0.25">
      <c r="AZ104" s="305" t="str">
        <f t="shared" si="26"/>
        <v>coho-Salmon</v>
      </c>
      <c r="BA104" s="149" t="s">
        <v>527</v>
      </c>
      <c r="BB104" s="306" t="s">
        <v>15</v>
      </c>
      <c r="BC104" s="149" t="s">
        <v>17</v>
      </c>
      <c r="BD104" s="306" t="s">
        <v>172</v>
      </c>
      <c r="BE104" s="306" t="s">
        <v>179</v>
      </c>
      <c r="BF104" s="149">
        <v>2011</v>
      </c>
      <c r="BG104" s="309">
        <v>1473</v>
      </c>
      <c r="BH104" s="224">
        <v>72</v>
      </c>
      <c r="BJ104">
        <v>2014</v>
      </c>
      <c r="BK104" s="224" t="s">
        <v>584</v>
      </c>
      <c r="BN104">
        <v>0.04</v>
      </c>
      <c r="BO104">
        <v>0</v>
      </c>
      <c r="BP104">
        <v>0.14000000000000001</v>
      </c>
      <c r="BQ104">
        <v>0.03</v>
      </c>
      <c r="BR104">
        <v>0.51</v>
      </c>
      <c r="BT104">
        <v>0.76</v>
      </c>
    </row>
    <row r="105" spans="3:72" x14ac:dyDescent="0.25">
      <c r="AZ105" s="305" t="str">
        <f t="shared" si="26"/>
        <v>coho-Salmon</v>
      </c>
      <c r="BA105" s="149" t="s">
        <v>527</v>
      </c>
      <c r="BB105" s="306" t="s">
        <v>15</v>
      </c>
      <c r="BC105" s="149" t="s">
        <v>17</v>
      </c>
      <c r="BD105" s="306" t="s">
        <v>172</v>
      </c>
      <c r="BE105" s="306" t="s">
        <v>179</v>
      </c>
      <c r="BF105" s="149">
        <v>2012</v>
      </c>
      <c r="BG105" s="309">
        <v>868</v>
      </c>
      <c r="BH105" s="224">
        <v>40</v>
      </c>
      <c r="BJ105">
        <v>2015</v>
      </c>
      <c r="BK105" s="224" t="s">
        <v>586</v>
      </c>
      <c r="BN105">
        <v>0.04</v>
      </c>
      <c r="BO105">
        <v>0</v>
      </c>
      <c r="BP105">
        <v>0.11</v>
      </c>
      <c r="BQ105">
        <v>0.04</v>
      </c>
      <c r="BR105">
        <v>0.38</v>
      </c>
      <c r="BT105">
        <v>0.64</v>
      </c>
    </row>
    <row r="106" spans="3:72" x14ac:dyDescent="0.25">
      <c r="AZ106" s="305" t="str">
        <f t="shared" si="26"/>
        <v>coho-Salmon</v>
      </c>
      <c r="BA106" s="149" t="s">
        <v>527</v>
      </c>
      <c r="BB106" s="306" t="s">
        <v>15</v>
      </c>
      <c r="BC106" s="149" t="s">
        <v>17</v>
      </c>
      <c r="BD106" s="306" t="s">
        <v>172</v>
      </c>
      <c r="BE106" s="306" t="s">
        <v>179</v>
      </c>
      <c r="BF106" s="149">
        <v>2013</v>
      </c>
      <c r="BG106" s="309">
        <v>1096</v>
      </c>
      <c r="BH106" s="224">
        <v>23</v>
      </c>
      <c r="BJ106">
        <v>2016</v>
      </c>
      <c r="BK106" s="224" t="s">
        <v>585</v>
      </c>
      <c r="BN106">
        <v>0.06</v>
      </c>
      <c r="BO106">
        <v>0.03</v>
      </c>
      <c r="BP106">
        <v>0.09</v>
      </c>
      <c r="BQ106">
        <v>0.03</v>
      </c>
      <c r="BR106">
        <v>7.0000000000000007E-2</v>
      </c>
      <c r="BT106">
        <v>0.65</v>
      </c>
    </row>
    <row r="107" spans="3:72" x14ac:dyDescent="0.25">
      <c r="AZ107" s="305" t="str">
        <f t="shared" si="26"/>
        <v>coho-Salmon</v>
      </c>
      <c r="BA107" s="149" t="s">
        <v>527</v>
      </c>
      <c r="BB107" s="306" t="s">
        <v>15</v>
      </c>
      <c r="BC107" s="149" t="s">
        <v>17</v>
      </c>
      <c r="BD107" s="306" t="s">
        <v>172</v>
      </c>
      <c r="BE107" s="306" t="s">
        <v>179</v>
      </c>
      <c r="BF107" s="149">
        <v>2014</v>
      </c>
      <c r="BG107" s="309">
        <v>2790</v>
      </c>
      <c r="BH107" s="224">
        <v>28</v>
      </c>
      <c r="BJ107">
        <v>2017</v>
      </c>
      <c r="BK107" s="224" t="s">
        <v>235</v>
      </c>
      <c r="BN107">
        <v>0.19</v>
      </c>
      <c r="BO107">
        <v>0.02</v>
      </c>
      <c r="BP107">
        <v>0.12</v>
      </c>
      <c r="BQ107">
        <v>0</v>
      </c>
    </row>
    <row r="108" spans="3:72" x14ac:dyDescent="0.25">
      <c r="AZ108" s="305" t="str">
        <f t="shared" si="26"/>
        <v>coho-Salmon</v>
      </c>
      <c r="BA108" s="149" t="s">
        <v>527</v>
      </c>
      <c r="BB108" s="306" t="s">
        <v>15</v>
      </c>
      <c r="BC108" s="149" t="s">
        <v>17</v>
      </c>
      <c r="BD108" s="306" t="s">
        <v>172</v>
      </c>
      <c r="BE108" s="306" t="s">
        <v>179</v>
      </c>
      <c r="BF108" s="149">
        <v>2015</v>
      </c>
      <c r="BG108" s="309">
        <v>474</v>
      </c>
      <c r="BH108" s="224">
        <v>10</v>
      </c>
      <c r="BJ108">
        <v>2018</v>
      </c>
      <c r="BK108" s="224" t="s">
        <v>235</v>
      </c>
      <c r="BL108" s="224" t="s">
        <v>235</v>
      </c>
      <c r="BM108" s="224" t="s">
        <v>235</v>
      </c>
      <c r="BN108" s="224" t="s">
        <v>235</v>
      </c>
      <c r="BO108" s="224" t="s">
        <v>235</v>
      </c>
      <c r="BP108" s="224" t="s">
        <v>235</v>
      </c>
      <c r="BQ108" s="224" t="s">
        <v>235</v>
      </c>
      <c r="BR108" s="224" t="s">
        <v>235</v>
      </c>
      <c r="BS108" s="224"/>
      <c r="BT108" s="224" t="s">
        <v>235</v>
      </c>
    </row>
    <row r="109" spans="3:72" x14ac:dyDescent="0.25">
      <c r="AZ109" s="305" t="str">
        <f t="shared" si="26"/>
        <v>coho-Salmon</v>
      </c>
      <c r="BA109" s="149" t="s">
        <v>527</v>
      </c>
      <c r="BB109" s="306" t="s">
        <v>15</v>
      </c>
      <c r="BC109" s="149" t="s">
        <v>17</v>
      </c>
      <c r="BD109" s="306" t="s">
        <v>172</v>
      </c>
      <c r="BE109" s="306" t="s">
        <v>179</v>
      </c>
      <c r="BF109" s="149">
        <v>2016</v>
      </c>
      <c r="BG109" s="309">
        <v>1169</v>
      </c>
      <c r="BH109" s="224">
        <v>27</v>
      </c>
      <c r="BK109" s="224"/>
      <c r="BL109" s="224"/>
      <c r="BM109" s="224"/>
      <c r="BN109" s="224"/>
      <c r="BO109" s="224"/>
      <c r="BP109" s="224"/>
      <c r="BQ109" s="224"/>
      <c r="BR109" s="224">
        <f>AVERAGE(BR97:BR106)</f>
        <v>0.36099999999999999</v>
      </c>
      <c r="BS109" s="224"/>
      <c r="BT109" s="224"/>
    </row>
    <row r="110" spans="3:72" x14ac:dyDescent="0.25">
      <c r="AZ110" s="305"/>
      <c r="BA110" s="149"/>
      <c r="BB110" s="306"/>
      <c r="BC110" s="149"/>
      <c r="BD110" s="306"/>
      <c r="BE110" s="306"/>
      <c r="BF110" s="17" t="s">
        <v>532</v>
      </c>
      <c r="BG110" s="310">
        <f>GEOMEAN(BG103:BG109)</f>
        <v>1244.4003768613484</v>
      </c>
      <c r="BH110" s="410" t="s">
        <v>779</v>
      </c>
      <c r="BI110" s="411">
        <f>AVERAGE(BH103:BH109)</f>
        <v>56.142857142857146</v>
      </c>
      <c r="BJ110" s="25" t="s">
        <v>480</v>
      </c>
      <c r="BK110" s="337"/>
      <c r="BL110" s="337"/>
      <c r="BM110" s="337">
        <f>AVERAGE(BM92:BM102)</f>
        <v>0.45899999999999996</v>
      </c>
      <c r="BN110" s="337"/>
      <c r="BO110" s="337"/>
      <c r="BP110" s="337"/>
      <c r="BQ110" s="337"/>
      <c r="BR110" s="337"/>
      <c r="BS110" s="337"/>
      <c r="BT110" s="337">
        <f>AVERAGE(BT95:BT106)</f>
        <v>0.60818181818181827</v>
      </c>
    </row>
    <row r="111" spans="3:72" x14ac:dyDescent="0.25">
      <c r="AZ111" s="305" t="str">
        <f t="shared" si="26"/>
        <v>coho-Washougal</v>
      </c>
      <c r="BA111" s="149" t="s">
        <v>527</v>
      </c>
      <c r="BB111" s="306" t="s">
        <v>15</v>
      </c>
      <c r="BC111" s="149" t="s">
        <v>53</v>
      </c>
      <c r="BD111" s="306" t="s">
        <v>176</v>
      </c>
      <c r="BE111" s="306">
        <v>1500</v>
      </c>
      <c r="BF111" s="149">
        <v>2010</v>
      </c>
      <c r="BG111" s="309">
        <v>645</v>
      </c>
      <c r="BH111" s="224">
        <v>429</v>
      </c>
      <c r="BK111" s="224"/>
      <c r="BL111" s="224"/>
      <c r="BM111" s="224"/>
      <c r="BN111" s="224"/>
      <c r="BO111" s="224"/>
      <c r="BP111" s="224"/>
      <c r="BQ111" s="224"/>
      <c r="BR111" s="224"/>
      <c r="BS111" s="224"/>
      <c r="BT111" s="224"/>
    </row>
    <row r="112" spans="3:72" x14ac:dyDescent="0.25">
      <c r="AZ112" s="305" t="str">
        <f t="shared" si="26"/>
        <v>coho-Washougal</v>
      </c>
      <c r="BA112" s="149" t="s">
        <v>527</v>
      </c>
      <c r="BB112" s="306" t="s">
        <v>15</v>
      </c>
      <c r="BC112" s="149" t="s">
        <v>53</v>
      </c>
      <c r="BD112" s="306" t="s">
        <v>176</v>
      </c>
      <c r="BE112" s="306">
        <v>1500</v>
      </c>
      <c r="BF112" s="149">
        <v>2011</v>
      </c>
      <c r="BG112" s="309">
        <v>707</v>
      </c>
      <c r="BH112" s="224">
        <v>100</v>
      </c>
    </row>
    <row r="113" spans="40:72" x14ac:dyDescent="0.25">
      <c r="AZ113" s="305" t="str">
        <f t="shared" si="26"/>
        <v>coho-Washougal</v>
      </c>
      <c r="BA113" s="149" t="s">
        <v>527</v>
      </c>
      <c r="BB113" s="306" t="s">
        <v>15</v>
      </c>
      <c r="BC113" s="149" t="s">
        <v>53</v>
      </c>
      <c r="BD113" s="306" t="s">
        <v>176</v>
      </c>
      <c r="BE113" s="306">
        <v>1500</v>
      </c>
      <c r="BF113" s="149">
        <v>2012</v>
      </c>
      <c r="BG113" s="309">
        <v>376</v>
      </c>
      <c r="BH113" s="224">
        <v>61</v>
      </c>
      <c r="BJ113" s="25" t="s">
        <v>773</v>
      </c>
      <c r="BK113" s="25"/>
      <c r="BL113" s="25"/>
      <c r="BM113" s="25"/>
      <c r="BN113" s="25"/>
      <c r="BO113" s="25"/>
      <c r="BP113" s="25"/>
      <c r="BQ113" s="25"/>
      <c r="BR113" s="25"/>
      <c r="BS113" s="25"/>
      <c r="BT113" s="25"/>
    </row>
    <row r="114" spans="40:72" x14ac:dyDescent="0.25">
      <c r="AZ114" s="305" t="str">
        <f t="shared" si="26"/>
        <v>coho-Washougal</v>
      </c>
      <c r="BA114" s="149" t="s">
        <v>527</v>
      </c>
      <c r="BB114" s="306" t="s">
        <v>15</v>
      </c>
      <c r="BC114" s="149" t="s">
        <v>53</v>
      </c>
      <c r="BD114" s="306" t="s">
        <v>176</v>
      </c>
      <c r="BE114" s="306">
        <v>1500</v>
      </c>
      <c r="BF114" s="149">
        <v>2013</v>
      </c>
      <c r="BG114" s="309">
        <v>424</v>
      </c>
      <c r="BH114" s="224">
        <v>221</v>
      </c>
      <c r="BJ114" s="224" t="s">
        <v>199</v>
      </c>
      <c r="BK114" s="224" t="s">
        <v>208</v>
      </c>
      <c r="BL114" s="224" t="s">
        <v>61</v>
      </c>
      <c r="BM114" s="224" t="s">
        <v>505</v>
      </c>
      <c r="BN114" s="224" t="s">
        <v>62</v>
      </c>
      <c r="BO114" s="224" t="s">
        <v>245</v>
      </c>
      <c r="BP114" s="224" t="s">
        <v>73</v>
      </c>
      <c r="BQ114" s="224" t="s">
        <v>72</v>
      </c>
      <c r="BR114" s="224" t="s">
        <v>580</v>
      </c>
      <c r="BS114" s="643" t="s">
        <v>545</v>
      </c>
      <c r="BT114" s="643"/>
    </row>
    <row r="115" spans="40:72" x14ac:dyDescent="0.25">
      <c r="AZ115" s="305" t="str">
        <f t="shared" si="26"/>
        <v>coho-Washougal</v>
      </c>
      <c r="BA115" s="149" t="s">
        <v>527</v>
      </c>
      <c r="BB115" s="306" t="s">
        <v>15</v>
      </c>
      <c r="BC115" s="149" t="s">
        <v>53</v>
      </c>
      <c r="BD115" s="306" t="s">
        <v>176</v>
      </c>
      <c r="BE115" s="306">
        <v>1500</v>
      </c>
      <c r="BF115" s="149">
        <v>2014</v>
      </c>
      <c r="BG115" s="309">
        <v>477</v>
      </c>
      <c r="BH115" s="224">
        <v>1176</v>
      </c>
      <c r="BJ115" s="337" t="s">
        <v>581</v>
      </c>
      <c r="BK115" s="337" t="s">
        <v>582</v>
      </c>
      <c r="BL115" s="337" t="s">
        <v>770</v>
      </c>
      <c r="BM115" s="337" t="s">
        <v>770</v>
      </c>
      <c r="BN115" s="337" t="s">
        <v>770</v>
      </c>
      <c r="BO115" s="337" t="s">
        <v>770</v>
      </c>
      <c r="BP115" s="337" t="s">
        <v>770</v>
      </c>
      <c r="BQ115" s="337" t="s">
        <v>770</v>
      </c>
      <c r="BR115" s="337" t="s">
        <v>770</v>
      </c>
      <c r="BS115" s="642" t="s">
        <v>770</v>
      </c>
      <c r="BT115" s="642"/>
    </row>
    <row r="116" spans="40:72" x14ac:dyDescent="0.25">
      <c r="AZ116" s="305" t="str">
        <f t="shared" si="26"/>
        <v>coho-Washougal</v>
      </c>
      <c r="BA116" s="149" t="s">
        <v>527</v>
      </c>
      <c r="BB116" s="306" t="s">
        <v>15</v>
      </c>
      <c r="BC116" s="149" t="s">
        <v>53</v>
      </c>
      <c r="BD116" s="306" t="s">
        <v>176</v>
      </c>
      <c r="BE116" s="306">
        <v>1500</v>
      </c>
      <c r="BF116" s="149">
        <v>2015</v>
      </c>
      <c r="BG116" s="309">
        <v>70</v>
      </c>
      <c r="BH116" s="224">
        <v>171</v>
      </c>
      <c r="BJ116">
        <v>1992</v>
      </c>
      <c r="BK116" s="224" t="s">
        <v>235</v>
      </c>
      <c r="BL116" s="130"/>
      <c r="BM116" s="130"/>
      <c r="BN116" s="130"/>
      <c r="BO116" s="130"/>
      <c r="BP116" s="130">
        <f t="shared" ref="BP116:BQ129" si="27">BP7/(1-BP82)</f>
        <v>7486.1538461538457</v>
      </c>
      <c r="BQ116" s="130">
        <f t="shared" si="27"/>
        <v>790</v>
      </c>
      <c r="BR116" s="130"/>
      <c r="BS116" s="130"/>
      <c r="BT116" s="130"/>
    </row>
    <row r="117" spans="40:72" x14ac:dyDescent="0.25">
      <c r="AZ117" s="305" t="str">
        <f t="shared" si="26"/>
        <v>coho-Washougal</v>
      </c>
      <c r="BA117" s="149" t="s">
        <v>527</v>
      </c>
      <c r="BB117" s="306" t="s">
        <v>15</v>
      </c>
      <c r="BC117" s="149" t="s">
        <v>53</v>
      </c>
      <c r="BD117" s="306" t="s">
        <v>176</v>
      </c>
      <c r="BE117" s="306">
        <v>1500</v>
      </c>
      <c r="BF117" s="149">
        <v>2016</v>
      </c>
      <c r="BG117" s="309">
        <v>178</v>
      </c>
      <c r="BH117" s="224">
        <v>542</v>
      </c>
      <c r="BJ117">
        <v>1993</v>
      </c>
      <c r="BK117" s="224" t="s">
        <v>235</v>
      </c>
      <c r="BL117" s="130"/>
      <c r="BM117" s="130"/>
      <c r="BN117" s="130"/>
      <c r="BO117" s="130"/>
      <c r="BP117" s="130">
        <f t="shared" ref="BP117" si="28">BP8/(1-BP83)</f>
        <v>361.53846153846155</v>
      </c>
      <c r="BQ117" s="130">
        <f t="shared" si="27"/>
        <v>193</v>
      </c>
      <c r="BR117" s="130"/>
      <c r="BS117" s="130"/>
      <c r="BT117" s="130"/>
    </row>
    <row r="118" spans="40:72" x14ac:dyDescent="0.25">
      <c r="BF118" s="17" t="s">
        <v>532</v>
      </c>
      <c r="BG118" s="312">
        <f>GEOMEAN(BG111:BG117)</f>
        <v>330.64886472458727</v>
      </c>
      <c r="BH118" s="410" t="s">
        <v>779</v>
      </c>
      <c r="BI118" s="411">
        <f>AVERAGE(BH111:BH117)</f>
        <v>385.71428571428572</v>
      </c>
      <c r="BJ118">
        <v>1994</v>
      </c>
      <c r="BK118" s="224" t="s">
        <v>668</v>
      </c>
      <c r="BL118" s="130"/>
      <c r="BM118" s="130"/>
      <c r="BN118" s="130"/>
      <c r="BO118" s="130"/>
      <c r="BP118" s="130">
        <f t="shared" ref="BP118" si="29">BP9/(1-BP84)</f>
        <v>6209.2307692307686</v>
      </c>
      <c r="BQ118" s="130">
        <f t="shared" si="27"/>
        <v>601</v>
      </c>
      <c r="BR118" s="130"/>
      <c r="BS118" s="130"/>
      <c r="BT118" s="130"/>
    </row>
    <row r="119" spans="40:72" x14ac:dyDescent="0.25">
      <c r="BJ119">
        <v>1995</v>
      </c>
      <c r="BK119" s="224" t="s">
        <v>668</v>
      </c>
      <c r="BL119" s="130"/>
      <c r="BM119" s="130"/>
      <c r="BN119" s="130"/>
      <c r="BO119" s="130"/>
      <c r="BP119" s="130">
        <f t="shared" ref="BP119" si="30">BP10/(1-BP85)</f>
        <v>4387.6923076923076</v>
      </c>
      <c r="BQ119" s="130">
        <f t="shared" si="27"/>
        <v>697</v>
      </c>
      <c r="BR119" s="130"/>
      <c r="BS119" s="130"/>
      <c r="BT119" s="130"/>
    </row>
    <row r="120" spans="40:72" ht="15.75" thickBot="1" x14ac:dyDescent="0.3">
      <c r="AN120" t="s">
        <v>11</v>
      </c>
      <c r="AS120" t="s">
        <v>64</v>
      </c>
      <c r="BH120" s="17" t="s">
        <v>379</v>
      </c>
      <c r="BI120" s="411">
        <f>SUM(BI14:BI118)</f>
        <v>20447.428571428572</v>
      </c>
      <c r="BJ120">
        <v>1996</v>
      </c>
      <c r="BK120" s="224" t="s">
        <v>668</v>
      </c>
      <c r="BL120" s="130"/>
      <c r="BM120" s="130"/>
      <c r="BN120" s="130"/>
      <c r="BO120" s="130"/>
      <c r="BP120" s="130">
        <f t="shared" ref="BP120" si="31">BP11/(1-BP86)</f>
        <v>184.61538461538461</v>
      </c>
      <c r="BQ120" s="130">
        <f t="shared" si="27"/>
        <v>180</v>
      </c>
      <c r="BR120" s="130"/>
      <c r="BS120" s="130"/>
      <c r="BT120" s="130"/>
    </row>
    <row r="121" spans="40:72" ht="53.25" thickBot="1" x14ac:dyDescent="0.3">
      <c r="AN121" s="582" t="s">
        <v>387</v>
      </c>
      <c r="AO121" s="577" t="s">
        <v>1151</v>
      </c>
      <c r="AP121" s="577" t="s">
        <v>1152</v>
      </c>
      <c r="AQ121" s="577" t="s">
        <v>1153</v>
      </c>
      <c r="AS121" s="582" t="s">
        <v>387</v>
      </c>
      <c r="AT121" s="577" t="s">
        <v>1151</v>
      </c>
      <c r="AU121" s="577" t="s">
        <v>1152</v>
      </c>
      <c r="AV121" s="577" t="s">
        <v>1153</v>
      </c>
      <c r="BJ121">
        <v>1997</v>
      </c>
      <c r="BK121" s="224" t="s">
        <v>668</v>
      </c>
      <c r="BL121" s="130"/>
      <c r="BM121" s="130"/>
      <c r="BN121" s="130"/>
      <c r="BO121" s="130"/>
      <c r="BP121" s="130">
        <f t="shared" ref="BP121" si="32">BP12/(1-BP87)</f>
        <v>2916.9230769230767</v>
      </c>
      <c r="BQ121" s="130">
        <f t="shared" si="27"/>
        <v>116</v>
      </c>
      <c r="BR121" s="130"/>
      <c r="BS121" s="130"/>
      <c r="BT121" s="130"/>
    </row>
    <row r="122" spans="40:72" ht="15.75" thickBot="1" x14ac:dyDescent="0.3">
      <c r="AN122" s="583">
        <v>2010</v>
      </c>
      <c r="AO122" s="578">
        <v>269</v>
      </c>
      <c r="AP122" s="579">
        <v>1320</v>
      </c>
      <c r="AQ122" s="578">
        <v>269</v>
      </c>
      <c r="AR122" s="47">
        <f>AO122+AP122</f>
        <v>1589</v>
      </c>
      <c r="AS122" s="583">
        <v>2010</v>
      </c>
      <c r="AT122" s="579">
        <v>3199</v>
      </c>
      <c r="AU122" s="578">
        <v>300</v>
      </c>
      <c r="AV122" s="579">
        <v>3199</v>
      </c>
      <c r="AW122" s="47">
        <f>AT122+AU122</f>
        <v>3499</v>
      </c>
      <c r="BE122" s="224"/>
      <c r="BG122" s="224"/>
      <c r="BI122" s="224"/>
      <c r="BJ122">
        <v>1998</v>
      </c>
      <c r="BK122" s="224" t="s">
        <v>668</v>
      </c>
      <c r="BL122" s="130"/>
      <c r="BM122" s="130"/>
      <c r="BN122" s="130"/>
      <c r="BO122" s="130"/>
      <c r="BP122" s="130">
        <f t="shared" ref="BP122" si="33">BP13/(1-BP88)</f>
        <v>493.84615384615381</v>
      </c>
      <c r="BQ122" s="130">
        <f t="shared" si="27"/>
        <v>261</v>
      </c>
      <c r="BR122" s="130"/>
      <c r="BS122" s="130"/>
      <c r="BT122" s="130"/>
    </row>
    <row r="123" spans="40:72" ht="15.75" thickBot="1" x14ac:dyDescent="0.3">
      <c r="AN123" s="584">
        <v>2011</v>
      </c>
      <c r="AO123" s="580">
        <v>53</v>
      </c>
      <c r="AP123" s="581">
        <v>1234</v>
      </c>
      <c r="AQ123" s="580">
        <v>53</v>
      </c>
      <c r="AR123" s="47">
        <f t="shared" ref="AR123:AR130" si="34">AO123+AP123</f>
        <v>1287</v>
      </c>
      <c r="AS123" s="584">
        <v>2011</v>
      </c>
      <c r="AT123" s="581">
        <v>2356</v>
      </c>
      <c r="AU123" s="580">
        <v>104</v>
      </c>
      <c r="AV123" s="581">
        <v>2356</v>
      </c>
      <c r="AW123" s="47">
        <f t="shared" ref="AW123:AW130" si="35">AT123+AU123</f>
        <v>2460</v>
      </c>
      <c r="BB123" s="224"/>
      <c r="BC123" s="224"/>
      <c r="BD123" s="224"/>
      <c r="BE123" s="224"/>
      <c r="BF123" s="224"/>
      <c r="BG123" s="224"/>
      <c r="BI123" s="224"/>
      <c r="BJ123">
        <v>1999</v>
      </c>
      <c r="BK123" s="224" t="s">
        <v>668</v>
      </c>
      <c r="BL123" s="130"/>
      <c r="BM123" s="130"/>
      <c r="BN123" s="130"/>
      <c r="BO123" s="130"/>
      <c r="BP123" s="130">
        <f t="shared" ref="BP123" si="36">BP14/(1-BP89)</f>
        <v>235.38461538461539</v>
      </c>
      <c r="BQ123" s="130">
        <f t="shared" si="27"/>
        <v>162</v>
      </c>
      <c r="BR123" s="130"/>
      <c r="BS123" s="130"/>
      <c r="BT123" s="130"/>
    </row>
    <row r="124" spans="40:72" ht="15.75" thickBot="1" x14ac:dyDescent="0.3">
      <c r="AN124" s="583">
        <v>2012</v>
      </c>
      <c r="AO124" s="578">
        <v>421</v>
      </c>
      <c r="AP124" s="578">
        <v>284</v>
      </c>
      <c r="AQ124" s="578">
        <v>421</v>
      </c>
      <c r="AR124" s="47">
        <f t="shared" si="34"/>
        <v>705</v>
      </c>
      <c r="AS124" s="583">
        <v>2012</v>
      </c>
      <c r="AT124" s="579">
        <v>2587</v>
      </c>
      <c r="AU124" s="578">
        <v>79</v>
      </c>
      <c r="AV124" s="579">
        <v>2587</v>
      </c>
      <c r="AW124" s="47">
        <f t="shared" si="35"/>
        <v>2666</v>
      </c>
      <c r="BB124" s="224"/>
      <c r="BD124" s="224"/>
      <c r="BE124" s="224"/>
      <c r="BF124" s="224"/>
      <c r="BG124" s="224"/>
      <c r="BI124" s="224"/>
      <c r="BJ124">
        <v>2000</v>
      </c>
      <c r="BK124" s="224" t="s">
        <v>586</v>
      </c>
      <c r="BL124" s="130"/>
      <c r="BM124" s="130"/>
      <c r="BN124" s="130"/>
      <c r="BO124" s="130"/>
      <c r="BP124" s="130">
        <f t="shared" ref="BP124" si="37">BP15/(1-BP90)</f>
        <v>5583.6065573770493</v>
      </c>
      <c r="BQ124" s="130">
        <f t="shared" si="27"/>
        <v>730</v>
      </c>
      <c r="BR124" s="130"/>
      <c r="BS124" s="130"/>
      <c r="BT124" s="130"/>
    </row>
    <row r="125" spans="40:72" ht="15.75" thickBot="1" x14ac:dyDescent="0.3">
      <c r="AN125" s="584">
        <v>2013</v>
      </c>
      <c r="AO125" s="580">
        <v>677</v>
      </c>
      <c r="AP125" s="581">
        <v>1160</v>
      </c>
      <c r="AQ125" s="580">
        <v>677</v>
      </c>
      <c r="AR125" s="47">
        <f t="shared" si="34"/>
        <v>1837</v>
      </c>
      <c r="AS125" s="584">
        <v>2013</v>
      </c>
      <c r="AT125" s="581">
        <v>3501</v>
      </c>
      <c r="AU125" s="580">
        <v>481</v>
      </c>
      <c r="AV125" s="581">
        <v>3501</v>
      </c>
      <c r="AW125" s="47">
        <f t="shared" si="35"/>
        <v>3982</v>
      </c>
      <c r="BC125" s="47"/>
      <c r="BJ125">
        <v>2001</v>
      </c>
      <c r="BK125" s="224" t="s">
        <v>584</v>
      </c>
      <c r="BL125" s="130"/>
      <c r="BM125" s="130"/>
      <c r="BN125" s="130"/>
      <c r="BO125" s="130"/>
      <c r="BP125" s="130">
        <f t="shared" ref="BP125" si="38">BP16/(1-BP91)</f>
        <v>7842.8571428571422</v>
      </c>
      <c r="BQ125" s="130">
        <f t="shared" si="27"/>
        <v>1176</v>
      </c>
      <c r="BR125" s="130"/>
      <c r="BS125" s="130"/>
      <c r="BT125" s="130"/>
    </row>
    <row r="126" spans="40:72" ht="15.75" thickBot="1" x14ac:dyDescent="0.3">
      <c r="AN126" s="583">
        <v>2014</v>
      </c>
      <c r="AO126" s="579">
        <v>2826</v>
      </c>
      <c r="AP126" s="579">
        <v>1535</v>
      </c>
      <c r="AQ126" s="579">
        <v>2826</v>
      </c>
      <c r="AR126" s="47">
        <f t="shared" si="34"/>
        <v>4361</v>
      </c>
      <c r="AS126" s="583">
        <v>2014</v>
      </c>
      <c r="AT126" s="579">
        <v>4692</v>
      </c>
      <c r="AU126" s="578">
        <v>935</v>
      </c>
      <c r="AV126" s="579">
        <v>4692</v>
      </c>
      <c r="AW126" s="47">
        <f t="shared" si="35"/>
        <v>5627</v>
      </c>
      <c r="BJ126">
        <v>2002</v>
      </c>
      <c r="BK126" s="224" t="s">
        <v>584</v>
      </c>
      <c r="BL126" s="130">
        <f t="shared" ref="BL126:BP129" si="39">BL17/(1-BL92)</f>
        <v>2935.7142857142853</v>
      </c>
      <c r="BM126" s="130">
        <f t="shared" si="39"/>
        <v>980.00000000000023</v>
      </c>
      <c r="BN126" s="130">
        <f t="shared" si="39"/>
        <v>214.10256410256409</v>
      </c>
      <c r="BO126" s="130">
        <f t="shared" si="39"/>
        <v>502</v>
      </c>
      <c r="BP126" s="130">
        <f t="shared" si="39"/>
        <v>4606.9767441860458</v>
      </c>
      <c r="BQ126" s="130">
        <f t="shared" si="27"/>
        <v>888.37209302325573</v>
      </c>
      <c r="BR126" s="130">
        <f>BR17/(1-BR92)</f>
        <v>407.22891566265065</v>
      </c>
      <c r="BS126" s="130"/>
      <c r="BT126" s="130">
        <f>BT17/(1-BT92)</f>
        <v>367.5</v>
      </c>
    </row>
    <row r="127" spans="40:72" ht="15.75" thickBot="1" x14ac:dyDescent="0.3">
      <c r="AN127" s="584">
        <v>2015</v>
      </c>
      <c r="AO127" s="580">
        <v>145</v>
      </c>
      <c r="AP127" s="580">
        <v>294</v>
      </c>
      <c r="AQ127" s="580">
        <v>145</v>
      </c>
      <c r="AR127" s="47">
        <f t="shared" si="34"/>
        <v>439</v>
      </c>
      <c r="AS127" s="584">
        <v>2015</v>
      </c>
      <c r="AT127" s="580">
        <v>803</v>
      </c>
      <c r="AU127" s="580">
        <v>224</v>
      </c>
      <c r="AV127" s="580">
        <v>803</v>
      </c>
      <c r="AW127" s="47">
        <f t="shared" si="35"/>
        <v>1027</v>
      </c>
      <c r="BC127" s="47"/>
      <c r="BJ127">
        <v>2003</v>
      </c>
      <c r="BK127" s="224" t="s">
        <v>584</v>
      </c>
      <c r="BL127" s="130">
        <f t="shared" si="39"/>
        <v>807.14285714285711</v>
      </c>
      <c r="BM127" s="130">
        <f t="shared" si="39"/>
        <v>725</v>
      </c>
      <c r="BN127" s="130">
        <f t="shared" si="39"/>
        <v>563</v>
      </c>
      <c r="BO127" s="130">
        <f t="shared" si="39"/>
        <v>373.33333333333331</v>
      </c>
      <c r="BP127" s="130">
        <f t="shared" si="39"/>
        <v>2785.5555555555557</v>
      </c>
      <c r="BQ127" s="130">
        <f t="shared" si="27"/>
        <v>1348</v>
      </c>
      <c r="BR127" s="130"/>
      <c r="BS127" s="130"/>
      <c r="BT127" s="130"/>
    </row>
    <row r="128" spans="40:72" ht="15.75" thickBot="1" x14ac:dyDescent="0.3">
      <c r="AN128" s="583">
        <v>2016</v>
      </c>
      <c r="AO128" s="578">
        <v>489</v>
      </c>
      <c r="AP128" s="578">
        <v>728</v>
      </c>
      <c r="AQ128" s="578">
        <v>489</v>
      </c>
      <c r="AR128" s="47">
        <f t="shared" si="34"/>
        <v>1217</v>
      </c>
      <c r="AS128" s="583">
        <v>2016</v>
      </c>
      <c r="AT128" s="579">
        <v>2654</v>
      </c>
      <c r="AU128" s="578">
        <v>413</v>
      </c>
      <c r="AV128" s="579">
        <v>2654</v>
      </c>
      <c r="AW128" s="47">
        <f t="shared" si="35"/>
        <v>3067</v>
      </c>
      <c r="BC128" s="47"/>
      <c r="BJ128">
        <v>2004</v>
      </c>
      <c r="BK128" s="224" t="s">
        <v>585</v>
      </c>
      <c r="BL128" s="130">
        <f t="shared" si="39"/>
        <v>1064.2857142857142</v>
      </c>
      <c r="BM128" s="130">
        <f t="shared" si="39"/>
        <v>373.33333333333326</v>
      </c>
      <c r="BN128" s="130">
        <f t="shared" si="39"/>
        <v>398</v>
      </c>
      <c r="BO128" s="130">
        <f t="shared" si="39"/>
        <v>820.6521739130435</v>
      </c>
      <c r="BP128" s="130">
        <f t="shared" si="39"/>
        <v>3421.4285714285716</v>
      </c>
      <c r="BQ128" s="130">
        <f t="shared" si="27"/>
        <v>1347.7777777777778</v>
      </c>
      <c r="BR128" s="130"/>
      <c r="BS128" s="130"/>
      <c r="BT128" s="130"/>
    </row>
    <row r="129" spans="40:72" ht="15.75" thickBot="1" x14ac:dyDescent="0.3">
      <c r="AN129" s="584">
        <v>2017</v>
      </c>
      <c r="AO129" s="580">
        <v>175</v>
      </c>
      <c r="AP129" s="580">
        <v>706</v>
      </c>
      <c r="AQ129" s="580">
        <v>175</v>
      </c>
      <c r="AR129" s="47">
        <f t="shared" si="34"/>
        <v>881</v>
      </c>
      <c r="AS129" s="584">
        <v>2017</v>
      </c>
      <c r="AT129" s="581">
        <v>2156</v>
      </c>
      <c r="AU129" s="580">
        <v>108</v>
      </c>
      <c r="AV129" s="581">
        <v>2156</v>
      </c>
      <c r="AW129" s="47">
        <f t="shared" si="35"/>
        <v>2264</v>
      </c>
      <c r="BJ129">
        <v>2005</v>
      </c>
      <c r="BK129" s="224" t="s">
        <v>585</v>
      </c>
      <c r="BL129" s="130">
        <f t="shared" si="39"/>
        <v>316</v>
      </c>
      <c r="BM129" s="130">
        <f t="shared" si="39"/>
        <v>342.1875</v>
      </c>
      <c r="BN129" s="130">
        <f t="shared" si="39"/>
        <v>498.98989898989902</v>
      </c>
      <c r="BO129" s="130">
        <f t="shared" si="39"/>
        <v>348</v>
      </c>
      <c r="BP129" s="130">
        <f t="shared" si="39"/>
        <v>1806.9444444444446</v>
      </c>
      <c r="BQ129" s="130">
        <f t="shared" si="27"/>
        <v>856</v>
      </c>
      <c r="BR129" s="130">
        <f t="shared" ref="BR129:BR140" si="40">BR20/(1-BR95)</f>
        <v>1753.333333333333</v>
      </c>
      <c r="BS129" s="130"/>
      <c r="BT129" s="130">
        <f>BT20/(1-BT95)</f>
        <v>2294.5454545454545</v>
      </c>
    </row>
    <row r="130" spans="40:72" ht="15.75" thickBot="1" x14ac:dyDescent="0.3">
      <c r="AN130" s="585">
        <v>2018</v>
      </c>
      <c r="AO130" s="586">
        <v>165</v>
      </c>
      <c r="AP130" s="586">
        <v>857</v>
      </c>
      <c r="AQ130" s="586">
        <v>165</v>
      </c>
      <c r="AR130" s="47">
        <f t="shared" si="34"/>
        <v>1022</v>
      </c>
      <c r="AS130" s="585">
        <v>2018</v>
      </c>
      <c r="AT130" s="587">
        <v>3036</v>
      </c>
      <c r="AU130" s="586">
        <v>151</v>
      </c>
      <c r="AV130" s="587">
        <v>3036</v>
      </c>
      <c r="AW130" s="47">
        <f t="shared" si="35"/>
        <v>3187</v>
      </c>
      <c r="BC130" s="47"/>
      <c r="BJ130">
        <v>2006</v>
      </c>
      <c r="BK130" s="224" t="s">
        <v>586</v>
      </c>
      <c r="BL130" s="130">
        <f t="shared" ref="BL130:BL136" si="41">BL21/(1-BL96)</f>
        <v>462.49999999999989</v>
      </c>
      <c r="BM130" s="130"/>
      <c r="BN130" s="130">
        <f t="shared" ref="BN130:BP141" si="42">BN21/(1-BN96)</f>
        <v>467.77777777777777</v>
      </c>
      <c r="BO130" s="130">
        <f t="shared" si="42"/>
        <v>756.84210526315792</v>
      </c>
      <c r="BP130" s="130">
        <f t="shared" si="42"/>
        <v>14433.333333333334</v>
      </c>
      <c r="BQ130" s="130"/>
      <c r="BR130" s="130">
        <f t="shared" si="40"/>
        <v>753.33333333333326</v>
      </c>
      <c r="BS130" s="130"/>
      <c r="BT130" s="130">
        <f>BT21/(1-BT96)</f>
        <v>717.30769230769226</v>
      </c>
    </row>
    <row r="131" spans="40:72" x14ac:dyDescent="0.25">
      <c r="BJ131">
        <v>2007</v>
      </c>
      <c r="BK131" s="224" t="s">
        <v>586</v>
      </c>
      <c r="BL131" s="130">
        <f t="shared" si="41"/>
        <v>35</v>
      </c>
      <c r="BM131" s="130">
        <f t="shared" ref="BM131:BM136" si="43">BM22/(1-BM97)</f>
        <v>432.65306122448982</v>
      </c>
      <c r="BN131" s="130">
        <f t="shared" si="42"/>
        <v>965.625</v>
      </c>
      <c r="BO131" s="130">
        <f t="shared" si="42"/>
        <v>375</v>
      </c>
      <c r="BP131" s="130">
        <f t="shared" si="42"/>
        <v>4195.3488372093025</v>
      </c>
      <c r="BQ131" s="130">
        <f t="shared" ref="BQ131:BQ141" si="44">BQ22/(1-BQ97)</f>
        <v>754.94505494505495</v>
      </c>
      <c r="BR131" s="130">
        <f t="shared" si="40"/>
        <v>381.81818181818187</v>
      </c>
      <c r="BS131" s="130"/>
      <c r="BT131" s="130">
        <f>BT22/(1-BT97)</f>
        <v>309.09090909090907</v>
      </c>
    </row>
    <row r="132" spans="40:72" ht="15.75" thickBot="1" x14ac:dyDescent="0.3">
      <c r="AN132" t="s">
        <v>257</v>
      </c>
      <c r="BJ132">
        <v>2008</v>
      </c>
      <c r="BK132" s="224" t="s">
        <v>585</v>
      </c>
      <c r="BL132" s="130">
        <f t="shared" si="41"/>
        <v>105.12820512820512</v>
      </c>
      <c r="BM132" s="130">
        <f t="shared" si="43"/>
        <v>423.52941176470591</v>
      </c>
      <c r="BN132" s="130">
        <f t="shared" si="42"/>
        <v>995</v>
      </c>
      <c r="BO132" s="130">
        <f t="shared" si="42"/>
        <v>292</v>
      </c>
      <c r="BP132" s="130">
        <f t="shared" si="42"/>
        <v>3079.9999999999995</v>
      </c>
      <c r="BQ132" s="130">
        <f t="shared" si="44"/>
        <v>1277</v>
      </c>
      <c r="BR132" s="130">
        <f t="shared" si="40"/>
        <v>412.96296296296293</v>
      </c>
      <c r="BS132" s="130"/>
      <c r="BT132" s="130">
        <f>BT23/(1-BT98)</f>
        <v>97.183098591549296</v>
      </c>
    </row>
    <row r="133" spans="40:72" ht="95.25" thickBot="1" x14ac:dyDescent="0.3">
      <c r="AN133" s="582" t="s">
        <v>1154</v>
      </c>
      <c r="AO133" s="577" t="s">
        <v>1155</v>
      </c>
      <c r="AP133" s="577" t="s">
        <v>1156</v>
      </c>
      <c r="AQ133" s="577" t="s">
        <v>1157</v>
      </c>
      <c r="AR133" s="577" t="s">
        <v>1158</v>
      </c>
      <c r="AS133" s="577" t="s">
        <v>1159</v>
      </c>
      <c r="AT133" s="577" t="s">
        <v>1160</v>
      </c>
      <c r="AU133" s="577" t="s">
        <v>1161</v>
      </c>
      <c r="AV133" s="588" t="s">
        <v>1162</v>
      </c>
      <c r="AW133" s="588" t="s">
        <v>1163</v>
      </c>
      <c r="AX133" s="588" t="s">
        <v>10</v>
      </c>
      <c r="BC133" s="47"/>
      <c r="BG133" s="219"/>
      <c r="BI133" s="219"/>
      <c r="BJ133">
        <v>2009</v>
      </c>
      <c r="BK133" s="224" t="s">
        <v>584</v>
      </c>
      <c r="BL133" s="130">
        <f t="shared" si="41"/>
        <v>325.00000000000017</v>
      </c>
      <c r="BM133" s="130">
        <f t="shared" si="43"/>
        <v>1721.7391304347827</v>
      </c>
      <c r="BN133" s="130">
        <f t="shared" si="42"/>
        <v>1207.0707070707072</v>
      </c>
      <c r="BO133" s="130">
        <f t="shared" si="42"/>
        <v>778</v>
      </c>
      <c r="BP133" s="130">
        <f t="shared" si="42"/>
        <v>10934.246575342466</v>
      </c>
      <c r="BQ133" s="130">
        <f t="shared" si="44"/>
        <v>1658.8888888888889</v>
      </c>
      <c r="BR133" s="130">
        <f t="shared" si="40"/>
        <v>659.15492957746483</v>
      </c>
      <c r="BS133" s="130"/>
      <c r="BT133" s="130"/>
    </row>
    <row r="134" spans="40:72" ht="15.75" thickBot="1" x14ac:dyDescent="0.3">
      <c r="AN134" s="583">
        <v>2010</v>
      </c>
      <c r="AO134" s="578">
        <v>868</v>
      </c>
      <c r="AP134" s="578">
        <v>426</v>
      </c>
      <c r="AQ134" s="578">
        <v>58</v>
      </c>
      <c r="AR134" s="578">
        <v>187</v>
      </c>
      <c r="AS134" s="578">
        <v>26</v>
      </c>
      <c r="AT134" s="578">
        <v>215</v>
      </c>
      <c r="AU134" s="578">
        <v>29</v>
      </c>
      <c r="AV134">
        <f>AP134+AR134+AT134</f>
        <v>828</v>
      </c>
      <c r="AW134" s="557">
        <f>AQ134+AS134+AU134</f>
        <v>113</v>
      </c>
      <c r="AX134">
        <f>AW134+AV134</f>
        <v>941</v>
      </c>
      <c r="BC134" s="47"/>
      <c r="BG134" s="219"/>
      <c r="BI134" s="219"/>
      <c r="BJ134">
        <v>2010</v>
      </c>
      <c r="BK134" s="224" t="s">
        <v>584</v>
      </c>
      <c r="BL134" s="130">
        <f t="shared" si="41"/>
        <v>174.35897435897436</v>
      </c>
      <c r="BM134" s="130">
        <f t="shared" si="43"/>
        <v>398.57142857142861</v>
      </c>
      <c r="BN134" s="130">
        <f t="shared" si="42"/>
        <v>1738.1443298969073</v>
      </c>
      <c r="BO134" s="130">
        <f t="shared" si="42"/>
        <v>1960</v>
      </c>
      <c r="BP134" s="130">
        <f t="shared" si="42"/>
        <v>3993.1818181818185</v>
      </c>
      <c r="BQ134" s="130">
        <f t="shared" si="44"/>
        <v>1023.8636363636364</v>
      </c>
      <c r="BR134" s="130">
        <f t="shared" si="40"/>
        <v>989.24731182795711</v>
      </c>
      <c r="BS134" s="130"/>
      <c r="BT134" s="130">
        <f t="shared" ref="BT134:BT140" si="45">BT25/(1-BT100)</f>
        <v>1486.6666666666665</v>
      </c>
    </row>
    <row r="135" spans="40:72" ht="15.75" thickBot="1" x14ac:dyDescent="0.3">
      <c r="AN135" s="584">
        <v>2011</v>
      </c>
      <c r="AO135" s="580">
        <v>410</v>
      </c>
      <c r="AP135" s="580">
        <v>217</v>
      </c>
      <c r="AQ135" s="580">
        <v>52</v>
      </c>
      <c r="AR135" s="580">
        <v>86</v>
      </c>
      <c r="AS135" s="580">
        <v>20</v>
      </c>
      <c r="AT135" s="580">
        <v>94</v>
      </c>
      <c r="AU135" s="580">
        <v>22</v>
      </c>
      <c r="AV135" s="557">
        <f t="shared" ref="AV135:AV142" si="46">AP135+AR135+AT135</f>
        <v>397</v>
      </c>
      <c r="AW135" s="557">
        <f t="shared" ref="AW135:AW142" si="47">AQ135+AS135+AU135</f>
        <v>94</v>
      </c>
      <c r="AX135" s="557">
        <f t="shared" ref="AX135:AX142" si="48">AW135+AV135</f>
        <v>491</v>
      </c>
      <c r="BC135" s="47"/>
      <c r="BG135" s="219"/>
      <c r="BI135" s="219"/>
      <c r="BJ135">
        <v>2011</v>
      </c>
      <c r="BK135" s="224" t="s">
        <v>584</v>
      </c>
      <c r="BL135" s="130">
        <f t="shared" si="41"/>
        <v>473.52941176470591</v>
      </c>
      <c r="BM135" s="130">
        <f t="shared" si="43"/>
        <v>333.33333333333337</v>
      </c>
      <c r="BN135" s="130">
        <f t="shared" si="42"/>
        <v>1561.6161616161617</v>
      </c>
      <c r="BO135" s="130">
        <f t="shared" si="42"/>
        <v>298</v>
      </c>
      <c r="BP135" s="130">
        <f t="shared" si="42"/>
        <v>2504.4444444444443</v>
      </c>
      <c r="BQ135" s="130">
        <f t="shared" si="44"/>
        <v>3797.8260869565215</v>
      </c>
      <c r="BR135" s="130">
        <f t="shared" si="40"/>
        <v>469.56521739130437</v>
      </c>
      <c r="BS135" s="130"/>
      <c r="BT135" s="130">
        <f t="shared" si="45"/>
        <v>748.38709677419342</v>
      </c>
    </row>
    <row r="136" spans="40:72" ht="15.75" thickBot="1" x14ac:dyDescent="0.3">
      <c r="AN136" s="583">
        <v>2012</v>
      </c>
      <c r="AO136" s="578">
        <v>377</v>
      </c>
      <c r="AP136" s="578">
        <v>212</v>
      </c>
      <c r="AQ136" s="578">
        <v>4</v>
      </c>
      <c r="AR136" s="578">
        <v>78</v>
      </c>
      <c r="AS136" s="578">
        <v>2</v>
      </c>
      <c r="AT136" s="578">
        <v>78</v>
      </c>
      <c r="AU136" s="578">
        <v>2</v>
      </c>
      <c r="AV136" s="557">
        <f t="shared" si="46"/>
        <v>368</v>
      </c>
      <c r="AW136" s="557">
        <f t="shared" si="47"/>
        <v>8</v>
      </c>
      <c r="AX136" s="557">
        <f t="shared" si="48"/>
        <v>376</v>
      </c>
      <c r="BC136" s="47"/>
      <c r="BG136" s="219"/>
      <c r="BI136" s="219"/>
      <c r="BJ136">
        <v>2012</v>
      </c>
      <c r="BK136" s="224" t="s">
        <v>585</v>
      </c>
      <c r="BL136" s="130">
        <f t="shared" si="41"/>
        <v>243.39622641509433</v>
      </c>
      <c r="BM136" s="130">
        <f t="shared" si="43"/>
        <v>517.72151898734171</v>
      </c>
      <c r="BN136" s="130">
        <f t="shared" si="42"/>
        <v>695.50561797752812</v>
      </c>
      <c r="BO136" s="130">
        <f t="shared" si="42"/>
        <v>210</v>
      </c>
      <c r="BP136" s="130">
        <f t="shared" si="42"/>
        <v>1755.5555555555554</v>
      </c>
      <c r="BQ136" s="130">
        <f t="shared" si="44"/>
        <v>1201.0309278350517</v>
      </c>
      <c r="BR136" s="130">
        <f t="shared" si="40"/>
        <v>218.18181818181822</v>
      </c>
      <c r="BS136" s="130"/>
      <c r="BT136" s="130">
        <f t="shared" si="45"/>
        <v>768.18181818181824</v>
      </c>
    </row>
    <row r="137" spans="40:72" ht="15.75" thickBot="1" x14ac:dyDescent="0.3">
      <c r="AN137" s="584">
        <v>2013</v>
      </c>
      <c r="AO137" s="580">
        <v>570</v>
      </c>
      <c r="AP137" s="580">
        <v>322</v>
      </c>
      <c r="AQ137" s="580">
        <v>25</v>
      </c>
      <c r="AR137" s="580">
        <v>124</v>
      </c>
      <c r="AS137" s="580">
        <v>10</v>
      </c>
      <c r="AT137" s="580">
        <v>120</v>
      </c>
      <c r="AU137" s="580">
        <v>9</v>
      </c>
      <c r="AV137" s="557">
        <f t="shared" si="46"/>
        <v>566</v>
      </c>
      <c r="AW137" s="557">
        <f t="shared" si="47"/>
        <v>44</v>
      </c>
      <c r="AX137" s="557">
        <f t="shared" si="48"/>
        <v>610</v>
      </c>
      <c r="BC137" s="47"/>
      <c r="BG137" s="219"/>
      <c r="BI137" s="219"/>
      <c r="BJ137">
        <v>2013</v>
      </c>
      <c r="BK137" s="224" t="s">
        <v>585</v>
      </c>
      <c r="BL137" s="130"/>
      <c r="BM137" s="130"/>
      <c r="BN137" s="130">
        <f t="shared" si="42"/>
        <v>686.51685393258424</v>
      </c>
      <c r="BO137" s="130">
        <f t="shared" si="42"/>
        <v>979</v>
      </c>
      <c r="BP137" s="130">
        <f t="shared" si="42"/>
        <v>3234.3434343434342</v>
      </c>
      <c r="BQ137" s="130">
        <f t="shared" si="44"/>
        <v>757.9545454545455</v>
      </c>
      <c r="BR137" s="130">
        <f t="shared" si="40"/>
        <v>160.63829787234044</v>
      </c>
      <c r="BS137" s="130"/>
      <c r="BT137" s="130">
        <f t="shared" si="45"/>
        <v>1602.8571428571429</v>
      </c>
    </row>
    <row r="138" spans="40:72" ht="15.75" thickBot="1" x14ac:dyDescent="0.3">
      <c r="AN138" s="583">
        <v>2014</v>
      </c>
      <c r="AO138" s="579">
        <v>1946</v>
      </c>
      <c r="AP138" s="578">
        <v>771</v>
      </c>
      <c r="AQ138" s="578">
        <v>106</v>
      </c>
      <c r="AR138" s="578">
        <v>444</v>
      </c>
      <c r="AS138" s="578">
        <v>61</v>
      </c>
      <c r="AT138" s="578">
        <v>726</v>
      </c>
      <c r="AU138" s="578">
        <v>100</v>
      </c>
      <c r="AV138" s="557">
        <f t="shared" si="46"/>
        <v>1941</v>
      </c>
      <c r="AW138" s="557">
        <f t="shared" si="47"/>
        <v>267</v>
      </c>
      <c r="AX138" s="557">
        <f t="shared" si="48"/>
        <v>2208</v>
      </c>
      <c r="BC138" s="47"/>
      <c r="BG138" s="219"/>
      <c r="BI138" s="219"/>
      <c r="BJ138">
        <v>2014</v>
      </c>
      <c r="BK138" s="224" t="s">
        <v>584</v>
      </c>
      <c r="BL138" s="130"/>
      <c r="BM138" s="130"/>
      <c r="BN138" s="130">
        <f t="shared" si="42"/>
        <v>3381.25</v>
      </c>
      <c r="BO138" s="130">
        <f t="shared" si="42"/>
        <v>1587</v>
      </c>
      <c r="BP138" s="130">
        <f t="shared" si="42"/>
        <v>12406.976744186046</v>
      </c>
      <c r="BQ138" s="130">
        <f t="shared" si="44"/>
        <v>6125.7731958762888</v>
      </c>
      <c r="BR138" s="130">
        <f t="shared" si="40"/>
        <v>738.77551020408168</v>
      </c>
      <c r="BS138" s="130"/>
      <c r="BT138" s="130">
        <f t="shared" si="45"/>
        <v>175</v>
      </c>
    </row>
    <row r="139" spans="40:72" ht="15.75" thickBot="1" x14ac:dyDescent="0.3">
      <c r="AN139" s="584">
        <v>2015</v>
      </c>
      <c r="AO139" s="580">
        <v>494</v>
      </c>
      <c r="AP139" s="580">
        <v>207</v>
      </c>
      <c r="AQ139" s="580">
        <v>14</v>
      </c>
      <c r="AR139" s="580">
        <v>118</v>
      </c>
      <c r="AS139" s="580">
        <v>8</v>
      </c>
      <c r="AT139" s="580">
        <v>167</v>
      </c>
      <c r="AU139" s="580">
        <v>11</v>
      </c>
      <c r="AV139" s="557">
        <f t="shared" si="46"/>
        <v>492</v>
      </c>
      <c r="AW139" s="557">
        <f t="shared" si="47"/>
        <v>33</v>
      </c>
      <c r="AX139" s="557">
        <f t="shared" si="48"/>
        <v>525</v>
      </c>
      <c r="BC139" s="47"/>
      <c r="BG139" s="219"/>
      <c r="BI139" s="219"/>
      <c r="BJ139">
        <v>2015</v>
      </c>
      <c r="BK139" s="224" t="s">
        <v>586</v>
      </c>
      <c r="BL139" s="130"/>
      <c r="BM139" s="130"/>
      <c r="BN139" s="130">
        <f t="shared" si="42"/>
        <v>250</v>
      </c>
      <c r="BO139" s="130">
        <f t="shared" si="42"/>
        <v>487</v>
      </c>
      <c r="BP139" s="130">
        <f t="shared" si="42"/>
        <v>2004.4943820224719</v>
      </c>
      <c r="BQ139" s="130">
        <f t="shared" si="44"/>
        <v>461.45833333333337</v>
      </c>
      <c r="BR139" s="130">
        <f t="shared" si="40"/>
        <v>48.387096774193552</v>
      </c>
      <c r="BS139" s="130"/>
      <c r="BT139" s="130">
        <f t="shared" si="45"/>
        <v>11.111111111111111</v>
      </c>
    </row>
    <row r="140" spans="40:72" ht="15.75" thickBot="1" x14ac:dyDescent="0.3">
      <c r="AN140" s="583">
        <v>2016</v>
      </c>
      <c r="AO140" s="578">
        <v>946</v>
      </c>
      <c r="AP140" s="578">
        <v>432</v>
      </c>
      <c r="AQ140" s="578">
        <v>64</v>
      </c>
      <c r="AR140" s="578">
        <v>202</v>
      </c>
      <c r="AS140" s="578">
        <v>30</v>
      </c>
      <c r="AT140" s="578">
        <v>310</v>
      </c>
      <c r="AU140" s="578">
        <v>46</v>
      </c>
      <c r="AV140" s="557">
        <f t="shared" si="46"/>
        <v>944</v>
      </c>
      <c r="AW140" s="557">
        <f t="shared" si="47"/>
        <v>140</v>
      </c>
      <c r="AX140" s="557">
        <f t="shared" si="48"/>
        <v>1084</v>
      </c>
      <c r="BC140" s="47"/>
      <c r="BG140" s="219"/>
      <c r="BI140" s="219"/>
      <c r="BJ140">
        <v>2016</v>
      </c>
      <c r="BK140" s="224" t="s">
        <v>585</v>
      </c>
      <c r="BL140" s="130"/>
      <c r="BM140" s="130"/>
      <c r="BN140" s="130">
        <f t="shared" si="42"/>
        <v>493.61702127659578</v>
      </c>
      <c r="BO140" s="130">
        <f t="shared" si="42"/>
        <v>1237.1134020618556</v>
      </c>
      <c r="BP140" s="130">
        <f t="shared" si="42"/>
        <v>1789.0109890109889</v>
      </c>
      <c r="BQ140" s="130">
        <f t="shared" si="44"/>
        <v>968.04123711340208</v>
      </c>
      <c r="BR140" s="130">
        <f t="shared" si="40"/>
        <v>424.73118279569894</v>
      </c>
      <c r="BS140" s="130"/>
      <c r="BT140" s="130">
        <f t="shared" si="45"/>
        <v>162.85714285714286</v>
      </c>
    </row>
    <row r="141" spans="40:72" ht="15.75" thickBot="1" x14ac:dyDescent="0.3">
      <c r="AN141" s="584">
        <v>2017</v>
      </c>
      <c r="AO141" s="580">
        <v>635</v>
      </c>
      <c r="AP141" s="580">
        <v>240</v>
      </c>
      <c r="AQ141" s="580">
        <v>21</v>
      </c>
      <c r="AR141" s="580">
        <v>237</v>
      </c>
      <c r="AS141" s="580">
        <v>21</v>
      </c>
      <c r="AT141" s="580">
        <v>156</v>
      </c>
      <c r="AU141" s="580">
        <v>14</v>
      </c>
      <c r="AV141" s="557">
        <f t="shared" si="46"/>
        <v>633</v>
      </c>
      <c r="AW141" s="557">
        <f t="shared" si="47"/>
        <v>56</v>
      </c>
      <c r="AX141" s="557">
        <f t="shared" si="48"/>
        <v>689</v>
      </c>
      <c r="BC141" s="47"/>
      <c r="BG141" s="219"/>
      <c r="BI141" s="219"/>
      <c r="BJ141">
        <v>2017</v>
      </c>
      <c r="BK141" s="224" t="s">
        <v>235</v>
      </c>
      <c r="BL141" s="130"/>
      <c r="BM141" s="130"/>
      <c r="BN141" s="130">
        <f t="shared" si="42"/>
        <v>698.76543209876536</v>
      </c>
      <c r="BO141" s="130">
        <f t="shared" si="42"/>
        <v>393.87755102040819</v>
      </c>
      <c r="BP141" s="130">
        <f t="shared" si="42"/>
        <v>8634.0909090909099</v>
      </c>
      <c r="BQ141" s="130">
        <f t="shared" si="44"/>
        <v>2384</v>
      </c>
      <c r="BR141" s="130"/>
      <c r="BS141" s="130"/>
      <c r="BT141" s="130"/>
    </row>
    <row r="142" spans="40:72" ht="15.75" thickBot="1" x14ac:dyDescent="0.3">
      <c r="AN142" s="585">
        <v>2018</v>
      </c>
      <c r="AO142" s="586">
        <v>739</v>
      </c>
      <c r="AP142" s="586">
        <v>255</v>
      </c>
      <c r="AQ142" s="586">
        <v>44</v>
      </c>
      <c r="AR142" s="586">
        <v>290</v>
      </c>
      <c r="AS142" s="586">
        <v>50</v>
      </c>
      <c r="AT142" s="586">
        <v>189</v>
      </c>
      <c r="AU142" s="586">
        <v>33</v>
      </c>
      <c r="AV142" s="557">
        <f t="shared" si="46"/>
        <v>734</v>
      </c>
      <c r="AW142" s="557">
        <f t="shared" si="47"/>
        <v>127</v>
      </c>
      <c r="AX142" s="557">
        <f t="shared" si="48"/>
        <v>861</v>
      </c>
      <c r="BC142" s="47"/>
      <c r="BG142" s="219"/>
      <c r="BI142" s="219"/>
      <c r="BJ142" s="25">
        <v>2018</v>
      </c>
      <c r="BK142" s="337" t="s">
        <v>235</v>
      </c>
      <c r="BL142" s="409"/>
      <c r="BM142" s="409"/>
      <c r="BN142" s="409"/>
      <c r="BO142" s="409"/>
      <c r="BP142" s="409"/>
      <c r="BQ142" s="409"/>
      <c r="BR142" s="409"/>
      <c r="BS142" s="409"/>
      <c r="BT142" s="409"/>
    </row>
    <row r="143" spans="40:72" x14ac:dyDescent="0.25">
      <c r="BC143" s="47"/>
      <c r="BG143" s="219"/>
      <c r="BI143" s="219"/>
    </row>
    <row r="144" spans="40:72" ht="15.75" thickBot="1" x14ac:dyDescent="0.3">
      <c r="AN144" t="s">
        <v>1164</v>
      </c>
      <c r="AS144" t="s">
        <v>529</v>
      </c>
      <c r="BC144" s="47"/>
      <c r="BG144" s="219"/>
      <c r="BI144" s="219"/>
    </row>
    <row r="145" spans="40:72" ht="95.25" thickBot="1" x14ac:dyDescent="0.3">
      <c r="AN145" s="582" t="s">
        <v>387</v>
      </c>
      <c r="AO145" s="577" t="s">
        <v>1151</v>
      </c>
      <c r="AP145" s="577" t="s">
        <v>1152</v>
      </c>
      <c r="AQ145" s="577" t="s">
        <v>1153</v>
      </c>
      <c r="AS145" s="582" t="s">
        <v>387</v>
      </c>
      <c r="AT145" s="577" t="s">
        <v>1155</v>
      </c>
      <c r="AU145" s="577" t="s">
        <v>1165</v>
      </c>
      <c r="AV145" s="577" t="s">
        <v>1166</v>
      </c>
      <c r="BC145" s="47"/>
      <c r="BG145" s="219"/>
      <c r="BI145" s="219"/>
      <c r="BJ145" s="25" t="s">
        <v>774</v>
      </c>
      <c r="BK145" s="25"/>
      <c r="BL145" s="25"/>
      <c r="BM145" s="25"/>
      <c r="BN145" s="25"/>
      <c r="BO145" s="25"/>
      <c r="BP145" s="25"/>
      <c r="BQ145" s="25"/>
      <c r="BR145" s="25"/>
      <c r="BS145" s="363"/>
      <c r="BT145" s="25"/>
    </row>
    <row r="146" spans="40:72" ht="15.75" thickBot="1" x14ac:dyDescent="0.3">
      <c r="AN146" s="583">
        <v>2010</v>
      </c>
      <c r="AO146" s="578">
        <v>603</v>
      </c>
      <c r="AP146" s="579">
        <v>1644</v>
      </c>
      <c r="AQ146" s="578">
        <v>603</v>
      </c>
      <c r="AS146" s="583">
        <v>2010</v>
      </c>
      <c r="AT146" s="579">
        <v>6399</v>
      </c>
      <c r="AU146" s="579">
        <v>6399</v>
      </c>
      <c r="AV146" s="578">
        <v>679</v>
      </c>
      <c r="BC146" s="47"/>
      <c r="BG146" s="219"/>
      <c r="BI146" s="219"/>
      <c r="BJ146" t="s">
        <v>199</v>
      </c>
      <c r="BK146" t="s">
        <v>208</v>
      </c>
      <c r="BL146" s="224" t="s">
        <v>61</v>
      </c>
      <c r="BM146" s="224" t="s">
        <v>505</v>
      </c>
      <c r="BN146" s="224" t="s">
        <v>62</v>
      </c>
      <c r="BO146" s="224" t="s">
        <v>245</v>
      </c>
      <c r="BP146" s="224" t="s">
        <v>73</v>
      </c>
      <c r="BQ146" s="224" t="s">
        <v>72</v>
      </c>
      <c r="BR146" s="224" t="s">
        <v>580</v>
      </c>
      <c r="BT146" s="224" t="s">
        <v>545</v>
      </c>
    </row>
    <row r="147" spans="40:72" ht="15.75" thickBot="1" x14ac:dyDescent="0.3">
      <c r="AN147" s="584">
        <v>2011</v>
      </c>
      <c r="AO147" s="580">
        <v>551</v>
      </c>
      <c r="AP147" s="580">
        <v>722</v>
      </c>
      <c r="AQ147" s="580">
        <v>551</v>
      </c>
      <c r="AS147" s="584">
        <v>2011</v>
      </c>
      <c r="AT147" s="581">
        <v>3040</v>
      </c>
      <c r="AU147" s="581">
        <v>3040</v>
      </c>
      <c r="AV147" s="580">
        <v>287</v>
      </c>
      <c r="BC147" s="47"/>
      <c r="BG147" s="219"/>
      <c r="BI147" s="219"/>
      <c r="BJ147" s="25" t="s">
        <v>581</v>
      </c>
      <c r="BK147" s="25" t="s">
        <v>582</v>
      </c>
      <c r="BL147" s="25" t="s">
        <v>775</v>
      </c>
      <c r="BM147" s="25" t="s">
        <v>775</v>
      </c>
      <c r="BN147" s="25" t="s">
        <v>775</v>
      </c>
      <c r="BO147" s="25" t="s">
        <v>775</v>
      </c>
      <c r="BP147" s="25" t="s">
        <v>775</v>
      </c>
      <c r="BQ147" s="25" t="s">
        <v>775</v>
      </c>
      <c r="BR147" s="25" t="s">
        <v>775</v>
      </c>
      <c r="BS147" s="642" t="s">
        <v>775</v>
      </c>
      <c r="BT147" s="642"/>
    </row>
    <row r="148" spans="40:72" ht="15.75" thickBot="1" x14ac:dyDescent="0.3">
      <c r="AN148" s="583">
        <v>2012</v>
      </c>
      <c r="AO148" s="578">
        <v>367</v>
      </c>
      <c r="AP148" s="578">
        <v>164</v>
      </c>
      <c r="AQ148" s="578">
        <v>367</v>
      </c>
      <c r="AS148" s="583">
        <v>2012</v>
      </c>
      <c r="AT148" s="579">
        <v>2547</v>
      </c>
      <c r="AU148" s="579">
        <v>2547</v>
      </c>
      <c r="AV148" s="578">
        <v>375</v>
      </c>
      <c r="BC148" s="47"/>
      <c r="BG148" s="219"/>
      <c r="BI148" s="219"/>
      <c r="BJ148">
        <v>1992</v>
      </c>
      <c r="BK148" s="224" t="s">
        <v>235</v>
      </c>
      <c r="BL148" s="130"/>
      <c r="BM148" s="130"/>
      <c r="BN148" s="130"/>
      <c r="BO148" s="130"/>
      <c r="BP148" s="130">
        <f t="shared" ref="BP148:BQ161" si="49">BP116-BP7</f>
        <v>2620.1538461538457</v>
      </c>
      <c r="BQ148" s="130">
        <f t="shared" si="49"/>
        <v>0</v>
      </c>
      <c r="BR148" s="130"/>
      <c r="BS148" s="130"/>
      <c r="BT148" s="130"/>
    </row>
    <row r="149" spans="40:72" ht="15.75" thickBot="1" x14ac:dyDescent="0.3">
      <c r="AN149" s="584">
        <v>2013</v>
      </c>
      <c r="AO149" s="580">
        <v>650</v>
      </c>
      <c r="AP149" s="580">
        <v>461</v>
      </c>
      <c r="AQ149" s="580">
        <v>650</v>
      </c>
      <c r="AS149" s="584">
        <v>2013</v>
      </c>
      <c r="AT149" s="581">
        <v>3853</v>
      </c>
      <c r="AU149" s="581">
        <v>3853</v>
      </c>
      <c r="AV149" s="580">
        <v>978</v>
      </c>
      <c r="BC149" s="47"/>
      <c r="BG149" s="219"/>
      <c r="BI149" s="219"/>
      <c r="BJ149">
        <v>1993</v>
      </c>
      <c r="BK149" s="224" t="s">
        <v>235</v>
      </c>
      <c r="BL149" s="130"/>
      <c r="BM149" s="130"/>
      <c r="BN149" s="130"/>
      <c r="BO149" s="130"/>
      <c r="BP149" s="130">
        <f t="shared" ref="BP149" si="50">BP117-BP8</f>
        <v>126.53846153846155</v>
      </c>
      <c r="BQ149" s="130">
        <f t="shared" si="49"/>
        <v>0</v>
      </c>
      <c r="BR149" s="130"/>
      <c r="BS149" s="130"/>
      <c r="BT149" s="130"/>
    </row>
    <row r="150" spans="40:72" ht="15.75" thickBot="1" x14ac:dyDescent="0.3">
      <c r="AN150" s="583">
        <v>2014</v>
      </c>
      <c r="AO150" s="579">
        <v>2572</v>
      </c>
      <c r="AP150" s="579">
        <v>1352</v>
      </c>
      <c r="AQ150" s="579">
        <v>2572</v>
      </c>
      <c r="AS150" s="583">
        <v>2014</v>
      </c>
      <c r="AT150" s="579">
        <v>18178</v>
      </c>
      <c r="AU150" s="579">
        <v>18178</v>
      </c>
      <c r="AV150" s="579">
        <v>1425</v>
      </c>
      <c r="BC150" s="47"/>
      <c r="BG150" s="219"/>
      <c r="BI150" s="219"/>
      <c r="BJ150">
        <v>1994</v>
      </c>
      <c r="BK150" s="224" t="s">
        <v>668</v>
      </c>
      <c r="BL150" s="130"/>
      <c r="BM150" s="130"/>
      <c r="BN150" s="130"/>
      <c r="BO150" s="130"/>
      <c r="BP150" s="130">
        <f t="shared" ref="BP150" si="51">BP118-BP9</f>
        <v>2173.2307692307686</v>
      </c>
      <c r="BQ150" s="130">
        <f t="shared" si="49"/>
        <v>0</v>
      </c>
      <c r="BR150" s="130"/>
      <c r="BS150" s="130"/>
      <c r="BT150" s="130"/>
    </row>
    <row r="151" spans="40:72" ht="15.75" thickBot="1" x14ac:dyDescent="0.3">
      <c r="AN151" s="584">
        <v>2015</v>
      </c>
      <c r="AO151" s="580">
        <v>204</v>
      </c>
      <c r="AP151" s="580">
        <v>177</v>
      </c>
      <c r="AQ151" s="580">
        <v>204</v>
      </c>
      <c r="AS151" s="584">
        <v>2015</v>
      </c>
      <c r="AT151" s="581">
        <v>1709</v>
      </c>
      <c r="AU151" s="581">
        <v>1709</v>
      </c>
      <c r="AV151" s="580">
        <v>155</v>
      </c>
      <c r="BC151" s="224"/>
      <c r="BJ151">
        <v>1995</v>
      </c>
      <c r="BK151" s="224" t="s">
        <v>668</v>
      </c>
      <c r="BL151" s="130"/>
      <c r="BM151" s="130"/>
      <c r="BN151" s="130"/>
      <c r="BO151" s="130"/>
      <c r="BP151" s="130">
        <f t="shared" ref="BP151" si="52">BP119-BP10</f>
        <v>1535.6923076923076</v>
      </c>
      <c r="BQ151" s="130">
        <f t="shared" si="49"/>
        <v>0</v>
      </c>
      <c r="BR151" s="130"/>
      <c r="BS151" s="130"/>
      <c r="BT151" s="130"/>
    </row>
    <row r="152" spans="40:72" ht="15.75" thickBot="1" x14ac:dyDescent="0.3">
      <c r="AN152" s="583">
        <v>2016</v>
      </c>
      <c r="AO152" s="578">
        <v>589</v>
      </c>
      <c r="AP152" s="578">
        <v>398</v>
      </c>
      <c r="AQ152" s="578">
        <v>589</v>
      </c>
      <c r="AS152" s="583">
        <v>2016</v>
      </c>
      <c r="AT152" s="579">
        <v>4290</v>
      </c>
      <c r="AU152" s="579">
        <v>4290</v>
      </c>
      <c r="AV152" s="578">
        <v>407</v>
      </c>
      <c r="BJ152">
        <v>1996</v>
      </c>
      <c r="BK152" s="224" t="s">
        <v>668</v>
      </c>
      <c r="BL152" s="130"/>
      <c r="BM152" s="130"/>
      <c r="BN152" s="130"/>
      <c r="BO152" s="130"/>
      <c r="BP152" s="130">
        <f t="shared" ref="BP152" si="53">BP120-BP11</f>
        <v>64.615384615384613</v>
      </c>
      <c r="BQ152" s="130">
        <f t="shared" si="49"/>
        <v>0</v>
      </c>
      <c r="BR152" s="130"/>
      <c r="BS152" s="130"/>
      <c r="BT152" s="130"/>
    </row>
    <row r="153" spans="40:72" ht="15.75" thickBot="1" x14ac:dyDescent="0.3">
      <c r="AN153" s="584">
        <v>2017</v>
      </c>
      <c r="AO153" s="580">
        <v>780</v>
      </c>
      <c r="AP153" s="580">
        <v>178</v>
      </c>
      <c r="AQ153" s="580">
        <v>780</v>
      </c>
      <c r="AS153" s="589">
        <v>2017</v>
      </c>
      <c r="AT153" s="590">
        <v>2361</v>
      </c>
      <c r="AU153" s="590">
        <v>2361</v>
      </c>
      <c r="AV153" s="591">
        <v>757</v>
      </c>
      <c r="BC153" s="47"/>
      <c r="BI153" s="219"/>
      <c r="BJ153">
        <v>1997</v>
      </c>
      <c r="BK153" s="224" t="s">
        <v>668</v>
      </c>
      <c r="BL153" s="130"/>
      <c r="BM153" s="130"/>
      <c r="BN153" s="130"/>
      <c r="BO153" s="130"/>
      <c r="BP153" s="130">
        <f t="shared" ref="BP153" si="54">BP121-BP12</f>
        <v>1020.9230769230767</v>
      </c>
      <c r="BQ153" s="130">
        <f t="shared" si="49"/>
        <v>0</v>
      </c>
      <c r="BR153" s="130"/>
      <c r="BS153" s="130"/>
      <c r="BT153" s="130"/>
    </row>
    <row r="154" spans="40:72" ht="15.75" thickBot="1" x14ac:dyDescent="0.3">
      <c r="AN154" s="585">
        <v>2018</v>
      </c>
      <c r="AO154" s="586">
        <v>944</v>
      </c>
      <c r="AP154" s="586">
        <v>539</v>
      </c>
      <c r="AQ154" s="586">
        <v>944</v>
      </c>
      <c r="BC154" s="47"/>
      <c r="BJ154">
        <v>1998</v>
      </c>
      <c r="BK154" s="224" t="s">
        <v>668</v>
      </c>
      <c r="BL154" s="130"/>
      <c r="BM154" s="130"/>
      <c r="BN154" s="130"/>
      <c r="BO154" s="130"/>
      <c r="BP154" s="130">
        <f t="shared" ref="BP154" si="55">BP122-BP13</f>
        <v>172.84615384615381</v>
      </c>
      <c r="BQ154" s="130">
        <f t="shared" si="49"/>
        <v>0</v>
      </c>
      <c r="BR154" s="130"/>
      <c r="BS154" s="130"/>
      <c r="BT154" s="130"/>
    </row>
    <row r="155" spans="40:72" x14ac:dyDescent="0.25">
      <c r="BC155" s="47"/>
      <c r="BJ155">
        <v>1999</v>
      </c>
      <c r="BK155" s="224" t="s">
        <v>668</v>
      </c>
      <c r="BL155" s="130"/>
      <c r="BM155" s="130"/>
      <c r="BN155" s="130"/>
      <c r="BO155" s="130"/>
      <c r="BP155" s="130">
        <f t="shared" ref="BP155" si="56">BP123-BP14</f>
        <v>82.384615384615387</v>
      </c>
      <c r="BQ155" s="130">
        <f t="shared" si="49"/>
        <v>0</v>
      </c>
      <c r="BR155" s="130"/>
      <c r="BS155" s="130"/>
      <c r="BT155" s="130"/>
    </row>
    <row r="156" spans="40:72" ht="15.75" thickBot="1" x14ac:dyDescent="0.3">
      <c r="AN156" t="s">
        <v>1172</v>
      </c>
      <c r="BJ156">
        <v>2000</v>
      </c>
      <c r="BK156" s="224" t="s">
        <v>586</v>
      </c>
      <c r="BL156" s="130"/>
      <c r="BM156" s="130"/>
      <c r="BN156" s="130"/>
      <c r="BO156" s="130"/>
      <c r="BP156" s="130">
        <f t="shared" ref="BP156" si="57">BP124-BP15</f>
        <v>2177.6065573770493</v>
      </c>
      <c r="BQ156" s="130">
        <f t="shared" si="49"/>
        <v>0</v>
      </c>
      <c r="BR156" s="130"/>
      <c r="BS156" s="130"/>
      <c r="BT156" s="130"/>
    </row>
    <row r="157" spans="40:72" ht="53.25" thickBot="1" x14ac:dyDescent="0.3">
      <c r="AN157" s="582" t="s">
        <v>1154</v>
      </c>
      <c r="AO157" s="577" t="s">
        <v>1167</v>
      </c>
      <c r="AP157" s="577" t="s">
        <v>1168</v>
      </c>
      <c r="AQ157" s="577" t="s">
        <v>1169</v>
      </c>
      <c r="AR157" s="577" t="s">
        <v>1170</v>
      </c>
      <c r="AS157" s="577" t="s">
        <v>1171</v>
      </c>
      <c r="BJ157">
        <v>2001</v>
      </c>
      <c r="BK157" s="224" t="s">
        <v>584</v>
      </c>
      <c r="BL157" s="130"/>
      <c r="BM157" s="130"/>
      <c r="BN157" s="130"/>
      <c r="BO157" s="130"/>
      <c r="BP157" s="130">
        <f t="shared" ref="BP157" si="58">BP125-BP16</f>
        <v>3450.8571428571422</v>
      </c>
      <c r="BQ157" s="130">
        <f t="shared" si="49"/>
        <v>0</v>
      </c>
      <c r="BR157" s="130"/>
      <c r="BS157" s="130"/>
      <c r="BT157" s="130"/>
    </row>
    <row r="158" spans="40:72" ht="15.75" thickBot="1" x14ac:dyDescent="0.3">
      <c r="AN158" s="583">
        <v>1996</v>
      </c>
      <c r="AO158" s="578"/>
      <c r="AP158" s="579">
        <v>1526</v>
      </c>
      <c r="AQ158" s="578"/>
      <c r="AR158" s="578"/>
      <c r="AS158" s="579">
        <v>1526</v>
      </c>
      <c r="BJ158">
        <v>2002</v>
      </c>
      <c r="BK158" s="224" t="s">
        <v>584</v>
      </c>
      <c r="BL158" s="130">
        <f t="shared" ref="BL158:BP161" si="59">BL126-BL17</f>
        <v>2524.7142857142853</v>
      </c>
      <c r="BM158" s="130">
        <f t="shared" si="59"/>
        <v>882.00000000000023</v>
      </c>
      <c r="BN158" s="130">
        <f t="shared" si="59"/>
        <v>47.102564102564088</v>
      </c>
      <c r="BO158" s="130">
        <f t="shared" si="59"/>
        <v>0</v>
      </c>
      <c r="BP158" s="130">
        <f t="shared" si="59"/>
        <v>2625.9767441860458</v>
      </c>
      <c r="BQ158" s="130">
        <f t="shared" si="49"/>
        <v>506.37209302325573</v>
      </c>
      <c r="BR158" s="130">
        <f>BR126-BR17</f>
        <v>69.22891566265065</v>
      </c>
      <c r="BS158" s="130"/>
      <c r="BT158" s="130">
        <f>BT126-BT17</f>
        <v>220.5</v>
      </c>
    </row>
    <row r="159" spans="40:72" ht="15.75" thickBot="1" x14ac:dyDescent="0.3">
      <c r="AN159" s="584">
        <v>1997</v>
      </c>
      <c r="AO159" s="580"/>
      <c r="AP159" s="581">
        <v>4036</v>
      </c>
      <c r="AQ159" s="580"/>
      <c r="AR159" s="580"/>
      <c r="AS159" s="581">
        <v>4036</v>
      </c>
      <c r="BJ159">
        <v>2003</v>
      </c>
      <c r="BK159" s="224" t="s">
        <v>584</v>
      </c>
      <c r="BL159" s="130">
        <f t="shared" si="59"/>
        <v>694.14285714285711</v>
      </c>
      <c r="BM159" s="130">
        <f t="shared" si="59"/>
        <v>290</v>
      </c>
      <c r="BN159" s="130">
        <f t="shared" si="59"/>
        <v>0</v>
      </c>
      <c r="BO159" s="130">
        <f t="shared" si="59"/>
        <v>37.333333333333314</v>
      </c>
      <c r="BP159" s="130">
        <f t="shared" si="59"/>
        <v>278.55555555555566</v>
      </c>
      <c r="BQ159" s="130">
        <f t="shared" si="49"/>
        <v>0</v>
      </c>
      <c r="BR159" s="130"/>
      <c r="BS159" s="130"/>
      <c r="BT159" s="130"/>
    </row>
    <row r="160" spans="40:72" ht="15.75" thickBot="1" x14ac:dyDescent="0.3">
      <c r="AN160" s="583">
        <v>1998</v>
      </c>
      <c r="AO160" s="579">
        <v>8268</v>
      </c>
      <c r="AP160" s="578">
        <v>0</v>
      </c>
      <c r="AQ160" s="578"/>
      <c r="AR160" s="578"/>
      <c r="AS160" s="578">
        <v>0</v>
      </c>
      <c r="BJ160">
        <v>2004</v>
      </c>
      <c r="BK160" s="224" t="s">
        <v>585</v>
      </c>
      <c r="BL160" s="130">
        <f t="shared" si="59"/>
        <v>915.28571428571422</v>
      </c>
      <c r="BM160" s="130">
        <f t="shared" si="59"/>
        <v>261.33333333333326</v>
      </c>
      <c r="BN160" s="130">
        <f t="shared" si="59"/>
        <v>0</v>
      </c>
      <c r="BO160" s="130">
        <f t="shared" si="59"/>
        <v>65.652173913043498</v>
      </c>
      <c r="BP160" s="130">
        <f t="shared" si="59"/>
        <v>547.42857142857156</v>
      </c>
      <c r="BQ160" s="130">
        <f t="shared" si="49"/>
        <v>134.77777777777783</v>
      </c>
      <c r="BR160" s="130"/>
      <c r="BS160" s="130"/>
      <c r="BT160" s="130"/>
    </row>
    <row r="161" spans="40:73" ht="15.75" thickBot="1" x14ac:dyDescent="0.3">
      <c r="AN161" s="584">
        <v>1999</v>
      </c>
      <c r="AO161" s="581">
        <v>22229</v>
      </c>
      <c r="AP161" s="581">
        <v>4781</v>
      </c>
      <c r="AQ161" s="580"/>
      <c r="AR161" s="580"/>
      <c r="AS161" s="581">
        <v>4781</v>
      </c>
      <c r="BJ161">
        <v>2005</v>
      </c>
      <c r="BK161" s="224" t="s">
        <v>585</v>
      </c>
      <c r="BL161" s="130">
        <f t="shared" si="59"/>
        <v>237</v>
      </c>
      <c r="BM161" s="130">
        <f t="shared" si="59"/>
        <v>123.1875</v>
      </c>
      <c r="BN161" s="130">
        <f t="shared" si="59"/>
        <v>4.989898989899018</v>
      </c>
      <c r="BO161" s="130">
        <f t="shared" si="59"/>
        <v>0</v>
      </c>
      <c r="BP161" s="130">
        <f t="shared" si="59"/>
        <v>505.94444444444457</v>
      </c>
      <c r="BQ161" s="130">
        <f t="shared" si="49"/>
        <v>0</v>
      </c>
      <c r="BR161" s="130">
        <f t="shared" ref="BR161:BR172" si="60">BR129-BR20</f>
        <v>1490.333333333333</v>
      </c>
      <c r="BS161" s="130"/>
      <c r="BT161" s="130">
        <f>BT129-BT20</f>
        <v>1032.5454545454545</v>
      </c>
    </row>
    <row r="162" spans="40:73" ht="15.75" thickBot="1" x14ac:dyDescent="0.3">
      <c r="AN162" s="583">
        <v>2000</v>
      </c>
      <c r="AO162" s="579">
        <v>31327</v>
      </c>
      <c r="AP162" s="579">
        <v>1292</v>
      </c>
      <c r="AQ162" s="578"/>
      <c r="AR162" s="578"/>
      <c r="AS162" s="579">
        <v>1292</v>
      </c>
      <c r="BJ162">
        <v>2006</v>
      </c>
      <c r="BK162" s="224" t="s">
        <v>586</v>
      </c>
      <c r="BL162" s="130">
        <f t="shared" ref="BL162:BL168" si="61">BL130-BL21</f>
        <v>388.49999999999989</v>
      </c>
      <c r="BM162" s="130"/>
      <c r="BN162" s="130">
        <f>BN130-BN21</f>
        <v>46.777777777777771</v>
      </c>
      <c r="BO162" s="130">
        <f>BO130-BO21</f>
        <v>37.842105263157919</v>
      </c>
      <c r="BP162" s="130">
        <f t="shared" ref="BP162" si="62">BP130-BP21</f>
        <v>10969.333333333334</v>
      </c>
      <c r="BQ162" s="130"/>
      <c r="BR162" s="130">
        <f t="shared" si="60"/>
        <v>527.33333333333326</v>
      </c>
      <c r="BS162" s="130"/>
      <c r="BT162" s="130">
        <f>BT130-BT21</f>
        <v>344.30769230769226</v>
      </c>
    </row>
    <row r="163" spans="40:73" ht="15.75" thickBot="1" x14ac:dyDescent="0.3">
      <c r="AN163" s="584">
        <v>2001</v>
      </c>
      <c r="AO163" s="581">
        <v>37068</v>
      </c>
      <c r="AP163" s="581">
        <v>2794</v>
      </c>
      <c r="AQ163" s="580"/>
      <c r="AR163" s="580"/>
      <c r="AS163" s="581">
        <v>2794</v>
      </c>
      <c r="BJ163">
        <v>2007</v>
      </c>
      <c r="BK163" s="224" t="s">
        <v>586</v>
      </c>
      <c r="BL163" s="130">
        <f t="shared" si="61"/>
        <v>14</v>
      </c>
      <c r="BM163" s="130">
        <f t="shared" ref="BM163:BM168" si="63">BM131-BM22</f>
        <v>220.65306122448982</v>
      </c>
      <c r="BN163" s="130">
        <f>BN131-BN22</f>
        <v>38.625</v>
      </c>
      <c r="BO163" s="130">
        <f>BO131-BO22</f>
        <v>0</v>
      </c>
      <c r="BP163" s="130">
        <f t="shared" ref="BP163" si="64">BP131-BP22</f>
        <v>587.34883720930247</v>
      </c>
      <c r="BQ163" s="130">
        <f>BQ131-BQ22</f>
        <v>67.945054945054949</v>
      </c>
      <c r="BR163" s="130">
        <f t="shared" si="60"/>
        <v>255.81818181818187</v>
      </c>
      <c r="BS163" s="130"/>
      <c r="BT163" s="130">
        <f>BT131-BT22</f>
        <v>139.09090909090907</v>
      </c>
    </row>
    <row r="164" spans="40:73" ht="15.75" thickBot="1" x14ac:dyDescent="0.3">
      <c r="AN164" s="583">
        <v>2002</v>
      </c>
      <c r="AO164" s="579">
        <v>54188</v>
      </c>
      <c r="AP164" s="579">
        <v>8349</v>
      </c>
      <c r="AQ164" s="578"/>
      <c r="AR164" s="578"/>
      <c r="AS164" s="579">
        <v>8349</v>
      </c>
      <c r="BJ164">
        <v>2008</v>
      </c>
      <c r="BK164" s="224" t="s">
        <v>585</v>
      </c>
      <c r="BL164" s="130">
        <f t="shared" si="61"/>
        <v>23.128205128205124</v>
      </c>
      <c r="BM164" s="130">
        <f t="shared" si="63"/>
        <v>63.529411764705912</v>
      </c>
      <c r="BN164" s="130">
        <v>0</v>
      </c>
      <c r="BO164" s="130">
        <v>0</v>
      </c>
      <c r="BP164" s="130">
        <f t="shared" ref="BP164" si="65">BP132-BP23</f>
        <v>1385.9999999999995</v>
      </c>
      <c r="BQ164" s="130">
        <v>0</v>
      </c>
      <c r="BR164" s="130">
        <f t="shared" si="60"/>
        <v>189.96296296296293</v>
      </c>
      <c r="BS164" s="130"/>
      <c r="BT164" s="130">
        <f>BT132-BT23</f>
        <v>28.183098591549296</v>
      </c>
    </row>
    <row r="165" spans="40:73" ht="15.75" thickBot="1" x14ac:dyDescent="0.3">
      <c r="AN165" s="584">
        <v>2003</v>
      </c>
      <c r="AO165" s="581">
        <v>20695</v>
      </c>
      <c r="AP165" s="581">
        <v>7988</v>
      </c>
      <c r="AQ165" s="580"/>
      <c r="AR165" s="580"/>
      <c r="AS165" s="581">
        <v>7988</v>
      </c>
      <c r="BJ165">
        <v>2009</v>
      </c>
      <c r="BK165" s="224" t="s">
        <v>584</v>
      </c>
      <c r="BL165" s="130">
        <f t="shared" si="61"/>
        <v>299.00000000000017</v>
      </c>
      <c r="BM165" s="130">
        <f t="shared" si="63"/>
        <v>929.73913043478274</v>
      </c>
      <c r="BN165" s="130">
        <f t="shared" ref="BN165:BN173" si="66">BN133-BN24</f>
        <v>12.070707070707158</v>
      </c>
      <c r="BO165" s="130">
        <v>0</v>
      </c>
      <c r="BP165" s="130">
        <f t="shared" ref="BP165" si="67">BP133-BP24</f>
        <v>2952.2465753424658</v>
      </c>
      <c r="BQ165" s="130">
        <f t="shared" ref="BQ165:BQ172" si="68">BQ133-BQ24</f>
        <v>165.88888888888891</v>
      </c>
      <c r="BR165" s="130">
        <f t="shared" si="60"/>
        <v>191.15492957746483</v>
      </c>
      <c r="BS165" s="130"/>
      <c r="BT165" s="130"/>
    </row>
    <row r="166" spans="40:73" ht="15.75" thickBot="1" x14ac:dyDescent="0.3">
      <c r="AN166" s="583">
        <v>2004</v>
      </c>
      <c r="AO166" s="579">
        <v>28665</v>
      </c>
      <c r="AP166" s="579">
        <v>4694</v>
      </c>
      <c r="AQ166" s="578"/>
      <c r="AR166" s="578"/>
      <c r="AS166" s="579">
        <v>4694</v>
      </c>
      <c r="BJ166">
        <v>2010</v>
      </c>
      <c r="BK166" s="224" t="s">
        <v>584</v>
      </c>
      <c r="BL166" s="130">
        <f t="shared" si="61"/>
        <v>106.35897435897436</v>
      </c>
      <c r="BM166" s="130">
        <f t="shared" si="63"/>
        <v>119.57142857142861</v>
      </c>
      <c r="BN166" s="130">
        <f t="shared" si="66"/>
        <v>52.144329896907266</v>
      </c>
      <c r="BO166" s="130">
        <v>0</v>
      </c>
      <c r="BP166" s="130">
        <f t="shared" ref="BP166" si="69">BP134-BP25</f>
        <v>2236.1818181818185</v>
      </c>
      <c r="BQ166" s="130">
        <f t="shared" si="68"/>
        <v>122.86363636363637</v>
      </c>
      <c r="BR166" s="130">
        <f t="shared" si="60"/>
        <v>69.247311827957105</v>
      </c>
      <c r="BS166" s="130"/>
      <c r="BT166" s="130">
        <f t="shared" ref="BT166:BT172" si="70">BT134-BT25</f>
        <v>1263.6666666666665</v>
      </c>
    </row>
    <row r="167" spans="40:73" ht="15.75" thickBot="1" x14ac:dyDescent="0.3">
      <c r="AN167" s="584">
        <v>2005</v>
      </c>
      <c r="AO167" s="581">
        <v>22319</v>
      </c>
      <c r="AP167" s="581">
        <v>5788</v>
      </c>
      <c r="AQ167" s="580"/>
      <c r="AR167" s="580"/>
      <c r="AS167" s="581">
        <v>5788</v>
      </c>
      <c r="BJ167">
        <v>2011</v>
      </c>
      <c r="BK167" s="224" t="s">
        <v>584</v>
      </c>
      <c r="BL167" s="130">
        <f t="shared" si="61"/>
        <v>312.52941176470591</v>
      </c>
      <c r="BM167" s="130">
        <f t="shared" si="63"/>
        <v>173.33333333333337</v>
      </c>
      <c r="BN167" s="130">
        <f t="shared" si="66"/>
        <v>15.616161616161662</v>
      </c>
      <c r="BO167" s="130">
        <v>0</v>
      </c>
      <c r="BP167" s="130">
        <f t="shared" ref="BP167" si="71">BP135-BP26</f>
        <v>250.44444444444434</v>
      </c>
      <c r="BQ167" s="130">
        <f t="shared" si="68"/>
        <v>303.82608695652152</v>
      </c>
      <c r="BR167" s="130">
        <f t="shared" si="60"/>
        <v>253.56521739130437</v>
      </c>
      <c r="BS167" s="130"/>
      <c r="BT167" s="130">
        <f t="shared" si="70"/>
        <v>516.38709677419342</v>
      </c>
    </row>
    <row r="168" spans="40:73" ht="15.75" thickBot="1" x14ac:dyDescent="0.3">
      <c r="AN168" s="583">
        <v>2006</v>
      </c>
      <c r="AO168" s="579">
        <v>25574</v>
      </c>
      <c r="AP168" s="579">
        <v>5486</v>
      </c>
      <c r="AQ168" s="578"/>
      <c r="AR168" s="578"/>
      <c r="AS168" s="579">
        <v>5486</v>
      </c>
      <c r="BJ168">
        <v>2012</v>
      </c>
      <c r="BK168" s="224" t="s">
        <v>585</v>
      </c>
      <c r="BL168" s="130">
        <f t="shared" si="61"/>
        <v>114.39622641509433</v>
      </c>
      <c r="BM168" s="130">
        <f t="shared" si="63"/>
        <v>108.72151898734171</v>
      </c>
      <c r="BN168" s="130">
        <f t="shared" si="66"/>
        <v>76.505617977528118</v>
      </c>
      <c r="BO168" s="130">
        <v>0</v>
      </c>
      <c r="BP168" s="130">
        <f t="shared" ref="BP168" si="72">BP136-BP27</f>
        <v>175.55555555555543</v>
      </c>
      <c r="BQ168" s="130">
        <f t="shared" si="68"/>
        <v>36.030927835051671</v>
      </c>
      <c r="BR168" s="130">
        <f t="shared" si="60"/>
        <v>122.18181818181822</v>
      </c>
      <c r="BS168" s="130"/>
      <c r="BT168" s="130">
        <f t="shared" si="70"/>
        <v>599.18181818181824</v>
      </c>
    </row>
    <row r="169" spans="40:73" ht="15.75" thickBot="1" x14ac:dyDescent="0.3">
      <c r="AN169" s="584">
        <v>2007</v>
      </c>
      <c r="AO169" s="581">
        <v>5691</v>
      </c>
      <c r="AP169" s="581">
        <v>3915</v>
      </c>
      <c r="AQ169" s="580"/>
      <c r="AR169" s="580"/>
      <c r="AS169" s="581">
        <v>3915</v>
      </c>
      <c r="BJ169">
        <v>2013</v>
      </c>
      <c r="BK169" s="224" t="s">
        <v>585</v>
      </c>
      <c r="BL169" s="130"/>
      <c r="BM169" s="130"/>
      <c r="BN169" s="130">
        <f t="shared" si="66"/>
        <v>75.51685393258424</v>
      </c>
      <c r="BO169" s="130">
        <v>0</v>
      </c>
      <c r="BP169" s="130">
        <f t="shared" ref="BP169" si="73">BP137-BP28</f>
        <v>32.343434343434183</v>
      </c>
      <c r="BQ169" s="130">
        <f t="shared" si="68"/>
        <v>90.954545454545496</v>
      </c>
      <c r="BR169" s="130">
        <f t="shared" si="60"/>
        <v>9.6382978723404449</v>
      </c>
      <c r="BS169" s="130"/>
      <c r="BT169" s="130">
        <f t="shared" si="70"/>
        <v>1041.8571428571429</v>
      </c>
    </row>
    <row r="170" spans="40:73" ht="15.75" thickBot="1" x14ac:dyDescent="0.3">
      <c r="AN170" s="583">
        <v>2008</v>
      </c>
      <c r="AO170" s="579">
        <v>13805</v>
      </c>
      <c r="AP170" s="579">
        <v>4749</v>
      </c>
      <c r="AQ170" s="578"/>
      <c r="AR170" s="578"/>
      <c r="AS170" s="579">
        <v>4749</v>
      </c>
      <c r="BJ170">
        <v>2014</v>
      </c>
      <c r="BK170" s="224" t="s">
        <v>584</v>
      </c>
      <c r="BL170" s="130"/>
      <c r="BM170" s="130"/>
      <c r="BN170" s="130">
        <f t="shared" si="66"/>
        <v>135.25</v>
      </c>
      <c r="BO170" s="130">
        <v>0</v>
      </c>
      <c r="BP170" s="130">
        <f t="shared" ref="BP170" si="74">BP138-BP29</f>
        <v>1736.9767441860458</v>
      </c>
      <c r="BQ170" s="130">
        <f t="shared" si="68"/>
        <v>183.77319587628881</v>
      </c>
      <c r="BR170" s="130">
        <f t="shared" si="60"/>
        <v>376.77551020408168</v>
      </c>
      <c r="BS170" s="130"/>
      <c r="BT170" s="130">
        <f t="shared" si="70"/>
        <v>133</v>
      </c>
    </row>
    <row r="171" spans="40:73" ht="15.75" thickBot="1" x14ac:dyDescent="0.3">
      <c r="AN171" s="584">
        <v>2009</v>
      </c>
      <c r="AO171" s="581">
        <v>16163</v>
      </c>
      <c r="AP171" s="581">
        <v>5751</v>
      </c>
      <c r="AQ171" s="580"/>
      <c r="AR171" s="580"/>
      <c r="AS171" s="581">
        <v>5751</v>
      </c>
      <c r="BJ171">
        <v>2015</v>
      </c>
      <c r="BK171" s="224" t="s">
        <v>586</v>
      </c>
      <c r="BL171" s="130"/>
      <c r="BM171" s="130"/>
      <c r="BN171" s="130">
        <f t="shared" si="66"/>
        <v>10</v>
      </c>
      <c r="BO171" s="130">
        <v>0</v>
      </c>
      <c r="BP171" s="130">
        <f t="shared" ref="BP171" si="75">BP139-BP30</f>
        <v>220.49438202247188</v>
      </c>
      <c r="BQ171" s="130">
        <f t="shared" si="68"/>
        <v>18.458333333333371</v>
      </c>
      <c r="BR171" s="130">
        <f t="shared" si="60"/>
        <v>18.387096774193552</v>
      </c>
      <c r="BS171" s="130"/>
      <c r="BT171" s="130">
        <f t="shared" si="70"/>
        <v>7.1111111111111107</v>
      </c>
    </row>
    <row r="172" spans="40:73" ht="15.75" thickBot="1" x14ac:dyDescent="0.3">
      <c r="AN172" s="583">
        <v>2010</v>
      </c>
      <c r="AO172" s="579">
        <v>21508</v>
      </c>
      <c r="AP172" s="579">
        <v>2801</v>
      </c>
      <c r="AQ172" s="579">
        <v>18842</v>
      </c>
      <c r="AR172" s="579">
        <v>2905</v>
      </c>
      <c r="AS172" s="579">
        <v>2905</v>
      </c>
      <c r="BJ172">
        <v>2016</v>
      </c>
      <c r="BK172" s="224" t="s">
        <v>585</v>
      </c>
      <c r="BL172" s="130"/>
      <c r="BM172" s="130"/>
      <c r="BN172" s="130">
        <f t="shared" si="66"/>
        <v>29.617021276595779</v>
      </c>
      <c r="BO172" s="130">
        <f>BO140-BO31</f>
        <v>37.113402061855595</v>
      </c>
      <c r="BP172" s="130">
        <f t="shared" ref="BP172" si="76">BP140-BP31</f>
        <v>161.01098901098885</v>
      </c>
      <c r="BQ172" s="130">
        <f t="shared" si="68"/>
        <v>29.041237113402076</v>
      </c>
      <c r="BR172" s="130">
        <f t="shared" si="60"/>
        <v>29.731182795698942</v>
      </c>
      <c r="BS172" s="130"/>
      <c r="BT172" s="130">
        <f t="shared" si="70"/>
        <v>105.85714285714286</v>
      </c>
    </row>
    <row r="173" spans="40:73" ht="15.75" thickBot="1" x14ac:dyDescent="0.3">
      <c r="AN173" s="584">
        <v>2011</v>
      </c>
      <c r="AO173" s="581">
        <v>13716</v>
      </c>
      <c r="AP173" s="581">
        <v>7723</v>
      </c>
      <c r="AQ173" s="581">
        <v>12422</v>
      </c>
      <c r="AR173" s="581">
        <v>7878</v>
      </c>
      <c r="AS173" s="581">
        <v>7878</v>
      </c>
      <c r="BJ173">
        <v>2017</v>
      </c>
      <c r="BK173" s="224" t="s">
        <v>235</v>
      </c>
      <c r="BL173" s="130"/>
      <c r="BM173" s="130"/>
      <c r="BN173" s="130">
        <f t="shared" si="66"/>
        <v>132.76543209876536</v>
      </c>
      <c r="BO173" s="130">
        <f>BO141-BO32</f>
        <v>7.8775510204081911</v>
      </c>
      <c r="BP173" s="130">
        <f t="shared" ref="BP173" si="77">BP141-BP32</f>
        <v>1036.0909090909099</v>
      </c>
      <c r="BQ173" s="130">
        <v>0</v>
      </c>
      <c r="BR173" s="130"/>
      <c r="BS173" s="130"/>
      <c r="BT173" s="130"/>
    </row>
    <row r="174" spans="40:73" ht="15.75" thickBot="1" x14ac:dyDescent="0.3">
      <c r="AN174" s="583">
        <v>2012</v>
      </c>
      <c r="AO174" s="579">
        <v>2424</v>
      </c>
      <c r="AP174" s="579">
        <v>1619</v>
      </c>
      <c r="AQ174" s="579">
        <v>5142</v>
      </c>
      <c r="AR174" s="579">
        <v>1687</v>
      </c>
      <c r="AS174" s="579">
        <v>1687</v>
      </c>
      <c r="BJ174">
        <v>2018</v>
      </c>
      <c r="BK174" s="224" t="s">
        <v>235</v>
      </c>
      <c r="BL174" s="130"/>
      <c r="BM174" s="130"/>
      <c r="BN174" s="130"/>
      <c r="BO174" s="130"/>
      <c r="BP174" s="130"/>
      <c r="BQ174" s="130"/>
      <c r="BR174" s="130"/>
      <c r="BS174" s="130"/>
      <c r="BT174" s="130"/>
    </row>
    <row r="175" spans="40:73" ht="15.75" thickBot="1" x14ac:dyDescent="0.3">
      <c r="AN175" s="584">
        <v>2013</v>
      </c>
      <c r="AO175" s="581">
        <v>7941</v>
      </c>
      <c r="AP175" s="580">
        <v>4</v>
      </c>
      <c r="AQ175" s="581">
        <v>5797</v>
      </c>
      <c r="AR175" s="580">
        <v>8</v>
      </c>
      <c r="AS175" s="580">
        <v>8</v>
      </c>
    </row>
    <row r="176" spans="40:73" ht="15.75" thickBot="1" x14ac:dyDescent="0.3">
      <c r="AN176" s="583">
        <v>2014</v>
      </c>
      <c r="AO176" s="579">
        <v>25147</v>
      </c>
      <c r="AP176" s="579">
        <v>6923</v>
      </c>
      <c r="AQ176" s="579">
        <v>22590</v>
      </c>
      <c r="AR176" s="579">
        <v>6921</v>
      </c>
      <c r="AS176" s="579">
        <v>6921</v>
      </c>
      <c r="BJ176" t="s">
        <v>776</v>
      </c>
      <c r="BL176" s="47">
        <f>AVERAGE(BL164:BL168)</f>
        <v>171.08256353339598</v>
      </c>
      <c r="BM176" s="47">
        <f>AVERAGE(BM164:BM168)</f>
        <v>278.97896461831851</v>
      </c>
      <c r="BN176" s="47"/>
      <c r="BO176" s="47"/>
      <c r="BP176" s="47"/>
      <c r="BQ176" s="47"/>
      <c r="BR176" s="47"/>
      <c r="BS176" s="47"/>
      <c r="BT176" s="47"/>
      <c r="BU176" s="413" t="s">
        <v>767</v>
      </c>
    </row>
    <row r="177" spans="40:73" ht="15.75" thickBot="1" x14ac:dyDescent="0.3">
      <c r="AN177" s="584">
        <v>2015</v>
      </c>
      <c r="AO177" s="581">
        <v>1012</v>
      </c>
      <c r="AP177" s="580">
        <v>378</v>
      </c>
      <c r="AQ177" s="580">
        <v>949</v>
      </c>
      <c r="AR177" s="580">
        <v>381</v>
      </c>
      <c r="AS177" s="580">
        <v>381</v>
      </c>
      <c r="BJ177" t="s">
        <v>777</v>
      </c>
      <c r="BL177" s="47"/>
      <c r="BM177" s="47"/>
      <c r="BN177" s="47"/>
      <c r="BO177" s="47"/>
      <c r="BP177" s="47"/>
      <c r="BQ177" s="47"/>
      <c r="BR177" s="47">
        <f>AVERAGE(BR163:BR172)</f>
        <v>151.6462509406004</v>
      </c>
      <c r="BS177" s="47"/>
      <c r="BT177" s="47">
        <f>AVERAGE(BT163:BT172)</f>
        <v>426.03722068117042</v>
      </c>
      <c r="BU177" s="414" t="s">
        <v>10</v>
      </c>
    </row>
    <row r="178" spans="40:73" ht="15.75" thickBot="1" x14ac:dyDescent="0.3">
      <c r="AN178" s="583">
        <v>2016</v>
      </c>
      <c r="AO178" s="579">
        <v>10654</v>
      </c>
      <c r="AP178" s="578">
        <v>925</v>
      </c>
      <c r="AQ178" s="579">
        <v>8771</v>
      </c>
      <c r="AR178" s="578">
        <v>906</v>
      </c>
      <c r="AS178" s="578">
        <v>906</v>
      </c>
      <c r="BJ178" s="25" t="s">
        <v>778</v>
      </c>
      <c r="BK178" s="25"/>
      <c r="BL178" s="363"/>
      <c r="BM178" s="363"/>
      <c r="BN178" s="363">
        <f>AVERAGE(BN164:BN173)</f>
        <v>53.948612386924957</v>
      </c>
      <c r="BO178" s="363">
        <f>AVERAGE(BO164:BO173)</f>
        <v>4.4990953082263783</v>
      </c>
      <c r="BP178" s="363">
        <f>AVERAGE(BP164:BP173)</f>
        <v>1018.7344852178136</v>
      </c>
      <c r="BQ178" s="363">
        <f>AVERAGE(BQ164:BQ173)</f>
        <v>95.083685182166818</v>
      </c>
      <c r="BR178" s="363"/>
      <c r="BS178" s="363"/>
      <c r="BT178" s="363"/>
      <c r="BU178" s="415">
        <f>SUM(BL176:BT178)</f>
        <v>2200.0108778686167</v>
      </c>
    </row>
    <row r="179" spans="40:73" ht="15.75" thickBot="1" x14ac:dyDescent="0.3">
      <c r="AN179" s="584">
        <v>2017</v>
      </c>
      <c r="AO179" s="581">
        <v>7495</v>
      </c>
      <c r="AP179" s="581">
        <v>5279</v>
      </c>
      <c r="AQ179" s="581">
        <v>2740</v>
      </c>
      <c r="AR179" s="581">
        <v>2621</v>
      </c>
      <c r="AS179" s="581">
        <v>2621</v>
      </c>
    </row>
    <row r="180" spans="40:73" ht="15.75" thickBot="1" x14ac:dyDescent="0.3">
      <c r="AN180" s="585">
        <v>2018</v>
      </c>
      <c r="AO180" s="587">
        <v>6080</v>
      </c>
      <c r="AP180" s="586">
        <v>168</v>
      </c>
      <c r="AQ180" s="587">
        <v>5109</v>
      </c>
      <c r="AR180" s="586">
        <v>169</v>
      </c>
      <c r="AS180" s="586">
        <v>169</v>
      </c>
    </row>
    <row r="182" spans="40:73" ht="15.75" thickBot="1" x14ac:dyDescent="0.3">
      <c r="AN182" t="s">
        <v>246</v>
      </c>
    </row>
    <row r="183" spans="40:73" ht="53.25" thickBot="1" x14ac:dyDescent="0.3">
      <c r="AN183" s="582" t="s">
        <v>387</v>
      </c>
      <c r="AO183" s="577" t="s">
        <v>1167</v>
      </c>
      <c r="AP183" s="577" t="s">
        <v>1168</v>
      </c>
      <c r="AQ183" s="577" t="s">
        <v>1169</v>
      </c>
      <c r="AR183" s="577" t="s">
        <v>1170</v>
      </c>
      <c r="AS183" s="577" t="s">
        <v>1171</v>
      </c>
    </row>
    <row r="184" spans="40:73" ht="15.75" thickBot="1" x14ac:dyDescent="0.3">
      <c r="AN184" s="583">
        <v>1996</v>
      </c>
      <c r="AO184" s="578"/>
      <c r="AP184" s="579">
        <v>1526</v>
      </c>
      <c r="AQ184" s="578"/>
      <c r="AR184" s="578"/>
      <c r="AS184" s="579">
        <v>1526</v>
      </c>
    </row>
    <row r="185" spans="40:73" ht="15.75" thickBot="1" x14ac:dyDescent="0.3">
      <c r="AN185" s="584">
        <v>1997</v>
      </c>
      <c r="AO185" s="580"/>
      <c r="AP185" s="581">
        <v>4036</v>
      </c>
      <c r="AQ185" s="580"/>
      <c r="AR185" s="580"/>
      <c r="AS185" s="581">
        <v>4036</v>
      </c>
    </row>
    <row r="186" spans="40:73" ht="15.75" thickBot="1" x14ac:dyDescent="0.3">
      <c r="AN186" s="583">
        <v>1998</v>
      </c>
      <c r="AO186" s="579">
        <v>8268</v>
      </c>
      <c r="AP186" s="578">
        <v>0</v>
      </c>
      <c r="AQ186" s="578"/>
      <c r="AR186" s="578"/>
      <c r="AS186" s="578">
        <v>0</v>
      </c>
    </row>
    <row r="187" spans="40:73" ht="15.75" thickBot="1" x14ac:dyDescent="0.3">
      <c r="AN187" s="584">
        <v>1999</v>
      </c>
      <c r="AO187" s="581">
        <v>22229</v>
      </c>
      <c r="AP187" s="581">
        <v>4781</v>
      </c>
      <c r="AQ187" s="580"/>
      <c r="AR187" s="580"/>
      <c r="AS187" s="581">
        <v>4781</v>
      </c>
    </row>
    <row r="188" spans="40:73" ht="15.75" thickBot="1" x14ac:dyDescent="0.3">
      <c r="AN188" s="583">
        <v>2000</v>
      </c>
      <c r="AO188" s="579">
        <v>31327</v>
      </c>
      <c r="AP188" s="579">
        <v>1292</v>
      </c>
      <c r="AQ188" s="578"/>
      <c r="AR188" s="578"/>
      <c r="AS188" s="579">
        <v>1292</v>
      </c>
    </row>
    <row r="189" spans="40:73" ht="15.75" thickBot="1" x14ac:dyDescent="0.3">
      <c r="AN189" s="584">
        <v>2001</v>
      </c>
      <c r="AO189" s="581">
        <v>37068</v>
      </c>
      <c r="AP189" s="581">
        <v>2794</v>
      </c>
      <c r="AQ189" s="580"/>
      <c r="AR189" s="580"/>
      <c r="AS189" s="581">
        <v>2794</v>
      </c>
    </row>
    <row r="190" spans="40:73" ht="15.75" thickBot="1" x14ac:dyDescent="0.3">
      <c r="AN190" s="583">
        <v>2002</v>
      </c>
      <c r="AO190" s="579">
        <v>54188</v>
      </c>
      <c r="AP190" s="579">
        <v>8349</v>
      </c>
      <c r="AQ190" s="578"/>
      <c r="AR190" s="578"/>
      <c r="AS190" s="579">
        <v>8349</v>
      </c>
    </row>
    <row r="191" spans="40:73" ht="15.75" thickBot="1" x14ac:dyDescent="0.3">
      <c r="AN191" s="584">
        <v>2003</v>
      </c>
      <c r="AO191" s="581">
        <v>20695</v>
      </c>
      <c r="AP191" s="581">
        <v>7988</v>
      </c>
      <c r="AQ191" s="580"/>
      <c r="AR191" s="580"/>
      <c r="AS191" s="581">
        <v>7988</v>
      </c>
    </row>
    <row r="192" spans="40:73" ht="15.75" thickBot="1" x14ac:dyDescent="0.3">
      <c r="AN192" s="583">
        <v>2004</v>
      </c>
      <c r="AO192" s="579">
        <v>28665</v>
      </c>
      <c r="AP192" s="579">
        <v>4694</v>
      </c>
      <c r="AQ192" s="578"/>
      <c r="AR192" s="578"/>
      <c r="AS192" s="579">
        <v>4694</v>
      </c>
    </row>
    <row r="193" spans="40:45" ht="15.75" thickBot="1" x14ac:dyDescent="0.3">
      <c r="AN193" s="584">
        <v>2005</v>
      </c>
      <c r="AO193" s="581">
        <v>22319</v>
      </c>
      <c r="AP193" s="581">
        <v>5788</v>
      </c>
      <c r="AQ193" s="580"/>
      <c r="AR193" s="580"/>
      <c r="AS193" s="581">
        <v>5788</v>
      </c>
    </row>
    <row r="194" spans="40:45" ht="15.75" thickBot="1" x14ac:dyDescent="0.3">
      <c r="AN194" s="583">
        <v>2006</v>
      </c>
      <c r="AO194" s="579">
        <v>25574</v>
      </c>
      <c r="AP194" s="579">
        <v>5486</v>
      </c>
      <c r="AQ194" s="578"/>
      <c r="AR194" s="578"/>
      <c r="AS194" s="579">
        <v>5486</v>
      </c>
    </row>
    <row r="195" spans="40:45" ht="15.75" thickBot="1" x14ac:dyDescent="0.3">
      <c r="AN195" s="584">
        <v>2007</v>
      </c>
      <c r="AO195" s="581">
        <v>5691</v>
      </c>
      <c r="AP195" s="581">
        <v>3915</v>
      </c>
      <c r="AQ195" s="580"/>
      <c r="AR195" s="580"/>
      <c r="AS195" s="581">
        <v>3915</v>
      </c>
    </row>
    <row r="196" spans="40:45" ht="15.75" thickBot="1" x14ac:dyDescent="0.3">
      <c r="AN196" s="583">
        <v>2008</v>
      </c>
      <c r="AO196" s="579">
        <v>13805</v>
      </c>
      <c r="AP196" s="579">
        <v>4749</v>
      </c>
      <c r="AQ196" s="578"/>
      <c r="AR196" s="578"/>
      <c r="AS196" s="579">
        <v>4749</v>
      </c>
    </row>
    <row r="197" spans="40:45" ht="15.75" thickBot="1" x14ac:dyDescent="0.3">
      <c r="AN197" s="584">
        <v>2009</v>
      </c>
      <c r="AO197" s="581">
        <v>16163</v>
      </c>
      <c r="AP197" s="581">
        <v>5751</v>
      </c>
      <c r="AQ197" s="580"/>
      <c r="AR197" s="580"/>
      <c r="AS197" s="581">
        <v>5751</v>
      </c>
    </row>
    <row r="198" spans="40:45" ht="15.75" thickBot="1" x14ac:dyDescent="0.3">
      <c r="AN198" s="583">
        <v>2010</v>
      </c>
      <c r="AO198" s="579">
        <v>21508</v>
      </c>
      <c r="AP198" s="579">
        <v>2801</v>
      </c>
      <c r="AQ198" s="579">
        <v>18842</v>
      </c>
      <c r="AR198" s="579">
        <v>2905</v>
      </c>
      <c r="AS198" s="579">
        <v>2905</v>
      </c>
    </row>
    <row r="199" spans="40:45" ht="15.75" thickBot="1" x14ac:dyDescent="0.3">
      <c r="AN199" s="584">
        <v>2011</v>
      </c>
      <c r="AO199" s="581">
        <v>13716</v>
      </c>
      <c r="AP199" s="581">
        <v>7723</v>
      </c>
      <c r="AQ199" s="581">
        <v>12422</v>
      </c>
      <c r="AR199" s="581">
        <v>7878</v>
      </c>
      <c r="AS199" s="581">
        <v>7878</v>
      </c>
    </row>
    <row r="200" spans="40:45" ht="15.75" thickBot="1" x14ac:dyDescent="0.3">
      <c r="AN200" s="583">
        <v>2012</v>
      </c>
      <c r="AO200" s="579">
        <v>2424</v>
      </c>
      <c r="AP200" s="579">
        <v>1619</v>
      </c>
      <c r="AQ200" s="579">
        <v>5142</v>
      </c>
      <c r="AR200" s="579">
        <v>1687</v>
      </c>
      <c r="AS200" s="579">
        <v>1687</v>
      </c>
    </row>
    <row r="201" spans="40:45" ht="15.75" thickBot="1" x14ac:dyDescent="0.3">
      <c r="AN201" s="584">
        <v>2013</v>
      </c>
      <c r="AO201" s="581">
        <v>7941</v>
      </c>
      <c r="AP201" s="580">
        <v>4</v>
      </c>
      <c r="AQ201" s="581">
        <v>5797</v>
      </c>
      <c r="AR201" s="580">
        <v>8</v>
      </c>
      <c r="AS201" s="580">
        <v>8</v>
      </c>
    </row>
    <row r="202" spans="40:45" ht="15.75" thickBot="1" x14ac:dyDescent="0.3">
      <c r="AN202" s="583">
        <v>2014</v>
      </c>
      <c r="AO202" s="579">
        <v>25147</v>
      </c>
      <c r="AP202" s="579">
        <v>6923</v>
      </c>
      <c r="AQ202" s="579">
        <v>22590</v>
      </c>
      <c r="AR202" s="579">
        <v>6921</v>
      </c>
      <c r="AS202" s="579">
        <v>6921</v>
      </c>
    </row>
    <row r="203" spans="40:45" ht="15.75" thickBot="1" x14ac:dyDescent="0.3">
      <c r="AN203" s="584">
        <v>2015</v>
      </c>
      <c r="AO203" s="581">
        <v>1012</v>
      </c>
      <c r="AP203" s="580">
        <v>378</v>
      </c>
      <c r="AQ203" s="580">
        <v>949</v>
      </c>
      <c r="AR203" s="580">
        <v>381</v>
      </c>
      <c r="AS203" s="580">
        <v>381</v>
      </c>
    </row>
    <row r="204" spans="40:45" ht="15.75" thickBot="1" x14ac:dyDescent="0.3">
      <c r="AN204" s="583">
        <v>2016</v>
      </c>
      <c r="AO204" s="579">
        <v>10654</v>
      </c>
      <c r="AP204" s="578">
        <v>925</v>
      </c>
      <c r="AQ204" s="579">
        <v>8771</v>
      </c>
      <c r="AR204" s="578">
        <v>906</v>
      </c>
      <c r="AS204" s="578">
        <v>906</v>
      </c>
    </row>
    <row r="205" spans="40:45" ht="15.75" thickBot="1" x14ac:dyDescent="0.3">
      <c r="AN205" s="584">
        <v>2017</v>
      </c>
      <c r="AO205" s="581">
        <v>7495</v>
      </c>
      <c r="AP205" s="581">
        <v>5279</v>
      </c>
      <c r="AQ205" s="581">
        <v>2740</v>
      </c>
      <c r="AR205" s="581">
        <v>2621</v>
      </c>
      <c r="AS205" s="581">
        <v>2621</v>
      </c>
    </row>
    <row r="206" spans="40:45" ht="15.75" thickBot="1" x14ac:dyDescent="0.3">
      <c r="AN206" s="585">
        <v>2018</v>
      </c>
      <c r="AO206" s="587">
        <v>6080</v>
      </c>
      <c r="AP206" s="586">
        <v>168</v>
      </c>
      <c r="AQ206" s="587">
        <v>5109</v>
      </c>
      <c r="AR206" s="586">
        <v>169</v>
      </c>
      <c r="AS206" s="586">
        <v>169</v>
      </c>
    </row>
    <row r="208" spans="40:45" x14ac:dyDescent="0.25">
      <c r="AN208" t="s">
        <v>69</v>
      </c>
    </row>
    <row r="209" spans="40:45" ht="15.75" thickBot="1" x14ac:dyDescent="0.3">
      <c r="AN209" s="593"/>
      <c r="AO209" s="592"/>
      <c r="AP209" s="592"/>
      <c r="AQ209" s="592"/>
      <c r="AR209" s="592"/>
      <c r="AS209" s="592"/>
    </row>
    <row r="210" spans="40:45" ht="53.25" thickBot="1" x14ac:dyDescent="0.3">
      <c r="AN210" s="582" t="s">
        <v>387</v>
      </c>
      <c r="AO210" s="577" t="s">
        <v>1173</v>
      </c>
      <c r="AP210" s="577" t="s">
        <v>1174</v>
      </c>
      <c r="AQ210" s="577" t="s">
        <v>1175</v>
      </c>
      <c r="AR210" s="577" t="s">
        <v>1176</v>
      </c>
      <c r="AS210" s="577" t="s">
        <v>1171</v>
      </c>
    </row>
    <row r="211" spans="40:45" ht="15.75" thickBot="1" x14ac:dyDescent="0.3">
      <c r="AN211" s="583">
        <v>1996</v>
      </c>
      <c r="AO211" s="579">
        <v>1810</v>
      </c>
      <c r="AP211" s="578">
        <v>0</v>
      </c>
      <c r="AQ211" s="578"/>
      <c r="AR211" s="578"/>
      <c r="AS211" s="579">
        <v>1810</v>
      </c>
    </row>
    <row r="212" spans="40:45" ht="15.75" thickBot="1" x14ac:dyDescent="0.3">
      <c r="AN212" s="584">
        <v>1997</v>
      </c>
      <c r="AO212" s="581">
        <v>3633</v>
      </c>
      <c r="AP212" s="580">
        <v>0</v>
      </c>
      <c r="AQ212" s="580"/>
      <c r="AR212" s="580"/>
      <c r="AS212" s="581">
        <v>3633</v>
      </c>
    </row>
    <row r="213" spans="40:45" ht="15.75" thickBot="1" x14ac:dyDescent="0.3">
      <c r="AN213" s="583">
        <v>1998</v>
      </c>
      <c r="AO213" s="579">
        <v>1157</v>
      </c>
      <c r="AP213" s="579">
        <v>2001</v>
      </c>
      <c r="AQ213" s="578"/>
      <c r="AR213" s="578"/>
      <c r="AS213" s="579">
        <v>1157</v>
      </c>
    </row>
    <row r="214" spans="40:45" ht="15.75" thickBot="1" x14ac:dyDescent="0.3">
      <c r="AN214" s="584">
        <v>1999</v>
      </c>
      <c r="AO214" s="581">
        <v>1252</v>
      </c>
      <c r="AP214" s="581">
        <v>5579</v>
      </c>
      <c r="AQ214" s="580"/>
      <c r="AR214" s="580"/>
      <c r="AS214" s="581">
        <v>1252</v>
      </c>
    </row>
    <row r="215" spans="40:45" ht="15.75" thickBot="1" x14ac:dyDescent="0.3">
      <c r="AN215" s="583">
        <v>2000</v>
      </c>
      <c r="AO215" s="578">
        <v>666</v>
      </c>
      <c r="AP215" s="579">
        <v>8319</v>
      </c>
      <c r="AQ215" s="578"/>
      <c r="AR215" s="578"/>
      <c r="AS215" s="578">
        <v>666</v>
      </c>
    </row>
    <row r="216" spans="40:45" ht="15.75" thickBot="1" x14ac:dyDescent="0.3">
      <c r="AN216" s="584">
        <v>2001</v>
      </c>
      <c r="AO216" s="581">
        <v>1724</v>
      </c>
      <c r="AP216" s="581">
        <v>25446</v>
      </c>
      <c r="AQ216" s="580"/>
      <c r="AR216" s="580"/>
      <c r="AS216" s="581">
        <v>1724</v>
      </c>
    </row>
    <row r="217" spans="40:45" ht="15.75" thickBot="1" x14ac:dyDescent="0.3">
      <c r="AN217" s="583">
        <v>2002</v>
      </c>
      <c r="AO217" s="579">
        <v>1730</v>
      </c>
      <c r="AP217" s="579">
        <v>16647</v>
      </c>
      <c r="AQ217" s="578"/>
      <c r="AR217" s="578"/>
      <c r="AS217" s="579">
        <v>1732</v>
      </c>
    </row>
    <row r="218" spans="40:45" ht="15.75" thickBot="1" x14ac:dyDescent="0.3">
      <c r="AN218" s="584">
        <v>2003</v>
      </c>
      <c r="AO218" s="580">
        <v>645</v>
      </c>
      <c r="AP218" s="581">
        <v>6825</v>
      </c>
      <c r="AQ218" s="580"/>
      <c r="AR218" s="580"/>
      <c r="AS218" s="580">
        <v>645</v>
      </c>
    </row>
    <row r="219" spans="40:45" ht="15.75" thickBot="1" x14ac:dyDescent="0.3">
      <c r="AN219" s="583">
        <v>2004</v>
      </c>
      <c r="AO219" s="578">
        <v>722</v>
      </c>
      <c r="AP219" s="579">
        <v>12243</v>
      </c>
      <c r="AQ219" s="578"/>
      <c r="AR219" s="578"/>
      <c r="AS219" s="578">
        <v>722</v>
      </c>
    </row>
    <row r="220" spans="40:45" ht="15.75" thickBot="1" x14ac:dyDescent="0.3">
      <c r="AN220" s="584">
        <v>2005</v>
      </c>
      <c r="AO220" s="581">
        <v>1331</v>
      </c>
      <c r="AP220" s="581">
        <v>7260</v>
      </c>
      <c r="AQ220" s="580"/>
      <c r="AR220" s="580"/>
      <c r="AS220" s="581">
        <v>1331</v>
      </c>
    </row>
    <row r="221" spans="40:45" ht="15.75" thickBot="1" x14ac:dyDescent="0.3">
      <c r="AN221" s="583">
        <v>2006</v>
      </c>
      <c r="AO221" s="578">
        <v>738</v>
      </c>
      <c r="AP221" s="579">
        <v>1629</v>
      </c>
      <c r="AQ221" s="578"/>
      <c r="AR221" s="578"/>
      <c r="AS221" s="578">
        <v>738</v>
      </c>
    </row>
    <row r="222" spans="40:45" ht="15.75" thickBot="1" x14ac:dyDescent="0.3">
      <c r="AN222" s="584">
        <v>2007</v>
      </c>
      <c r="AO222" s="580">
        <v>827</v>
      </c>
      <c r="AP222" s="581">
        <v>1579</v>
      </c>
      <c r="AQ222" s="580"/>
      <c r="AR222" s="580"/>
      <c r="AS222" s="580">
        <v>827</v>
      </c>
    </row>
    <row r="223" spans="40:45" ht="15.75" thickBot="1" x14ac:dyDescent="0.3">
      <c r="AN223" s="583">
        <v>2008</v>
      </c>
      <c r="AO223" s="578">
        <v>915</v>
      </c>
      <c r="AP223" s="579">
        <v>1800</v>
      </c>
      <c r="AQ223" s="578"/>
      <c r="AR223" s="578"/>
      <c r="AS223" s="578">
        <v>915</v>
      </c>
    </row>
    <row r="224" spans="40:45" ht="15.75" thickBot="1" x14ac:dyDescent="0.3">
      <c r="AN224" s="584">
        <v>2009</v>
      </c>
      <c r="AO224" s="581">
        <v>1306</v>
      </c>
      <c r="AP224" s="581">
        <v>3078</v>
      </c>
      <c r="AQ224" s="580"/>
      <c r="AR224" s="580"/>
      <c r="AS224" s="581">
        <v>1306</v>
      </c>
    </row>
    <row r="225" spans="40:45" ht="15.75" thickBot="1" x14ac:dyDescent="0.3">
      <c r="AN225" s="583">
        <v>2010</v>
      </c>
      <c r="AO225" s="578">
        <v>929</v>
      </c>
      <c r="AP225" s="579">
        <v>3199</v>
      </c>
      <c r="AQ225" s="578">
        <v>979</v>
      </c>
      <c r="AR225" s="579">
        <v>2482</v>
      </c>
      <c r="AS225" s="578">
        <v>979</v>
      </c>
    </row>
    <row r="226" spans="40:45" ht="15.75" thickBot="1" x14ac:dyDescent="0.3">
      <c r="AN226" s="584">
        <v>2011</v>
      </c>
      <c r="AO226" s="581">
        <v>2025</v>
      </c>
      <c r="AP226" s="581">
        <v>6191</v>
      </c>
      <c r="AQ226" s="581">
        <v>2087</v>
      </c>
      <c r="AR226" s="581">
        <v>4799</v>
      </c>
      <c r="AS226" s="581">
        <v>2087</v>
      </c>
    </row>
    <row r="227" spans="40:45" ht="15.75" thickBot="1" x14ac:dyDescent="0.3">
      <c r="AN227" s="583">
        <v>2012</v>
      </c>
      <c r="AO227" s="579">
        <v>1302</v>
      </c>
      <c r="AP227" s="579">
        <v>4922</v>
      </c>
      <c r="AQ227" s="579">
        <v>1444</v>
      </c>
      <c r="AR227" s="579">
        <v>5102</v>
      </c>
      <c r="AS227" s="579">
        <v>1444</v>
      </c>
    </row>
    <row r="228" spans="40:45" ht="15.75" thickBot="1" x14ac:dyDescent="0.3">
      <c r="AN228" s="584">
        <v>2013</v>
      </c>
      <c r="AO228" s="581">
        <v>2744</v>
      </c>
      <c r="AP228" s="581">
        <v>5620</v>
      </c>
      <c r="AQ228" s="581">
        <v>2744</v>
      </c>
      <c r="AR228" s="581">
        <v>3836</v>
      </c>
      <c r="AS228" s="581">
        <v>2744</v>
      </c>
    </row>
    <row r="229" spans="40:45" ht="15.75" thickBot="1" x14ac:dyDescent="0.3">
      <c r="AN229" s="583">
        <v>2014</v>
      </c>
      <c r="AO229" s="579">
        <v>9075</v>
      </c>
      <c r="AP229" s="579">
        <v>5899</v>
      </c>
      <c r="AQ229" s="579">
        <v>9070</v>
      </c>
      <c r="AR229" s="579">
        <v>4820</v>
      </c>
      <c r="AS229" s="579">
        <v>9070</v>
      </c>
    </row>
    <row r="230" spans="40:45" ht="15.75" thickBot="1" x14ac:dyDescent="0.3">
      <c r="AN230" s="584">
        <v>2015</v>
      </c>
      <c r="AO230" s="581">
        <v>1392</v>
      </c>
      <c r="AP230" s="581">
        <v>1987</v>
      </c>
      <c r="AQ230" s="581">
        <v>1394</v>
      </c>
      <c r="AR230" s="580">
        <v>798</v>
      </c>
      <c r="AS230" s="581">
        <v>1394</v>
      </c>
    </row>
    <row r="231" spans="40:45" ht="15.75" thickBot="1" x14ac:dyDescent="0.3">
      <c r="AN231" s="583">
        <v>2016</v>
      </c>
      <c r="AO231" s="579">
        <v>2703</v>
      </c>
      <c r="AP231" s="579">
        <v>5995</v>
      </c>
      <c r="AQ231" s="579">
        <v>2667</v>
      </c>
      <c r="AR231" s="579">
        <v>4281</v>
      </c>
      <c r="AS231" s="579">
        <v>2667</v>
      </c>
    </row>
    <row r="232" spans="40:45" ht="15.75" thickBot="1" x14ac:dyDescent="0.3">
      <c r="AN232" s="584">
        <v>2017</v>
      </c>
      <c r="AO232" s="581">
        <v>5272</v>
      </c>
      <c r="AP232" s="581">
        <v>6059</v>
      </c>
      <c r="AQ232" s="581">
        <v>2803</v>
      </c>
      <c r="AR232" s="581">
        <v>2392</v>
      </c>
      <c r="AS232" s="581">
        <v>2803</v>
      </c>
    </row>
    <row r="233" spans="40:45" ht="15.75" thickBot="1" x14ac:dyDescent="0.3">
      <c r="AN233" s="583">
        <v>2018</v>
      </c>
      <c r="AO233" s="579">
        <v>1335</v>
      </c>
      <c r="AP233" s="579">
        <v>3570</v>
      </c>
      <c r="AQ233" s="579">
        <v>1336</v>
      </c>
      <c r="AR233" s="579">
        <v>2551</v>
      </c>
      <c r="AS233" s="579">
        <v>1336</v>
      </c>
    </row>
    <row r="234" spans="40:45" ht="15.75" thickBot="1" x14ac:dyDescent="0.3">
      <c r="AN234" s="589">
        <v>2019</v>
      </c>
      <c r="AO234" s="591"/>
      <c r="AP234" s="591"/>
      <c r="AQ234" s="591"/>
      <c r="AR234" s="591"/>
      <c r="AS234" s="594"/>
    </row>
    <row r="236" spans="40:45" ht="15.75" thickBot="1" x14ac:dyDescent="0.3">
      <c r="AN236" t="s">
        <v>65</v>
      </c>
    </row>
    <row r="237" spans="40:45" ht="53.25" thickBot="1" x14ac:dyDescent="0.3">
      <c r="AN237" s="582" t="s">
        <v>387</v>
      </c>
      <c r="AO237" s="577" t="s">
        <v>1151</v>
      </c>
      <c r="AP237" s="577" t="s">
        <v>1152</v>
      </c>
      <c r="AQ237" s="577" t="s">
        <v>1153</v>
      </c>
    </row>
    <row r="238" spans="40:45" ht="15.75" thickBot="1" x14ac:dyDescent="0.3">
      <c r="AN238" s="583">
        <v>2010</v>
      </c>
      <c r="AO238" s="579">
        <v>1490</v>
      </c>
      <c r="AP238" s="578">
        <v>376</v>
      </c>
      <c r="AQ238" s="579">
        <v>1490</v>
      </c>
    </row>
    <row r="239" spans="40:45" ht="15.75" thickBot="1" x14ac:dyDescent="0.3">
      <c r="AN239" s="584">
        <v>2011</v>
      </c>
      <c r="AO239" s="580">
        <v>847</v>
      </c>
      <c r="AP239" s="580">
        <v>138</v>
      </c>
      <c r="AQ239" s="580">
        <v>847</v>
      </c>
    </row>
    <row r="240" spans="40:45" ht="15.75" thickBot="1" x14ac:dyDescent="0.3">
      <c r="AN240" s="583">
        <v>2012</v>
      </c>
      <c r="AO240" s="579">
        <v>1582</v>
      </c>
      <c r="AP240" s="578">
        <v>189</v>
      </c>
      <c r="AQ240" s="579">
        <v>1582</v>
      </c>
    </row>
    <row r="241" spans="40:49" ht="15.75" thickBot="1" x14ac:dyDescent="0.3">
      <c r="AN241" s="584">
        <v>2013</v>
      </c>
      <c r="AO241" s="581">
        <v>3125</v>
      </c>
      <c r="AP241" s="580">
        <v>499</v>
      </c>
      <c r="AQ241" s="581">
        <v>3125</v>
      </c>
    </row>
    <row r="242" spans="40:49" ht="15.75" thickBot="1" x14ac:dyDescent="0.3">
      <c r="AN242" s="583">
        <v>2014</v>
      </c>
      <c r="AO242" s="579">
        <v>7781</v>
      </c>
      <c r="AP242" s="579">
        <v>1849</v>
      </c>
      <c r="AQ242" s="579">
        <v>7781</v>
      </c>
    </row>
    <row r="243" spans="40:49" ht="15.75" thickBot="1" x14ac:dyDescent="0.3">
      <c r="AN243" s="584">
        <v>2015</v>
      </c>
      <c r="AO243" s="580">
        <v>838</v>
      </c>
      <c r="AP243" s="580">
        <v>828</v>
      </c>
      <c r="AQ243" s="580">
        <v>838</v>
      </c>
    </row>
    <row r="244" spans="40:49" ht="15.75" thickBot="1" x14ac:dyDescent="0.3">
      <c r="AN244" s="583">
        <v>2016</v>
      </c>
      <c r="AO244" s="579">
        <v>2168</v>
      </c>
      <c r="AP244" s="578">
        <v>591</v>
      </c>
      <c r="AQ244" s="579">
        <v>2168</v>
      </c>
    </row>
    <row r="245" spans="40:49" ht="15.75" thickBot="1" x14ac:dyDescent="0.3">
      <c r="AN245" s="584">
        <v>2017</v>
      </c>
      <c r="AO245" s="580">
        <v>832</v>
      </c>
      <c r="AP245" s="580">
        <v>76</v>
      </c>
      <c r="AQ245" s="580">
        <v>832</v>
      </c>
    </row>
    <row r="246" spans="40:49" ht="15.75" thickBot="1" x14ac:dyDescent="0.3">
      <c r="AN246" s="585">
        <v>2018</v>
      </c>
      <c r="AO246" s="586">
        <v>771</v>
      </c>
      <c r="AP246" s="586">
        <v>56</v>
      </c>
      <c r="AQ246" s="586">
        <v>771</v>
      </c>
    </row>
    <row r="248" spans="40:49" ht="15.75" thickBot="1" x14ac:dyDescent="0.3">
      <c r="AN248" t="s">
        <v>66</v>
      </c>
    </row>
    <row r="249" spans="40:49" ht="95.25" thickBot="1" x14ac:dyDescent="0.3">
      <c r="AN249" s="582" t="s">
        <v>387</v>
      </c>
      <c r="AO249" s="577" t="s">
        <v>1155</v>
      </c>
      <c r="AP249" s="577" t="s">
        <v>1177</v>
      </c>
      <c r="AQ249" s="577" t="s">
        <v>1178</v>
      </c>
      <c r="AR249" s="577" t="s">
        <v>1179</v>
      </c>
      <c r="AS249" s="577" t="s">
        <v>1180</v>
      </c>
      <c r="AT249" s="577" t="s">
        <v>1181</v>
      </c>
      <c r="AU249" s="588" t="s">
        <v>1162</v>
      </c>
      <c r="AV249" s="588" t="s">
        <v>1163</v>
      </c>
      <c r="AW249" s="588" t="s">
        <v>10</v>
      </c>
    </row>
    <row r="250" spans="40:49" ht="15.75" thickBot="1" x14ac:dyDescent="0.3">
      <c r="AN250" s="583">
        <v>2008</v>
      </c>
      <c r="AO250" s="578"/>
      <c r="AP250" s="578"/>
      <c r="AQ250" s="578"/>
      <c r="AR250" s="578"/>
      <c r="AS250" s="578"/>
      <c r="AT250" s="578">
        <v>115</v>
      </c>
      <c r="AU250">
        <f>AP250+AS250+AT250</f>
        <v>115</v>
      </c>
      <c r="AV250">
        <f>AQ250+AR250</f>
        <v>0</v>
      </c>
      <c r="AW250">
        <f>AV250+AU250</f>
        <v>115</v>
      </c>
    </row>
    <row r="251" spans="40:49" ht="15.75" thickBot="1" x14ac:dyDescent="0.3">
      <c r="AN251" s="584">
        <v>2009</v>
      </c>
      <c r="AO251" s="580"/>
      <c r="AP251" s="580"/>
      <c r="AQ251" s="580"/>
      <c r="AR251" s="580"/>
      <c r="AS251" s="580"/>
      <c r="AT251" s="580">
        <v>254</v>
      </c>
      <c r="AU251" s="562">
        <f t="shared" ref="AU251:AU260" si="78">AP251+AS251+AT251</f>
        <v>254</v>
      </c>
      <c r="AV251" s="562">
        <f t="shared" ref="AV251:AV260" si="79">AQ251+AR251</f>
        <v>0</v>
      </c>
      <c r="AW251" s="562">
        <f t="shared" ref="AW251:AW260" si="80">AV251+AU251</f>
        <v>254</v>
      </c>
    </row>
    <row r="252" spans="40:49" ht="15.75" thickBot="1" x14ac:dyDescent="0.3">
      <c r="AN252" s="583">
        <v>2010</v>
      </c>
      <c r="AO252" s="579">
        <v>1105</v>
      </c>
      <c r="AP252" s="578">
        <v>655</v>
      </c>
      <c r="AQ252" s="579">
        <v>1297</v>
      </c>
      <c r="AR252" s="578">
        <v>133</v>
      </c>
      <c r="AS252" s="578">
        <v>221</v>
      </c>
      <c r="AT252" s="578">
        <v>200</v>
      </c>
      <c r="AU252" s="562">
        <f t="shared" si="78"/>
        <v>1076</v>
      </c>
      <c r="AV252" s="562">
        <f t="shared" si="79"/>
        <v>1430</v>
      </c>
      <c r="AW252" s="562">
        <f t="shared" si="80"/>
        <v>2506</v>
      </c>
    </row>
    <row r="253" spans="40:49" ht="15.75" thickBot="1" x14ac:dyDescent="0.3">
      <c r="AN253" s="584">
        <v>2011</v>
      </c>
      <c r="AO253" s="580">
        <v>556</v>
      </c>
      <c r="AP253" s="580">
        <v>331</v>
      </c>
      <c r="AQ253" s="580">
        <v>92</v>
      </c>
      <c r="AR253" s="580">
        <v>82</v>
      </c>
      <c r="AS253" s="580">
        <v>142</v>
      </c>
      <c r="AT253" s="580">
        <v>65</v>
      </c>
      <c r="AU253" s="562">
        <f t="shared" si="78"/>
        <v>538</v>
      </c>
      <c r="AV253" s="562">
        <f t="shared" si="79"/>
        <v>174</v>
      </c>
      <c r="AW253" s="562">
        <f t="shared" si="80"/>
        <v>712</v>
      </c>
    </row>
    <row r="254" spans="40:49" ht="15.75" thickBot="1" x14ac:dyDescent="0.3">
      <c r="AN254" s="583">
        <v>2012</v>
      </c>
      <c r="AO254" s="579">
        <v>1000</v>
      </c>
      <c r="AP254" s="578">
        <v>498</v>
      </c>
      <c r="AQ254" s="578">
        <v>95</v>
      </c>
      <c r="AR254" s="578">
        <v>114</v>
      </c>
      <c r="AS254" s="578">
        <v>343</v>
      </c>
      <c r="AT254" s="578">
        <v>137</v>
      </c>
      <c r="AU254" s="562">
        <f t="shared" si="78"/>
        <v>978</v>
      </c>
      <c r="AV254" s="562">
        <f t="shared" si="79"/>
        <v>209</v>
      </c>
      <c r="AW254" s="562">
        <f t="shared" si="80"/>
        <v>1187</v>
      </c>
    </row>
    <row r="255" spans="40:49" ht="15.75" thickBot="1" x14ac:dyDescent="0.3">
      <c r="AN255" s="584">
        <v>2013</v>
      </c>
      <c r="AO255" s="581">
        <v>2316</v>
      </c>
      <c r="AP255" s="581">
        <v>1143</v>
      </c>
      <c r="AQ255" s="580">
        <v>130</v>
      </c>
      <c r="AR255" s="580">
        <v>329</v>
      </c>
      <c r="AS255" s="580">
        <v>767</v>
      </c>
      <c r="AT255" s="580">
        <v>363</v>
      </c>
      <c r="AU255" s="562">
        <f t="shared" si="78"/>
        <v>2273</v>
      </c>
      <c r="AV255" s="562">
        <f t="shared" si="79"/>
        <v>459</v>
      </c>
      <c r="AW255" s="562">
        <f t="shared" si="80"/>
        <v>2732</v>
      </c>
    </row>
    <row r="256" spans="40:49" ht="15.75" thickBot="1" x14ac:dyDescent="0.3">
      <c r="AN256" s="583">
        <v>2014</v>
      </c>
      <c r="AO256" s="579">
        <v>4680</v>
      </c>
      <c r="AP256" s="579">
        <v>2298</v>
      </c>
      <c r="AQ256" s="578">
        <v>981</v>
      </c>
      <c r="AR256" s="579">
        <v>1187</v>
      </c>
      <c r="AS256" s="579">
        <v>2191</v>
      </c>
      <c r="AT256" s="578">
        <v>109</v>
      </c>
      <c r="AU256" s="562">
        <f t="shared" si="78"/>
        <v>4598</v>
      </c>
      <c r="AV256" s="562">
        <f t="shared" si="79"/>
        <v>2168</v>
      </c>
      <c r="AW256" s="562">
        <f t="shared" si="80"/>
        <v>6766</v>
      </c>
    </row>
    <row r="257" spans="40:49" ht="15.75" thickBot="1" x14ac:dyDescent="0.3">
      <c r="AN257" s="584">
        <v>2015</v>
      </c>
      <c r="AO257" s="580">
        <v>535</v>
      </c>
      <c r="AP257" s="580">
        <v>252</v>
      </c>
      <c r="AQ257" s="580">
        <v>277</v>
      </c>
      <c r="AR257" s="580">
        <v>357</v>
      </c>
      <c r="AS257" s="580">
        <v>179</v>
      </c>
      <c r="AT257" s="580">
        <v>87</v>
      </c>
      <c r="AU257" s="562">
        <f t="shared" si="78"/>
        <v>518</v>
      </c>
      <c r="AV257" s="562">
        <f t="shared" si="79"/>
        <v>634</v>
      </c>
      <c r="AW257" s="562">
        <f t="shared" si="80"/>
        <v>1152</v>
      </c>
    </row>
    <row r="258" spans="40:49" ht="15.75" thickBot="1" x14ac:dyDescent="0.3">
      <c r="AN258" s="583">
        <v>2016</v>
      </c>
      <c r="AO258" s="579">
        <v>1432</v>
      </c>
      <c r="AP258" s="578">
        <v>448</v>
      </c>
      <c r="AQ258" s="579">
        <v>1460</v>
      </c>
      <c r="AR258" s="578">
        <v>534</v>
      </c>
      <c r="AS258" s="578">
        <v>430</v>
      </c>
      <c r="AT258" s="578">
        <v>527</v>
      </c>
      <c r="AU258" s="562">
        <f t="shared" si="78"/>
        <v>1405</v>
      </c>
      <c r="AV258" s="562">
        <f t="shared" si="79"/>
        <v>1994</v>
      </c>
      <c r="AW258" s="562">
        <f t="shared" si="80"/>
        <v>3399</v>
      </c>
    </row>
    <row r="259" spans="40:49" ht="15.75" thickBot="1" x14ac:dyDescent="0.3">
      <c r="AN259" s="584">
        <v>2017</v>
      </c>
      <c r="AO259" s="580">
        <v>743</v>
      </c>
      <c r="AP259" s="580">
        <v>520</v>
      </c>
      <c r="AQ259" s="580">
        <v>114</v>
      </c>
      <c r="AR259" s="580">
        <v>187</v>
      </c>
      <c r="AS259" s="580">
        <v>152</v>
      </c>
      <c r="AT259" s="580">
        <v>40</v>
      </c>
      <c r="AU259" s="562">
        <f t="shared" si="78"/>
        <v>712</v>
      </c>
      <c r="AV259" s="562">
        <f t="shared" si="79"/>
        <v>301</v>
      </c>
      <c r="AW259" s="562">
        <f t="shared" si="80"/>
        <v>1013</v>
      </c>
    </row>
    <row r="260" spans="40:49" ht="15.75" thickBot="1" x14ac:dyDescent="0.3">
      <c r="AN260" s="585">
        <v>2018</v>
      </c>
      <c r="AO260" s="586">
        <v>701</v>
      </c>
      <c r="AP260" s="586">
        <v>516</v>
      </c>
      <c r="AQ260" s="586">
        <v>135</v>
      </c>
      <c r="AR260" s="586">
        <v>167</v>
      </c>
      <c r="AS260" s="586">
        <v>137</v>
      </c>
      <c r="AT260" s="586">
        <v>8</v>
      </c>
      <c r="AU260" s="562">
        <f t="shared" si="78"/>
        <v>661</v>
      </c>
      <c r="AV260" s="562">
        <f t="shared" si="79"/>
        <v>302</v>
      </c>
      <c r="AW260" s="562">
        <f t="shared" si="80"/>
        <v>963</v>
      </c>
    </row>
    <row r="262" spans="40:49" ht="15.75" thickBot="1" x14ac:dyDescent="0.3">
      <c r="AN262" t="s">
        <v>64</v>
      </c>
      <c r="AS262" t="s">
        <v>16</v>
      </c>
    </row>
    <row r="263" spans="40:49" ht="53.25" thickBot="1" x14ac:dyDescent="0.3">
      <c r="AN263" s="582" t="s">
        <v>387</v>
      </c>
      <c r="AO263" s="577" t="s">
        <v>1151</v>
      </c>
      <c r="AP263" s="577" t="s">
        <v>1152</v>
      </c>
      <c r="AQ263" s="577" t="s">
        <v>1153</v>
      </c>
      <c r="AS263" s="582" t="s">
        <v>387</v>
      </c>
      <c r="AT263" s="577" t="s">
        <v>1151</v>
      </c>
      <c r="AU263" s="577" t="s">
        <v>1152</v>
      </c>
      <c r="AV263" s="577" t="s">
        <v>1153</v>
      </c>
    </row>
    <row r="264" spans="40:49" ht="15.75" thickBot="1" x14ac:dyDescent="0.3">
      <c r="AN264" s="583">
        <v>2010</v>
      </c>
      <c r="AO264" s="579">
        <v>3199</v>
      </c>
      <c r="AP264" s="578">
        <v>300</v>
      </c>
      <c r="AQ264" s="579">
        <v>3199</v>
      </c>
      <c r="AS264" s="583">
        <v>2010</v>
      </c>
      <c r="AT264" s="578">
        <v>2</v>
      </c>
      <c r="AU264" s="578">
        <v>328</v>
      </c>
      <c r="AV264" s="578">
        <v>2</v>
      </c>
    </row>
    <row r="265" spans="40:49" ht="15.75" thickBot="1" x14ac:dyDescent="0.3">
      <c r="AN265" s="584">
        <v>2011</v>
      </c>
      <c r="AO265" s="581">
        <v>2356</v>
      </c>
      <c r="AP265" s="580">
        <v>104</v>
      </c>
      <c r="AQ265" s="581">
        <v>2356</v>
      </c>
      <c r="AS265" s="584">
        <v>2011</v>
      </c>
      <c r="AT265" s="580">
        <v>5</v>
      </c>
      <c r="AU265" s="580">
        <v>188</v>
      </c>
      <c r="AV265" s="580">
        <v>5</v>
      </c>
    </row>
    <row r="266" spans="40:49" ht="15.75" thickBot="1" x14ac:dyDescent="0.3">
      <c r="AN266" s="583">
        <v>2012</v>
      </c>
      <c r="AO266" s="579">
        <v>2587</v>
      </c>
      <c r="AP266" s="578">
        <v>79</v>
      </c>
      <c r="AQ266" s="579">
        <v>2587</v>
      </c>
      <c r="AS266" s="583">
        <v>2012</v>
      </c>
      <c r="AT266" s="578">
        <v>24</v>
      </c>
      <c r="AU266" s="578">
        <v>203</v>
      </c>
      <c r="AV266" s="578">
        <v>24</v>
      </c>
    </row>
    <row r="267" spans="40:49" ht="15.75" thickBot="1" x14ac:dyDescent="0.3">
      <c r="AN267" s="584">
        <v>2013</v>
      </c>
      <c r="AO267" s="581">
        <v>3501</v>
      </c>
      <c r="AP267" s="580">
        <v>481</v>
      </c>
      <c r="AQ267" s="581">
        <v>3501</v>
      </c>
      <c r="AS267" s="584">
        <v>2013</v>
      </c>
      <c r="AT267" s="580">
        <v>45</v>
      </c>
      <c r="AU267" s="580">
        <v>333</v>
      </c>
      <c r="AV267" s="580">
        <v>45</v>
      </c>
    </row>
    <row r="268" spans="40:49" ht="15.75" thickBot="1" x14ac:dyDescent="0.3">
      <c r="AN268" s="583">
        <v>2014</v>
      </c>
      <c r="AO268" s="579">
        <v>4692</v>
      </c>
      <c r="AP268" s="578">
        <v>935</v>
      </c>
      <c r="AQ268" s="579">
        <v>4692</v>
      </c>
      <c r="AS268" s="583">
        <v>2014</v>
      </c>
      <c r="AT268" s="578">
        <v>58</v>
      </c>
      <c r="AU268" s="578">
        <v>582</v>
      </c>
      <c r="AV268" s="578">
        <v>58</v>
      </c>
    </row>
    <row r="269" spans="40:49" ht="15.75" thickBot="1" x14ac:dyDescent="0.3">
      <c r="AN269" s="584">
        <v>2015</v>
      </c>
      <c r="AO269" s="580">
        <v>803</v>
      </c>
      <c r="AP269" s="580">
        <v>224</v>
      </c>
      <c r="AQ269" s="580">
        <v>803</v>
      </c>
      <c r="AS269" s="584">
        <v>2015</v>
      </c>
      <c r="AT269" s="580">
        <v>12</v>
      </c>
      <c r="AU269" s="580">
        <v>106</v>
      </c>
      <c r="AV269" s="580">
        <v>12</v>
      </c>
    </row>
    <row r="270" spans="40:49" ht="15.75" thickBot="1" x14ac:dyDescent="0.3">
      <c r="AN270" s="583">
        <v>2016</v>
      </c>
      <c r="AO270" s="579">
        <v>2654</v>
      </c>
      <c r="AP270" s="578">
        <v>413</v>
      </c>
      <c r="AQ270" s="579">
        <v>2654</v>
      </c>
      <c r="AS270" s="583">
        <v>2016</v>
      </c>
      <c r="AT270" s="578">
        <v>79</v>
      </c>
      <c r="AU270" s="578">
        <v>151</v>
      </c>
      <c r="AV270" s="578">
        <v>79</v>
      </c>
    </row>
    <row r="271" spans="40:49" ht="15.75" thickBot="1" x14ac:dyDescent="0.3">
      <c r="AN271" s="584">
        <v>2017</v>
      </c>
      <c r="AO271" s="581">
        <v>2156</v>
      </c>
      <c r="AP271" s="580">
        <v>108</v>
      </c>
      <c r="AQ271" s="581">
        <v>2156</v>
      </c>
      <c r="AS271" s="584">
        <v>2017</v>
      </c>
      <c r="AT271" s="580">
        <v>53</v>
      </c>
      <c r="AU271" s="580">
        <v>106</v>
      </c>
      <c r="AV271" s="580">
        <v>53</v>
      </c>
    </row>
    <row r="272" spans="40:49" ht="15.75" thickBot="1" x14ac:dyDescent="0.3">
      <c r="AN272" s="585">
        <v>2018</v>
      </c>
      <c r="AO272" s="587">
        <v>3036</v>
      </c>
      <c r="AP272" s="586">
        <v>151</v>
      </c>
      <c r="AQ272" s="587">
        <v>3036</v>
      </c>
      <c r="AS272" s="585">
        <v>2018</v>
      </c>
      <c r="AT272" s="586">
        <v>65</v>
      </c>
      <c r="AU272" s="586">
        <v>139</v>
      </c>
      <c r="AV272" s="586">
        <v>65</v>
      </c>
    </row>
    <row r="274" spans="40:52" ht="15.75" thickBot="1" x14ac:dyDescent="0.3">
      <c r="AN274" t="s">
        <v>70</v>
      </c>
    </row>
    <row r="275" spans="40:52" ht="137.25" thickBot="1" x14ac:dyDescent="0.3">
      <c r="AN275" s="582" t="s">
        <v>387</v>
      </c>
      <c r="AO275" s="577" t="s">
        <v>1155</v>
      </c>
      <c r="AP275" s="577" t="s">
        <v>1182</v>
      </c>
      <c r="AQ275" s="577" t="s">
        <v>1183</v>
      </c>
      <c r="AR275" s="577" t="s">
        <v>1184</v>
      </c>
      <c r="AS275" s="577" t="s">
        <v>1185</v>
      </c>
      <c r="AT275" s="577" t="s">
        <v>1186</v>
      </c>
      <c r="AU275" s="577" t="s">
        <v>1187</v>
      </c>
      <c r="AV275" s="577" t="s">
        <v>1188</v>
      </c>
      <c r="AW275" s="577" t="s">
        <v>1189</v>
      </c>
      <c r="AX275" s="588" t="s">
        <v>1162</v>
      </c>
      <c r="AY275" s="588" t="s">
        <v>1163</v>
      </c>
    </row>
    <row r="276" spans="40:52" ht="15.75" thickBot="1" x14ac:dyDescent="0.3">
      <c r="AN276" s="583">
        <v>2010</v>
      </c>
      <c r="AO276" s="579">
        <v>1807</v>
      </c>
      <c r="AP276" s="578">
        <v>625</v>
      </c>
      <c r="AQ276" s="578">
        <v>2</v>
      </c>
      <c r="AR276" s="578"/>
      <c r="AS276" s="578"/>
      <c r="AT276" s="579">
        <v>1155</v>
      </c>
      <c r="AU276" s="578">
        <v>69</v>
      </c>
      <c r="AV276" s="578">
        <v>0</v>
      </c>
      <c r="AW276" s="578">
        <v>0</v>
      </c>
      <c r="AX276" s="47">
        <f>AP276+AR276+AT276+AV276</f>
        <v>1780</v>
      </c>
      <c r="AY276" s="47">
        <f>AQ276+AS276+AU276+AW276</f>
        <v>71</v>
      </c>
      <c r="AZ276" s="47">
        <f>AY276+AX276</f>
        <v>1851</v>
      </c>
    </row>
    <row r="277" spans="40:52" ht="15.75" thickBot="1" x14ac:dyDescent="0.3">
      <c r="AN277" s="584">
        <v>2011</v>
      </c>
      <c r="AO277" s="580">
        <v>910</v>
      </c>
      <c r="AP277" s="580">
        <v>379</v>
      </c>
      <c r="AQ277" s="580">
        <v>2</v>
      </c>
      <c r="AR277" s="581">
        <v>2944</v>
      </c>
      <c r="AS277" s="580">
        <v>990</v>
      </c>
      <c r="AT277" s="580">
        <v>511</v>
      </c>
      <c r="AU277" s="580">
        <v>112</v>
      </c>
      <c r="AV277" s="580">
        <v>0</v>
      </c>
      <c r="AW277" s="580">
        <v>0</v>
      </c>
      <c r="AX277" s="47">
        <f t="shared" ref="AX277:AX284" si="81">AP277+AR277+AT277+AV277</f>
        <v>3834</v>
      </c>
      <c r="AY277" s="47">
        <f t="shared" ref="AY277:AY284" si="82">AQ277+AS277+AU277+AW277</f>
        <v>1104</v>
      </c>
      <c r="AZ277" s="47">
        <f t="shared" ref="AZ277:AZ284" si="83">AY277+AX277</f>
        <v>4938</v>
      </c>
    </row>
    <row r="278" spans="40:52" ht="15.75" thickBot="1" x14ac:dyDescent="0.3">
      <c r="AN278" s="583">
        <v>2012</v>
      </c>
      <c r="AO278" s="578">
        <v>999</v>
      </c>
      <c r="AP278" s="578">
        <v>421</v>
      </c>
      <c r="AQ278" s="578">
        <v>9</v>
      </c>
      <c r="AR278" s="578">
        <v>392</v>
      </c>
      <c r="AS278" s="578">
        <v>67</v>
      </c>
      <c r="AT278" s="578">
        <v>529</v>
      </c>
      <c r="AU278" s="578">
        <v>45</v>
      </c>
      <c r="AV278" s="578">
        <v>33</v>
      </c>
      <c r="AW278" s="578">
        <v>131</v>
      </c>
      <c r="AX278" s="47">
        <f t="shared" si="81"/>
        <v>1375</v>
      </c>
      <c r="AY278" s="47">
        <f t="shared" si="82"/>
        <v>252</v>
      </c>
      <c r="AZ278" s="47">
        <f t="shared" si="83"/>
        <v>1627</v>
      </c>
    </row>
    <row r="279" spans="40:52" ht="15.75" thickBot="1" x14ac:dyDescent="0.3">
      <c r="AN279" s="584">
        <v>2013</v>
      </c>
      <c r="AO279" s="581">
        <v>1245</v>
      </c>
      <c r="AP279" s="580">
        <v>681</v>
      </c>
      <c r="AQ279" s="580">
        <v>205</v>
      </c>
      <c r="AR279" s="580"/>
      <c r="AS279" s="580"/>
      <c r="AT279" s="580">
        <v>506</v>
      </c>
      <c r="AU279" s="580">
        <v>283</v>
      </c>
      <c r="AV279" s="580">
        <v>29</v>
      </c>
      <c r="AW279" s="581">
        <v>6929</v>
      </c>
      <c r="AX279" s="47">
        <f t="shared" si="81"/>
        <v>1216</v>
      </c>
      <c r="AY279" s="47">
        <f t="shared" si="82"/>
        <v>7417</v>
      </c>
      <c r="AZ279" s="47">
        <f t="shared" si="83"/>
        <v>8633</v>
      </c>
    </row>
    <row r="280" spans="40:52" ht="15.75" thickBot="1" x14ac:dyDescent="0.3">
      <c r="AN280" s="583">
        <v>2014</v>
      </c>
      <c r="AO280" s="579">
        <v>2116</v>
      </c>
      <c r="AP280" s="578">
        <v>786</v>
      </c>
      <c r="AQ280" s="578">
        <v>27</v>
      </c>
      <c r="AR280" s="578"/>
      <c r="AS280" s="578"/>
      <c r="AT280" s="578">
        <v>597</v>
      </c>
      <c r="AU280" s="578">
        <v>390</v>
      </c>
      <c r="AV280" s="578">
        <v>695</v>
      </c>
      <c r="AW280" s="579">
        <v>8306</v>
      </c>
      <c r="AX280" s="47">
        <f t="shared" si="81"/>
        <v>2078</v>
      </c>
      <c r="AY280" s="47">
        <f t="shared" si="82"/>
        <v>8723</v>
      </c>
      <c r="AZ280" s="47">
        <f t="shared" si="83"/>
        <v>10801</v>
      </c>
    </row>
    <row r="281" spans="40:52" ht="15.75" thickBot="1" x14ac:dyDescent="0.3">
      <c r="AN281" s="584">
        <v>2015</v>
      </c>
      <c r="AO281" s="580">
        <v>403</v>
      </c>
      <c r="AP281" s="580">
        <v>155</v>
      </c>
      <c r="AQ281" s="580">
        <v>17</v>
      </c>
      <c r="AR281" s="580"/>
      <c r="AS281" s="580"/>
      <c r="AT281" s="580">
        <v>131</v>
      </c>
      <c r="AU281" s="580">
        <v>54</v>
      </c>
      <c r="AV281" s="580">
        <v>109</v>
      </c>
      <c r="AW281" s="581">
        <v>3614</v>
      </c>
      <c r="AX281" s="47">
        <f t="shared" si="81"/>
        <v>395</v>
      </c>
      <c r="AY281" s="47">
        <f t="shared" si="82"/>
        <v>3685</v>
      </c>
      <c r="AZ281" s="47">
        <f t="shared" si="83"/>
        <v>4080</v>
      </c>
    </row>
    <row r="282" spans="40:52" ht="15.75" thickBot="1" x14ac:dyDescent="0.3">
      <c r="AN282" s="583">
        <v>2016</v>
      </c>
      <c r="AO282" s="579">
        <v>1800</v>
      </c>
      <c r="AP282" s="578">
        <v>347</v>
      </c>
      <c r="AQ282" s="578">
        <v>44</v>
      </c>
      <c r="AR282" s="578"/>
      <c r="AS282" s="578"/>
      <c r="AT282" s="578">
        <v>309</v>
      </c>
      <c r="AU282" s="578">
        <v>156</v>
      </c>
      <c r="AV282" s="579">
        <v>1126</v>
      </c>
      <c r="AW282" s="579">
        <v>5679</v>
      </c>
      <c r="AX282" s="47">
        <f t="shared" si="81"/>
        <v>1782</v>
      </c>
      <c r="AY282" s="47">
        <f t="shared" si="82"/>
        <v>5879</v>
      </c>
      <c r="AZ282" s="47">
        <f t="shared" si="83"/>
        <v>7661</v>
      </c>
    </row>
    <row r="283" spans="40:52" ht="15.75" thickBot="1" x14ac:dyDescent="0.3">
      <c r="AN283" s="584">
        <v>2017</v>
      </c>
      <c r="AO283" s="581">
        <v>2917</v>
      </c>
      <c r="AP283" s="580">
        <v>366</v>
      </c>
      <c r="AQ283" s="580">
        <v>148</v>
      </c>
      <c r="AR283" s="580"/>
      <c r="AS283" s="580"/>
      <c r="AT283" s="580">
        <v>315</v>
      </c>
      <c r="AU283" s="580">
        <v>127</v>
      </c>
      <c r="AV283" s="581">
        <v>2209</v>
      </c>
      <c r="AW283" s="581">
        <v>4542</v>
      </c>
      <c r="AX283" s="47">
        <f t="shared" si="81"/>
        <v>2890</v>
      </c>
      <c r="AY283" s="47">
        <f t="shared" si="82"/>
        <v>4817</v>
      </c>
      <c r="AZ283" s="47">
        <f t="shared" si="83"/>
        <v>7707</v>
      </c>
    </row>
    <row r="284" spans="40:52" ht="15.75" thickBot="1" x14ac:dyDescent="0.3">
      <c r="AN284" s="585">
        <v>2018</v>
      </c>
      <c r="AO284" s="587">
        <v>1241</v>
      </c>
      <c r="AP284" s="586">
        <v>587</v>
      </c>
      <c r="AQ284" s="586">
        <v>245</v>
      </c>
      <c r="AR284" s="586"/>
      <c r="AS284" s="586"/>
      <c r="AT284" s="586">
        <v>174</v>
      </c>
      <c r="AU284" s="586">
        <v>363</v>
      </c>
      <c r="AV284" s="586">
        <v>441</v>
      </c>
      <c r="AW284" s="587">
        <v>6219</v>
      </c>
      <c r="AX284" s="47">
        <f t="shared" si="81"/>
        <v>1202</v>
      </c>
      <c r="AY284" s="47">
        <f t="shared" si="82"/>
        <v>6827</v>
      </c>
      <c r="AZ284" s="47">
        <f t="shared" si="83"/>
        <v>8029</v>
      </c>
    </row>
    <row r="286" spans="40:52" ht="15.75" thickBot="1" x14ac:dyDescent="0.3">
      <c r="AN286" t="s">
        <v>71</v>
      </c>
      <c r="AS286" t="s">
        <v>17</v>
      </c>
    </row>
    <row r="287" spans="40:52" ht="53.25" thickBot="1" x14ac:dyDescent="0.3">
      <c r="AN287" s="582" t="s">
        <v>387</v>
      </c>
      <c r="AO287" s="577" t="s">
        <v>1151</v>
      </c>
      <c r="AP287" s="577" t="s">
        <v>1152</v>
      </c>
      <c r="AQ287" s="577" t="s">
        <v>1153</v>
      </c>
      <c r="AS287" s="582" t="s">
        <v>1154</v>
      </c>
      <c r="AT287" s="577" t="s">
        <v>1151</v>
      </c>
      <c r="AU287" s="577" t="s">
        <v>1152</v>
      </c>
      <c r="AV287" s="577" t="s">
        <v>1153</v>
      </c>
    </row>
    <row r="288" spans="40:52" ht="15.75" thickBot="1" x14ac:dyDescent="0.3">
      <c r="AN288" s="583">
        <v>2010</v>
      </c>
      <c r="AO288" s="579">
        <v>1458</v>
      </c>
      <c r="AP288" s="578">
        <v>492</v>
      </c>
      <c r="AQ288" s="579">
        <v>1458</v>
      </c>
      <c r="AS288" s="583">
        <v>2010</v>
      </c>
      <c r="AT288" s="579">
        <v>1572</v>
      </c>
      <c r="AU288" s="578">
        <v>44</v>
      </c>
      <c r="AV288" s="579">
        <v>1572</v>
      </c>
    </row>
    <row r="289" spans="40:49" ht="15.75" thickBot="1" x14ac:dyDescent="0.3">
      <c r="AN289" s="584">
        <v>2011</v>
      </c>
      <c r="AO289" s="581">
        <v>1493</v>
      </c>
      <c r="AP289" s="580">
        <v>74</v>
      </c>
      <c r="AQ289" s="581">
        <v>1493</v>
      </c>
      <c r="AS289" s="584">
        <v>2011</v>
      </c>
      <c r="AT289" s="581">
        <v>1236</v>
      </c>
      <c r="AU289" s="580">
        <v>36</v>
      </c>
      <c r="AV289" s="581">
        <v>1236</v>
      </c>
    </row>
    <row r="290" spans="40:49" ht="15.75" thickBot="1" x14ac:dyDescent="0.3">
      <c r="AN290" s="583">
        <v>2012</v>
      </c>
      <c r="AO290" s="579">
        <v>2179</v>
      </c>
      <c r="AP290" s="578">
        <v>139</v>
      </c>
      <c r="AQ290" s="579">
        <v>2179</v>
      </c>
      <c r="AS290" s="583">
        <v>2012</v>
      </c>
      <c r="AT290" s="579">
        <v>1284</v>
      </c>
      <c r="AU290" s="578">
        <v>55</v>
      </c>
      <c r="AV290" s="579">
        <v>1284</v>
      </c>
    </row>
    <row r="291" spans="40:49" ht="15.75" thickBot="1" x14ac:dyDescent="0.3">
      <c r="AN291" s="584">
        <v>2013</v>
      </c>
      <c r="AO291" s="581">
        <v>2324</v>
      </c>
      <c r="AP291" s="580">
        <v>216</v>
      </c>
      <c r="AQ291" s="581">
        <v>2324</v>
      </c>
      <c r="AS291" s="584">
        <v>2013</v>
      </c>
      <c r="AT291" s="581">
        <v>1668</v>
      </c>
      <c r="AU291" s="580">
        <v>27</v>
      </c>
      <c r="AV291" s="581">
        <v>1668</v>
      </c>
    </row>
    <row r="292" spans="40:49" ht="15.75" thickBot="1" x14ac:dyDescent="0.3">
      <c r="AN292" s="583">
        <v>2014</v>
      </c>
      <c r="AO292" s="579">
        <v>1868</v>
      </c>
      <c r="AP292" s="578">
        <v>430</v>
      </c>
      <c r="AQ292" s="579">
        <v>1868</v>
      </c>
      <c r="AS292" s="583">
        <v>2014</v>
      </c>
      <c r="AT292" s="579">
        <v>2218</v>
      </c>
      <c r="AU292" s="578">
        <v>24</v>
      </c>
      <c r="AV292" s="579">
        <v>2218</v>
      </c>
    </row>
    <row r="293" spans="40:49" ht="15.75" thickBot="1" x14ac:dyDescent="0.3">
      <c r="AN293" s="584">
        <v>2015</v>
      </c>
      <c r="AO293" s="580">
        <v>347</v>
      </c>
      <c r="AP293" s="580">
        <v>105</v>
      </c>
      <c r="AQ293" s="580">
        <v>347</v>
      </c>
      <c r="AS293" s="584">
        <v>2015</v>
      </c>
      <c r="AT293" s="580">
        <v>731</v>
      </c>
      <c r="AU293" s="580">
        <v>14</v>
      </c>
      <c r="AV293" s="580">
        <v>731</v>
      </c>
    </row>
    <row r="294" spans="40:49" ht="15.75" thickBot="1" x14ac:dyDescent="0.3">
      <c r="AN294" s="583">
        <v>2016</v>
      </c>
      <c r="AO294" s="578">
        <v>414</v>
      </c>
      <c r="AP294" s="578">
        <v>523</v>
      </c>
      <c r="AQ294" s="578">
        <v>414</v>
      </c>
      <c r="AS294" s="583">
        <v>2016</v>
      </c>
      <c r="AT294" s="579">
        <v>1546</v>
      </c>
      <c r="AU294" s="578">
        <v>58</v>
      </c>
      <c r="AV294" s="579">
        <v>1546</v>
      </c>
    </row>
    <row r="295" spans="40:49" ht="15.75" thickBot="1" x14ac:dyDescent="0.3">
      <c r="AN295" s="584">
        <v>2017</v>
      </c>
      <c r="AO295" s="580">
        <v>910</v>
      </c>
      <c r="AP295" s="580">
        <v>534</v>
      </c>
      <c r="AQ295" s="580">
        <v>910</v>
      </c>
      <c r="AS295" s="584">
        <v>2017</v>
      </c>
      <c r="AT295" s="581">
        <v>1900</v>
      </c>
      <c r="AU295" s="580">
        <v>202</v>
      </c>
      <c r="AV295" s="581">
        <v>1900</v>
      </c>
    </row>
    <row r="296" spans="40:49" ht="15.75" thickBot="1" x14ac:dyDescent="0.3">
      <c r="AN296" s="585">
        <v>2018</v>
      </c>
      <c r="AO296" s="587">
        <v>1532</v>
      </c>
      <c r="AP296" s="586">
        <v>211</v>
      </c>
      <c r="AQ296" s="587">
        <v>1532</v>
      </c>
      <c r="AS296" s="585">
        <v>2018</v>
      </c>
      <c r="AT296" s="587">
        <v>2364</v>
      </c>
      <c r="AU296" s="586">
        <v>261</v>
      </c>
      <c r="AV296" s="587">
        <v>2364</v>
      </c>
    </row>
    <row r="298" spans="40:49" ht="15.75" thickBot="1" x14ac:dyDescent="0.3">
      <c r="AN298" t="s">
        <v>53</v>
      </c>
      <c r="AS298" s="593" t="s">
        <v>1194</v>
      </c>
      <c r="AT298" s="592"/>
      <c r="AU298" s="592"/>
      <c r="AV298" s="592"/>
      <c r="AW298" s="592"/>
    </row>
    <row r="299" spans="40:49" ht="53.25" thickBot="1" x14ac:dyDescent="0.3">
      <c r="AN299" s="582" t="s">
        <v>387</v>
      </c>
      <c r="AO299" s="577" t="s">
        <v>1151</v>
      </c>
      <c r="AP299" s="577" t="s">
        <v>1152</v>
      </c>
      <c r="AQ299" s="577" t="s">
        <v>1153</v>
      </c>
      <c r="AS299" s="582" t="s">
        <v>387</v>
      </c>
      <c r="AT299" s="577" t="s">
        <v>1190</v>
      </c>
      <c r="AU299" s="577" t="s">
        <v>1191</v>
      </c>
      <c r="AV299" s="577" t="s">
        <v>1192</v>
      </c>
      <c r="AW299" s="577" t="s">
        <v>1193</v>
      </c>
    </row>
    <row r="300" spans="40:49" ht="15.75" thickBot="1" x14ac:dyDescent="0.3">
      <c r="AN300" s="583">
        <v>2010</v>
      </c>
      <c r="AO300" s="578">
        <v>480</v>
      </c>
      <c r="AP300" s="578">
        <v>326</v>
      </c>
      <c r="AQ300" s="578">
        <v>480</v>
      </c>
      <c r="AS300" s="583">
        <v>2004</v>
      </c>
      <c r="AT300" s="578">
        <v>105</v>
      </c>
      <c r="AU300" s="578"/>
      <c r="AV300" s="578"/>
      <c r="AW300" s="578"/>
    </row>
    <row r="301" spans="40:49" ht="15.75" thickBot="1" x14ac:dyDescent="0.3">
      <c r="AN301" s="584">
        <v>2011</v>
      </c>
      <c r="AO301" s="580">
        <v>546</v>
      </c>
      <c r="AP301" s="580">
        <v>45</v>
      </c>
      <c r="AQ301" s="580">
        <v>546</v>
      </c>
      <c r="AS301" s="584">
        <v>2005</v>
      </c>
      <c r="AT301" s="580">
        <v>36</v>
      </c>
      <c r="AU301" s="580"/>
      <c r="AV301" s="580"/>
      <c r="AW301" s="580"/>
    </row>
    <row r="302" spans="40:49" ht="15.75" thickBot="1" x14ac:dyDescent="0.3">
      <c r="AN302" s="583">
        <v>2012</v>
      </c>
      <c r="AO302" s="578">
        <v>542</v>
      </c>
      <c r="AP302" s="578">
        <v>60</v>
      </c>
      <c r="AQ302" s="578">
        <v>542</v>
      </c>
      <c r="AS302" s="583">
        <v>2006</v>
      </c>
      <c r="AT302" s="578">
        <v>28</v>
      </c>
      <c r="AU302" s="578"/>
      <c r="AV302" s="578"/>
      <c r="AW302" s="578"/>
    </row>
    <row r="303" spans="40:49" ht="15.75" thickBot="1" x14ac:dyDescent="0.3">
      <c r="AN303" s="584">
        <v>2013</v>
      </c>
      <c r="AO303" s="580">
        <v>543</v>
      </c>
      <c r="AP303" s="580">
        <v>250</v>
      </c>
      <c r="AQ303" s="580">
        <v>543</v>
      </c>
      <c r="AS303" s="584">
        <v>2007</v>
      </c>
      <c r="AT303" s="580"/>
      <c r="AU303" s="580"/>
      <c r="AV303" s="580"/>
      <c r="AW303" s="580"/>
    </row>
    <row r="304" spans="40:49" ht="15.75" thickBot="1" x14ac:dyDescent="0.3">
      <c r="AN304" s="583">
        <v>2014</v>
      </c>
      <c r="AO304" s="578">
        <v>302</v>
      </c>
      <c r="AP304" s="578">
        <v>755</v>
      </c>
      <c r="AQ304" s="578">
        <v>302</v>
      </c>
      <c r="AS304" s="583">
        <v>2008</v>
      </c>
      <c r="AT304" s="578">
        <v>7</v>
      </c>
      <c r="AU304" s="578"/>
      <c r="AV304" s="578"/>
      <c r="AW304" s="578"/>
    </row>
    <row r="305" spans="40:49" ht="15.75" thickBot="1" x14ac:dyDescent="0.3">
      <c r="AN305" s="584">
        <v>2015</v>
      </c>
      <c r="AO305" s="580">
        <v>114</v>
      </c>
      <c r="AP305" s="580">
        <v>256</v>
      </c>
      <c r="AQ305" s="580">
        <v>114</v>
      </c>
      <c r="AS305" s="584">
        <v>2009</v>
      </c>
      <c r="AT305" s="580">
        <v>18</v>
      </c>
      <c r="AU305" s="580"/>
      <c r="AV305" s="580"/>
      <c r="AW305" s="580"/>
    </row>
    <row r="306" spans="40:49" ht="15.75" thickBot="1" x14ac:dyDescent="0.3">
      <c r="AN306" s="583">
        <v>2016</v>
      </c>
      <c r="AO306" s="578">
        <v>189</v>
      </c>
      <c r="AP306" s="578">
        <v>569</v>
      </c>
      <c r="AQ306" s="578">
        <v>189</v>
      </c>
      <c r="AS306" s="583">
        <v>2010</v>
      </c>
      <c r="AT306" s="578">
        <v>25</v>
      </c>
      <c r="AU306" s="578">
        <v>386</v>
      </c>
      <c r="AV306" s="578">
        <v>125</v>
      </c>
      <c r="AW306" s="578">
        <v>386</v>
      </c>
    </row>
    <row r="307" spans="40:49" ht="15.75" thickBot="1" x14ac:dyDescent="0.3">
      <c r="AN307" s="584">
        <v>2017</v>
      </c>
      <c r="AO307" s="580">
        <v>214</v>
      </c>
      <c r="AP307" s="580">
        <v>660</v>
      </c>
      <c r="AQ307" s="580">
        <v>214</v>
      </c>
      <c r="AS307" s="584">
        <v>2011</v>
      </c>
      <c r="AT307" s="580">
        <v>29</v>
      </c>
      <c r="AU307" s="580">
        <v>453</v>
      </c>
      <c r="AV307" s="580">
        <v>45</v>
      </c>
      <c r="AW307" s="580">
        <v>453</v>
      </c>
    </row>
    <row r="308" spans="40:49" ht="15.75" thickBot="1" x14ac:dyDescent="0.3">
      <c r="AN308" s="585">
        <v>2018</v>
      </c>
      <c r="AO308" s="586">
        <v>188</v>
      </c>
      <c r="AP308" s="586">
        <v>691</v>
      </c>
      <c r="AQ308" s="586">
        <v>188</v>
      </c>
      <c r="AS308" s="583">
        <v>2012</v>
      </c>
      <c r="AT308" s="578">
        <v>20</v>
      </c>
      <c r="AU308" s="578">
        <v>454</v>
      </c>
      <c r="AV308" s="578">
        <v>73</v>
      </c>
      <c r="AW308" s="578">
        <v>454</v>
      </c>
    </row>
    <row r="309" spans="40:49" ht="15.75" thickBot="1" x14ac:dyDescent="0.3">
      <c r="AS309" s="584">
        <v>2013</v>
      </c>
      <c r="AT309" s="580">
        <v>15</v>
      </c>
      <c r="AU309" s="580">
        <v>553</v>
      </c>
      <c r="AV309" s="580">
        <v>138</v>
      </c>
      <c r="AW309" s="580">
        <v>553</v>
      </c>
    </row>
    <row r="310" spans="40:49" ht="15.75" thickBot="1" x14ac:dyDescent="0.3">
      <c r="AS310" s="583">
        <v>2014</v>
      </c>
      <c r="AT310" s="578">
        <v>37</v>
      </c>
      <c r="AU310" s="578">
        <v>564</v>
      </c>
      <c r="AV310" s="578">
        <v>236</v>
      </c>
      <c r="AW310" s="578">
        <v>564</v>
      </c>
    </row>
    <row r="311" spans="40:49" ht="15.75" thickBot="1" x14ac:dyDescent="0.3">
      <c r="AS311" s="584">
        <v>2015</v>
      </c>
      <c r="AT311" s="580">
        <v>11</v>
      </c>
      <c r="AU311" s="580">
        <v>323</v>
      </c>
      <c r="AV311" s="580">
        <v>42</v>
      </c>
      <c r="AW311" s="580">
        <v>323</v>
      </c>
    </row>
    <row r="312" spans="40:49" ht="15.75" thickBot="1" x14ac:dyDescent="0.3">
      <c r="AS312" s="583">
        <v>2016</v>
      </c>
      <c r="AT312" s="578">
        <v>12</v>
      </c>
      <c r="AU312" s="578">
        <v>543</v>
      </c>
      <c r="AV312" s="578">
        <v>36</v>
      </c>
      <c r="AW312" s="578">
        <v>543</v>
      </c>
    </row>
    <row r="313" spans="40:49" ht="15.75" thickBot="1" x14ac:dyDescent="0.3">
      <c r="AS313" s="584">
        <v>2017</v>
      </c>
      <c r="AT313" s="580">
        <v>6</v>
      </c>
      <c r="AU313" s="580">
        <v>406</v>
      </c>
      <c r="AV313" s="580">
        <v>86</v>
      </c>
      <c r="AW313" s="580">
        <v>406</v>
      </c>
    </row>
    <row r="314" spans="40:49" ht="15.75" thickBot="1" x14ac:dyDescent="0.3">
      <c r="AS314" s="583">
        <v>2018</v>
      </c>
      <c r="AT314" s="578">
        <v>9</v>
      </c>
      <c r="AU314" s="578">
        <v>404</v>
      </c>
      <c r="AV314" s="578">
        <v>101</v>
      </c>
      <c r="AW314" s="578">
        <v>404</v>
      </c>
    </row>
    <row r="315" spans="40:49" ht="15.75" thickBot="1" x14ac:dyDescent="0.3">
      <c r="AS315" s="589">
        <v>2019</v>
      </c>
      <c r="AT315" s="591">
        <v>45</v>
      </c>
      <c r="AU315" s="591"/>
      <c r="AV315" s="591"/>
      <c r="AW315" s="594"/>
    </row>
  </sheetData>
  <mergeCells count="47">
    <mergeCell ref="BX37:BZ37"/>
    <mergeCell ref="CA37:CC37"/>
    <mergeCell ref="J2:M2"/>
    <mergeCell ref="A4:A20"/>
    <mergeCell ref="B19:B20"/>
    <mergeCell ref="B17:B18"/>
    <mergeCell ref="B4:B5"/>
    <mergeCell ref="B15:B16"/>
    <mergeCell ref="B6:B7"/>
    <mergeCell ref="B8:B9"/>
    <mergeCell ref="B10:B11"/>
    <mergeCell ref="B12:B13"/>
    <mergeCell ref="E2:H2"/>
    <mergeCell ref="S2:T2"/>
    <mergeCell ref="A21:A55"/>
    <mergeCell ref="B51:B52"/>
    <mergeCell ref="B21:B23"/>
    <mergeCell ref="B24:B25"/>
    <mergeCell ref="B26:B27"/>
    <mergeCell ref="B49:B50"/>
    <mergeCell ref="B28:B29"/>
    <mergeCell ref="B31:B32"/>
    <mergeCell ref="B33:B34"/>
    <mergeCell ref="B35:B36"/>
    <mergeCell ref="B44:B45"/>
    <mergeCell ref="B47:B48"/>
    <mergeCell ref="B37:B39"/>
    <mergeCell ref="B40:B41"/>
    <mergeCell ref="B42:B43"/>
    <mergeCell ref="B65:B66"/>
    <mergeCell ref="B53:B55"/>
    <mergeCell ref="A65:A66"/>
    <mergeCell ref="A56:A64"/>
    <mergeCell ref="B60:B61"/>
    <mergeCell ref="B63:B64"/>
    <mergeCell ref="B56:B57"/>
    <mergeCell ref="B58:B59"/>
    <mergeCell ref="BS147:BT147"/>
    <mergeCell ref="BL41:BN41"/>
    <mergeCell ref="BO41:BP41"/>
    <mergeCell ref="BQ41:BS41"/>
    <mergeCell ref="H58:H61"/>
    <mergeCell ref="CI64:CM64"/>
    <mergeCell ref="BS81:BT81"/>
    <mergeCell ref="BS80:BT80"/>
    <mergeCell ref="BS114:BT114"/>
    <mergeCell ref="BS115:BT11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HW112"/>
  <sheetViews>
    <sheetView tabSelected="1" topLeftCell="V1" zoomScale="80" zoomScaleNormal="80" workbookViewId="0">
      <selection activeCell="BK5" sqref="BK5"/>
    </sheetView>
  </sheetViews>
  <sheetFormatPr defaultRowHeight="15" x14ac:dyDescent="0.25"/>
  <cols>
    <col min="3" max="3" width="14.7109375" customWidth="1"/>
    <col min="4" max="4" width="19.42578125" customWidth="1"/>
    <col min="5" max="5" width="9.85546875" bestFit="1" customWidth="1"/>
    <col min="6" max="6" width="9.28515625" customWidth="1"/>
    <col min="7" max="7" width="10.5703125" customWidth="1"/>
    <col min="8" max="8" width="9.85546875" customWidth="1"/>
    <col min="9" max="9" width="10.42578125" customWidth="1"/>
    <col min="43" max="45" width="8.85546875" style="47"/>
    <col min="46" max="46" width="8.85546875" style="596"/>
    <col min="47" max="47" width="15.7109375" style="47" customWidth="1"/>
    <col min="48" max="48" width="8.85546875" style="47"/>
    <col min="49" max="49" width="12.140625" style="47" customWidth="1"/>
    <col min="50" max="50" width="8.85546875" style="47"/>
    <col min="51" max="51" width="8.85546875" style="460"/>
    <col min="52" max="52" width="19" customWidth="1"/>
    <col min="94" max="94" width="9.140625" customWidth="1"/>
    <col min="98" max="98" width="10" customWidth="1"/>
    <col min="100" max="100" width="9.140625" customWidth="1"/>
    <col min="101" max="101" width="10.5703125" customWidth="1"/>
    <col min="102" max="102" width="9.85546875" customWidth="1"/>
    <col min="124" max="124" width="11.28515625" customWidth="1"/>
    <col min="126" max="126" width="13.28515625" customWidth="1"/>
    <col min="127" max="127" width="11.85546875" customWidth="1"/>
    <col min="128" max="128" width="11.7109375" customWidth="1"/>
    <col min="131" max="131" width="12.5703125" customWidth="1"/>
    <col min="133" max="133" width="10.7109375" customWidth="1"/>
    <col min="137" max="137" width="10.42578125" customWidth="1"/>
    <col min="138" max="139" width="13.140625" customWidth="1"/>
    <col min="141" max="162" width="11.28515625" customWidth="1"/>
    <col min="163" max="163" width="5.42578125" customWidth="1"/>
    <col min="169" max="169" width="11.85546875" customWidth="1"/>
    <col min="176" max="176" width="10.42578125" customWidth="1"/>
    <col min="177" max="178" width="10.28515625" customWidth="1"/>
    <col min="182" max="182" width="12.140625" bestFit="1" customWidth="1"/>
    <col min="184" max="184" width="12.140625" bestFit="1" customWidth="1"/>
    <col min="203" max="203" width="9.140625" customWidth="1"/>
    <col min="204" max="205" width="6" customWidth="1"/>
    <col min="206" max="206" width="11.42578125" customWidth="1"/>
    <col min="207" max="208" width="15" customWidth="1"/>
    <col min="209" max="209" width="2.7109375" customWidth="1"/>
    <col min="210" max="210" width="11.42578125" customWidth="1"/>
    <col min="211" max="213" width="15" customWidth="1"/>
    <col min="214" max="214" width="2.7109375" customWidth="1"/>
    <col min="215" max="217" width="15" customWidth="1"/>
    <col min="218" max="218" width="2.7109375" customWidth="1"/>
    <col min="219" max="219" width="11.42578125" customWidth="1"/>
    <col min="220" max="221" width="15" customWidth="1"/>
    <col min="222" max="222" width="2.7109375" customWidth="1"/>
    <col min="223" max="223" width="11.42578125" customWidth="1"/>
    <col min="224" max="225" width="15" customWidth="1"/>
    <col min="226" max="226" width="2.7109375" customWidth="1"/>
    <col min="227" max="229" width="15" customWidth="1"/>
    <col min="231" max="231" width="6" customWidth="1"/>
  </cols>
  <sheetData>
    <row r="1" spans="2:231" ht="16.5" customHeight="1" thickBot="1" x14ac:dyDescent="0.3">
      <c r="E1" s="16" t="s">
        <v>107</v>
      </c>
      <c r="AP1" s="264" t="s">
        <v>388</v>
      </c>
      <c r="CV1" t="s">
        <v>443</v>
      </c>
      <c r="CW1" s="264" t="s">
        <v>442</v>
      </c>
      <c r="DD1" s="656" t="s">
        <v>725</v>
      </c>
      <c r="DE1" s="656"/>
      <c r="DF1" s="656"/>
      <c r="DG1" s="656"/>
      <c r="DH1" s="656"/>
      <c r="DI1" s="656"/>
      <c r="DJ1" s="656"/>
      <c r="DK1" s="656"/>
      <c r="DL1" s="656"/>
      <c r="DM1" s="656"/>
      <c r="DN1" s="656"/>
      <c r="DO1" s="656"/>
      <c r="DP1" s="656"/>
      <c r="DQ1" s="656"/>
      <c r="DR1" s="656"/>
      <c r="DS1" s="656"/>
      <c r="DT1" s="656"/>
      <c r="DU1" s="58"/>
      <c r="DV1" s="58"/>
      <c r="DW1" s="656" t="s">
        <v>726</v>
      </c>
      <c r="DX1" s="656"/>
      <c r="DY1" s="656"/>
      <c r="DZ1" s="656"/>
      <c r="EA1" s="656"/>
      <c r="EB1" s="656"/>
      <c r="EC1" s="656"/>
      <c r="ED1" s="656"/>
      <c r="EK1" s="656" t="s">
        <v>683</v>
      </c>
      <c r="EL1" s="656"/>
      <c r="EM1" s="656"/>
      <c r="EN1" s="656"/>
      <c r="EO1" s="656"/>
      <c r="EP1" s="656"/>
      <c r="EQ1" s="656"/>
      <c r="ER1" s="656"/>
      <c r="ES1" s="656"/>
      <c r="ET1" s="656"/>
      <c r="EU1" s="656"/>
      <c r="EV1" s="656"/>
      <c r="EW1" s="656"/>
      <c r="EX1" s="656"/>
      <c r="EY1" s="656"/>
      <c r="EZ1" s="656"/>
      <c r="FA1" s="656"/>
      <c r="FB1" s="656"/>
      <c r="FC1" s="656"/>
      <c r="FD1" s="656"/>
      <c r="FE1" s="656"/>
    </row>
    <row r="2" spans="2:231" ht="15" customHeight="1" thickBot="1" x14ac:dyDescent="0.3">
      <c r="B2" s="664" t="s">
        <v>0</v>
      </c>
      <c r="C2" s="665"/>
      <c r="D2" s="666"/>
      <c r="E2" s="670" t="s">
        <v>21</v>
      </c>
      <c r="F2" s="671"/>
      <c r="G2" s="670" t="s">
        <v>1</v>
      </c>
      <c r="H2" s="672"/>
      <c r="I2" s="671"/>
      <c r="J2" s="670" t="s">
        <v>2</v>
      </c>
      <c r="K2" s="672"/>
      <c r="L2" s="672"/>
      <c r="M2" s="671"/>
      <c r="DD2" s="656"/>
      <c r="DE2" s="656"/>
      <c r="DF2" s="656"/>
      <c r="DG2" s="656"/>
      <c r="DH2" s="656"/>
      <c r="DI2" s="656"/>
      <c r="DJ2" s="656"/>
      <c r="DK2" s="656"/>
      <c r="DL2" s="656"/>
      <c r="DM2" s="656"/>
      <c r="DN2" s="656"/>
      <c r="DO2" s="656"/>
      <c r="DP2" s="656"/>
      <c r="DQ2" s="656"/>
      <c r="DR2" s="656"/>
      <c r="DS2" s="656"/>
      <c r="DT2" s="656"/>
      <c r="DU2" s="58"/>
      <c r="DV2" s="58"/>
      <c r="DW2" s="656" t="s">
        <v>727</v>
      </c>
      <c r="DX2" s="656"/>
      <c r="DY2" s="656"/>
      <c r="DZ2" s="656"/>
      <c r="EA2" s="656"/>
      <c r="EB2" s="656"/>
      <c r="EC2" s="656"/>
      <c r="ED2" s="656"/>
      <c r="EK2" s="656"/>
      <c r="EL2" s="656"/>
      <c r="EM2" s="656"/>
      <c r="EN2" s="656"/>
      <c r="EO2" s="656"/>
      <c r="EP2" s="656"/>
      <c r="EQ2" s="656"/>
      <c r="ER2" s="656"/>
      <c r="ES2" s="656"/>
      <c r="ET2" s="656"/>
      <c r="EU2" s="656"/>
      <c r="EV2" s="656"/>
      <c r="EW2" s="656"/>
      <c r="EX2" s="656"/>
      <c r="EY2" s="656"/>
      <c r="EZ2" s="656"/>
      <c r="FA2" s="656"/>
      <c r="FB2" s="656"/>
      <c r="FC2" s="656"/>
      <c r="FD2" s="656"/>
      <c r="FE2" s="656"/>
    </row>
    <row r="3" spans="2:231" ht="33" customHeight="1" thickBot="1" x14ac:dyDescent="0.35">
      <c r="B3" s="667"/>
      <c r="C3" s="668"/>
      <c r="D3" s="669"/>
      <c r="E3" s="368" t="s">
        <v>3</v>
      </c>
      <c r="F3" s="368" t="s">
        <v>4</v>
      </c>
      <c r="G3" s="368" t="s">
        <v>22</v>
      </c>
      <c r="H3" s="368" t="s">
        <v>23</v>
      </c>
      <c r="I3" s="368" t="s">
        <v>24</v>
      </c>
      <c r="J3" s="368" t="s">
        <v>25</v>
      </c>
      <c r="K3" s="368" t="s">
        <v>26</v>
      </c>
      <c r="L3" s="368" t="s">
        <v>27</v>
      </c>
      <c r="M3" s="368" t="s">
        <v>6</v>
      </c>
      <c r="AP3" s="265" t="s">
        <v>389</v>
      </c>
      <c r="AQ3" s="595" t="s">
        <v>390</v>
      </c>
      <c r="BB3" s="265" t="s">
        <v>406</v>
      </c>
      <c r="BC3" s="265"/>
      <c r="BP3" s="663" t="s">
        <v>414</v>
      </c>
      <c r="BQ3" s="663"/>
      <c r="BR3" s="663"/>
      <c r="BS3" s="663"/>
      <c r="BT3" s="663"/>
      <c r="BU3" s="663"/>
      <c r="BV3" s="663"/>
      <c r="BX3" s="663" t="s">
        <v>440</v>
      </c>
      <c r="BY3" s="663"/>
      <c r="BZ3" s="663"/>
      <c r="CA3" s="663"/>
      <c r="CB3" s="663"/>
      <c r="CC3" s="663"/>
      <c r="CD3" s="663"/>
      <c r="CE3" s="663"/>
      <c r="CF3" s="663"/>
      <c r="CG3" s="663"/>
      <c r="CH3" s="663"/>
      <c r="CI3" s="663"/>
      <c r="CJ3" s="663"/>
      <c r="CK3" s="663"/>
      <c r="CL3" s="663"/>
      <c r="CM3" s="663"/>
      <c r="CN3" s="663"/>
      <c r="CO3" s="663"/>
      <c r="CP3" s="663"/>
      <c r="CQ3" s="663"/>
      <c r="CR3" s="663"/>
      <c r="CS3" s="663"/>
      <c r="CT3" s="663"/>
      <c r="CV3" s="663" t="s">
        <v>441</v>
      </c>
      <c r="CW3" s="663"/>
      <c r="CX3" s="663"/>
      <c r="CY3" s="663"/>
      <c r="CZ3" s="663"/>
      <c r="DA3" s="663"/>
      <c r="DB3" s="663"/>
      <c r="DC3" s="663"/>
      <c r="DD3" s="663"/>
      <c r="DE3" s="663"/>
      <c r="DF3" s="663"/>
      <c r="DG3" s="663"/>
      <c r="DH3" s="663"/>
      <c r="DI3" s="663"/>
      <c r="DJ3" s="663"/>
      <c r="DK3" s="663"/>
      <c r="DL3" s="663"/>
      <c r="DM3" s="663"/>
      <c r="DN3" s="663"/>
      <c r="DO3" s="663"/>
      <c r="DP3" s="663"/>
      <c r="DQ3" s="663"/>
      <c r="DR3" s="663"/>
      <c r="DS3" s="663"/>
      <c r="DT3" s="663"/>
      <c r="DU3" s="663"/>
      <c r="DV3" s="663"/>
      <c r="DW3" s="663"/>
      <c r="DX3" s="663"/>
      <c r="DY3" s="663"/>
      <c r="DZ3" s="663"/>
      <c r="EA3" s="663"/>
      <c r="EB3" s="663"/>
      <c r="EC3" s="663"/>
      <c r="ED3" s="663"/>
      <c r="EE3" s="663"/>
      <c r="EF3" s="663"/>
      <c r="EG3" s="663"/>
      <c r="EH3" s="663"/>
      <c r="EI3" s="663"/>
      <c r="EJ3" s="663"/>
      <c r="EK3" s="372" t="s">
        <v>704</v>
      </c>
      <c r="FG3" s="656" t="s">
        <v>749</v>
      </c>
      <c r="FH3" s="656"/>
      <c r="FI3" s="656"/>
      <c r="FJ3" s="656"/>
      <c r="FK3" s="656"/>
      <c r="FL3" s="656"/>
      <c r="FM3" s="656"/>
      <c r="FN3" s="656"/>
      <c r="FO3" s="656"/>
      <c r="FP3" s="656"/>
      <c r="FQ3" s="656"/>
      <c r="FR3" s="656"/>
      <c r="FS3" s="656"/>
      <c r="FT3" s="656"/>
      <c r="FU3" s="656"/>
      <c r="FV3" s="656"/>
      <c r="FW3" s="656"/>
      <c r="FX3" s="656"/>
      <c r="FY3" s="656"/>
      <c r="FZ3" s="656"/>
      <c r="GA3" s="656"/>
      <c r="GB3" s="656"/>
      <c r="GC3" s="656"/>
      <c r="GD3" s="656"/>
      <c r="GE3" s="656"/>
      <c r="GF3" s="656"/>
      <c r="GG3" s="656"/>
      <c r="GH3" s="656"/>
    </row>
    <row r="4" spans="2:231" ht="15.75" thickBot="1" x14ac:dyDescent="0.3">
      <c r="B4" s="657" t="s">
        <v>28</v>
      </c>
      <c r="C4" s="660" t="s">
        <v>10</v>
      </c>
      <c r="D4" s="4" t="s">
        <v>29</v>
      </c>
      <c r="E4" s="14"/>
      <c r="F4" s="14" t="s">
        <v>88</v>
      </c>
      <c r="G4" s="5"/>
      <c r="H4" s="6"/>
      <c r="I4" s="6" t="s">
        <v>89</v>
      </c>
      <c r="J4" s="4"/>
      <c r="K4" s="4"/>
      <c r="L4" s="4"/>
      <c r="M4" s="4"/>
      <c r="BP4" s="195"/>
      <c r="BQ4" s="195"/>
      <c r="BR4" s="195"/>
      <c r="BS4" s="195"/>
      <c r="BT4" s="195"/>
      <c r="BU4" s="195"/>
      <c r="BV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W4" t="s">
        <v>429</v>
      </c>
      <c r="DD4" s="195"/>
      <c r="DE4" s="195"/>
      <c r="DF4" s="195"/>
      <c r="DG4" s="195"/>
      <c r="DH4" s="195"/>
      <c r="DI4" s="195"/>
      <c r="DJ4" s="195"/>
      <c r="DK4" s="195"/>
      <c r="DL4" s="195"/>
      <c r="DM4" s="195"/>
      <c r="DN4" s="195"/>
      <c r="DO4" s="195"/>
      <c r="DP4" s="195"/>
      <c r="DQ4" s="195"/>
      <c r="DR4" s="195"/>
      <c r="DS4" s="195"/>
      <c r="DT4" s="195"/>
      <c r="FG4" t="s">
        <v>748</v>
      </c>
    </row>
    <row r="5" spans="2:231" ht="15.75" customHeight="1" thickBot="1" x14ac:dyDescent="0.3">
      <c r="B5" s="658"/>
      <c r="C5" s="661"/>
      <c r="D5" s="4" t="s">
        <v>30</v>
      </c>
      <c r="E5" s="14"/>
      <c r="F5" s="14" t="s">
        <v>90</v>
      </c>
      <c r="G5" s="5"/>
      <c r="H5" s="6"/>
      <c r="I5" s="6"/>
      <c r="J5" s="4"/>
      <c r="K5" s="4"/>
      <c r="L5" s="4"/>
      <c r="M5" s="4"/>
      <c r="BP5" s="195"/>
      <c r="BQ5" s="195"/>
      <c r="BR5" s="195"/>
      <c r="BS5" s="195"/>
      <c r="BT5" s="195"/>
      <c r="BU5" s="195"/>
      <c r="BV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DD5" s="195"/>
      <c r="DE5" s="195"/>
      <c r="DF5" s="195"/>
      <c r="DG5" s="195"/>
      <c r="DH5" s="195"/>
      <c r="DI5" s="195"/>
      <c r="DJ5" s="195"/>
      <c r="DK5" s="195"/>
      <c r="DL5" s="195"/>
      <c r="DM5" s="195"/>
      <c r="DN5" s="195"/>
      <c r="DO5" s="195"/>
      <c r="DP5" s="195"/>
      <c r="DQ5" s="195"/>
      <c r="DR5" s="195"/>
      <c r="DS5" s="195"/>
      <c r="DT5" s="195"/>
      <c r="FG5" t="s">
        <v>700</v>
      </c>
    </row>
    <row r="6" spans="2:231" ht="15.75" customHeight="1" thickBot="1" x14ac:dyDescent="0.3">
      <c r="B6" s="658"/>
      <c r="C6" s="661"/>
      <c r="D6" s="4" t="s">
        <v>31</v>
      </c>
      <c r="E6" s="14" t="s">
        <v>108</v>
      </c>
      <c r="F6" s="4"/>
      <c r="G6" s="5" t="str">
        <f>+E6</f>
        <v>&lt;10-30%</v>
      </c>
      <c r="H6" s="6"/>
      <c r="I6" s="6" t="s">
        <v>89</v>
      </c>
      <c r="J6" s="4"/>
      <c r="K6" s="4"/>
      <c r="L6" s="4"/>
      <c r="M6" s="4"/>
      <c r="BP6" s="195"/>
      <c r="BQ6" s="195"/>
      <c r="BR6" s="195"/>
      <c r="BS6" s="195"/>
      <c r="BT6" s="195"/>
      <c r="BU6" s="195"/>
      <c r="BV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W6" t="s">
        <v>10</v>
      </c>
      <c r="CX6" t="s">
        <v>10</v>
      </c>
      <c r="CY6" t="s">
        <v>10</v>
      </c>
      <c r="CZ6" t="s">
        <v>430</v>
      </c>
      <c r="DA6" t="s">
        <v>431</v>
      </c>
      <c r="DD6" s="195"/>
      <c r="DE6" s="195"/>
      <c r="DF6" s="195"/>
      <c r="DG6" s="195"/>
      <c r="DH6" s="195"/>
      <c r="DI6" s="195"/>
      <c r="DJ6" s="195"/>
      <c r="DK6" s="195"/>
      <c r="DL6" s="195"/>
      <c r="DM6" s="195"/>
      <c r="DN6" s="195"/>
      <c r="DO6" s="195"/>
      <c r="DP6" s="195"/>
      <c r="DQ6" s="195"/>
      <c r="DR6" s="195"/>
      <c r="DS6" s="195"/>
      <c r="DT6" s="195"/>
      <c r="EK6" s="373" t="s">
        <v>705</v>
      </c>
      <c r="EL6" s="702" t="s">
        <v>706</v>
      </c>
      <c r="EM6" s="703"/>
      <c r="EN6" s="703"/>
      <c r="EO6" s="703"/>
      <c r="EP6" s="703"/>
      <c r="EQ6" s="703"/>
      <c r="ER6" s="703"/>
      <c r="ES6" s="703"/>
      <c r="ET6" s="703"/>
      <c r="EU6" s="703"/>
      <c r="EV6" s="703"/>
      <c r="EW6" s="703"/>
      <c r="EX6" s="703"/>
      <c r="EY6" s="703"/>
      <c r="EZ6" s="703"/>
      <c r="FA6" s="703"/>
      <c r="FB6" s="703"/>
      <c r="FC6" s="704"/>
      <c r="FD6" s="374"/>
      <c r="FE6" s="374"/>
      <c r="FF6" s="374"/>
      <c r="GV6" t="s">
        <v>689</v>
      </c>
    </row>
    <row r="7" spans="2:231" ht="15.75" customHeight="1" thickBot="1" x14ac:dyDescent="0.3">
      <c r="B7" s="659"/>
      <c r="C7" s="662"/>
      <c r="D7" s="4" t="s">
        <v>32</v>
      </c>
      <c r="E7" s="4"/>
      <c r="F7" s="4"/>
      <c r="G7" s="5"/>
      <c r="H7" s="6"/>
      <c r="I7" s="6"/>
      <c r="J7" s="4"/>
      <c r="K7" s="4"/>
      <c r="L7" s="4"/>
      <c r="M7" s="4"/>
      <c r="CW7" t="s">
        <v>432</v>
      </c>
      <c r="CX7" t="s">
        <v>432</v>
      </c>
      <c r="CY7" t="s">
        <v>433</v>
      </c>
      <c r="CZ7" t="s">
        <v>432</v>
      </c>
      <c r="DA7" t="s">
        <v>432</v>
      </c>
      <c r="DD7" s="195"/>
      <c r="DE7" s="195"/>
      <c r="DF7" s="195"/>
      <c r="DG7" s="195"/>
      <c r="DH7" s="195"/>
      <c r="DI7" s="195"/>
      <c r="DJ7" s="195"/>
      <c r="DK7" s="195"/>
      <c r="DL7" s="195"/>
      <c r="DM7" s="195"/>
      <c r="DN7" s="195"/>
      <c r="DO7" s="195"/>
      <c r="DP7" s="195"/>
      <c r="DQ7" s="195"/>
      <c r="DR7" s="195"/>
      <c r="DS7" s="195"/>
      <c r="DT7" s="195"/>
      <c r="EK7" s="375"/>
      <c r="EL7" s="376"/>
      <c r="EM7" s="377"/>
      <c r="EN7" s="377"/>
      <c r="EO7" s="377"/>
      <c r="EP7" s="377"/>
      <c r="EQ7" s="377"/>
      <c r="ER7" s="377"/>
      <c r="ES7" s="377"/>
      <c r="ET7" s="377"/>
      <c r="EU7" s="377"/>
      <c r="EV7" s="377"/>
      <c r="EW7" s="377"/>
      <c r="EX7" s="377"/>
      <c r="EY7" s="377"/>
      <c r="EZ7" s="377"/>
      <c r="FA7" s="377"/>
      <c r="FB7" s="377"/>
      <c r="FC7" s="378"/>
      <c r="FD7" s="379"/>
      <c r="FE7" s="379"/>
      <c r="FF7" s="379"/>
      <c r="GH7" s="364"/>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row>
    <row r="8" spans="2:231" ht="15.75" customHeight="1" thickBot="1" x14ac:dyDescent="0.3">
      <c r="B8" s="657" t="s">
        <v>33</v>
      </c>
      <c r="C8" s="4" t="s">
        <v>34</v>
      </c>
      <c r="D8" s="8" t="s">
        <v>31</v>
      </c>
      <c r="E8" s="4">
        <v>0</v>
      </c>
      <c r="F8" s="4"/>
      <c r="G8" s="5"/>
      <c r="H8" s="4"/>
      <c r="I8" s="4"/>
      <c r="J8" s="4"/>
      <c r="K8" s="4"/>
      <c r="L8" s="4"/>
      <c r="M8" s="4"/>
      <c r="CW8" t="s">
        <v>434</v>
      </c>
      <c r="CX8" t="s">
        <v>435</v>
      </c>
      <c r="CY8" t="s">
        <v>436</v>
      </c>
      <c r="CZ8" t="s">
        <v>437</v>
      </c>
      <c r="DA8" t="s">
        <v>437</v>
      </c>
      <c r="DD8" s="717" t="s">
        <v>724</v>
      </c>
      <c r="DE8" s="701"/>
      <c r="DF8" s="701"/>
      <c r="DG8" s="701"/>
      <c r="DH8" s="701"/>
      <c r="DI8" s="701"/>
      <c r="DJ8" s="701"/>
      <c r="DK8" s="701"/>
      <c r="DL8" s="701"/>
      <c r="DM8" s="701"/>
      <c r="DN8" s="701"/>
      <c r="DO8" s="701"/>
      <c r="DP8" s="701"/>
      <c r="DQ8" s="701"/>
      <c r="DR8" s="701"/>
      <c r="DS8" s="701"/>
      <c r="DT8" s="718"/>
      <c r="DY8" t="s">
        <v>1196</v>
      </c>
      <c r="EK8" s="380" t="s">
        <v>707</v>
      </c>
      <c r="EL8" s="705" t="s">
        <v>708</v>
      </c>
      <c r="EM8" s="706"/>
      <c r="EN8" s="706"/>
      <c r="EO8" s="706"/>
      <c r="EP8" s="706"/>
      <c r="EQ8" s="707"/>
      <c r="ER8" s="705" t="s">
        <v>61</v>
      </c>
      <c r="ES8" s="706"/>
      <c r="ET8" s="706"/>
      <c r="EU8" s="706"/>
      <c r="EV8" s="706"/>
      <c r="EW8" s="707"/>
      <c r="EX8" s="705" t="s">
        <v>709</v>
      </c>
      <c r="EY8" s="706"/>
      <c r="EZ8" s="706"/>
      <c r="FA8" s="706"/>
      <c r="FB8" s="706"/>
      <c r="FC8" s="706"/>
      <c r="FD8" s="708" t="s">
        <v>396</v>
      </c>
      <c r="FE8" s="709"/>
      <c r="FF8" s="388"/>
      <c r="FG8" s="2"/>
      <c r="FH8" s="698" t="s">
        <v>675</v>
      </c>
      <c r="FI8" s="698"/>
      <c r="FJ8" s="698"/>
      <c r="FK8" s="698"/>
      <c r="FL8" s="364" t="s">
        <v>703</v>
      </c>
      <c r="FM8" s="2"/>
      <c r="FN8" s="698" t="s">
        <v>676</v>
      </c>
      <c r="FO8" s="641"/>
      <c r="FP8" s="641"/>
      <c r="FQ8" s="641"/>
      <c r="FR8" s="364" t="s">
        <v>703</v>
      </c>
      <c r="FS8" s="2"/>
      <c r="FT8" s="698" t="s">
        <v>396</v>
      </c>
      <c r="FU8" s="698"/>
      <c r="FV8" s="698"/>
      <c r="FX8" s="698" t="s">
        <v>677</v>
      </c>
      <c r="FY8" s="698"/>
      <c r="FZ8" s="698"/>
      <c r="GA8" s="698"/>
      <c r="GB8" s="364" t="s">
        <v>703</v>
      </c>
      <c r="GC8" s="2"/>
      <c r="GD8" s="698" t="s">
        <v>678</v>
      </c>
      <c r="GE8" s="641"/>
      <c r="GF8" s="641"/>
      <c r="GG8" s="641"/>
      <c r="GH8" s="364" t="s">
        <v>703</v>
      </c>
      <c r="GX8" s="701" t="s">
        <v>692</v>
      </c>
      <c r="GY8" s="701"/>
      <c r="GZ8" s="701"/>
      <c r="HB8" s="701" t="s">
        <v>695</v>
      </c>
      <c r="HC8" s="701"/>
      <c r="HD8" s="701"/>
      <c r="HE8" s="701"/>
      <c r="HF8" s="2"/>
      <c r="HG8" s="701" t="s">
        <v>696</v>
      </c>
      <c r="HH8" s="701"/>
      <c r="HI8" s="701"/>
      <c r="HK8" s="701" t="s">
        <v>693</v>
      </c>
      <c r="HL8" s="701"/>
      <c r="HM8" s="701"/>
      <c r="HO8" s="641" t="s">
        <v>694</v>
      </c>
      <c r="HP8" s="641"/>
      <c r="HQ8" s="641"/>
      <c r="HR8" s="2"/>
      <c r="HS8" s="641" t="s">
        <v>697</v>
      </c>
      <c r="HT8" s="641"/>
      <c r="HU8" s="641"/>
    </row>
    <row r="9" spans="2:231" ht="15.75" customHeight="1" thickBot="1" x14ac:dyDescent="0.3">
      <c r="B9" s="658"/>
      <c r="C9" s="4"/>
      <c r="D9" s="9" t="s">
        <v>32</v>
      </c>
      <c r="E9" s="4"/>
      <c r="F9" s="4"/>
      <c r="G9" s="5"/>
      <c r="H9" s="4"/>
      <c r="I9" s="4"/>
      <c r="J9" s="4"/>
      <c r="K9" s="4"/>
      <c r="L9" s="4"/>
      <c r="M9" s="4"/>
      <c r="AX9" s="130" t="s">
        <v>391</v>
      </c>
      <c r="AY9" s="461" t="s">
        <v>392</v>
      </c>
      <c r="AZ9" s="224" t="s">
        <v>391</v>
      </c>
      <c r="BW9" s="195"/>
      <c r="CV9" t="s">
        <v>387</v>
      </c>
      <c r="CW9" t="s">
        <v>433</v>
      </c>
      <c r="CX9" t="s">
        <v>433</v>
      </c>
      <c r="CZ9" t="s">
        <v>438</v>
      </c>
      <c r="DA9" t="s">
        <v>438</v>
      </c>
      <c r="DD9" s="403"/>
      <c r="DE9" s="719" t="s">
        <v>420</v>
      </c>
      <c r="DF9" s="720"/>
      <c r="DG9" s="720"/>
      <c r="DH9" s="720"/>
      <c r="DI9" s="721"/>
      <c r="DJ9" s="719" t="s">
        <v>421</v>
      </c>
      <c r="DK9" s="720"/>
      <c r="DL9" s="720"/>
      <c r="DM9" s="720"/>
      <c r="DN9" s="721"/>
      <c r="DO9" s="719" t="s">
        <v>422</v>
      </c>
      <c r="DP9" s="720"/>
      <c r="DQ9" s="720"/>
      <c r="DR9" s="720"/>
      <c r="DS9" s="721"/>
      <c r="DT9" s="395"/>
      <c r="EG9" s="224"/>
      <c r="EH9" s="224"/>
      <c r="EI9" s="224"/>
      <c r="EK9" s="386" t="s">
        <v>387</v>
      </c>
      <c r="EL9" s="382" t="s">
        <v>679</v>
      </c>
      <c r="EM9" s="387" t="s">
        <v>680</v>
      </c>
      <c r="EN9" s="387" t="s">
        <v>681</v>
      </c>
      <c r="EO9" s="387" t="s">
        <v>710</v>
      </c>
      <c r="EP9" s="387" t="s">
        <v>711</v>
      </c>
      <c r="EQ9" s="383" t="s">
        <v>10</v>
      </c>
      <c r="ER9" s="382" t="s">
        <v>679</v>
      </c>
      <c r="ES9" s="387" t="s">
        <v>680</v>
      </c>
      <c r="ET9" s="387" t="s">
        <v>681</v>
      </c>
      <c r="EU9" s="387" t="s">
        <v>710</v>
      </c>
      <c r="EV9" s="387" t="s">
        <v>711</v>
      </c>
      <c r="EW9" s="383" t="s">
        <v>10</v>
      </c>
      <c r="EX9" s="382" t="s">
        <v>679</v>
      </c>
      <c r="EY9" s="387" t="s">
        <v>680</v>
      </c>
      <c r="EZ9" s="387" t="s">
        <v>681</v>
      </c>
      <c r="FA9" s="387" t="s">
        <v>710</v>
      </c>
      <c r="FB9" s="387" t="s">
        <v>711</v>
      </c>
      <c r="FC9" s="383" t="s">
        <v>10</v>
      </c>
      <c r="FD9" s="382" t="s">
        <v>398</v>
      </c>
      <c r="FE9" s="383" t="s">
        <v>399</v>
      </c>
      <c r="FF9" s="381"/>
      <c r="FG9" s="337" t="s">
        <v>387</v>
      </c>
      <c r="FH9" s="365" t="s">
        <v>679</v>
      </c>
      <c r="FI9" s="365" t="s">
        <v>680</v>
      </c>
      <c r="FJ9" s="365" t="s">
        <v>682</v>
      </c>
      <c r="FK9" s="365" t="s">
        <v>10</v>
      </c>
      <c r="FL9" s="365" t="s">
        <v>702</v>
      </c>
      <c r="FM9" s="224"/>
      <c r="FN9" s="365" t="s">
        <v>679</v>
      </c>
      <c r="FO9" s="365" t="s">
        <v>680</v>
      </c>
      <c r="FP9" s="365" t="s">
        <v>682</v>
      </c>
      <c r="FQ9" s="365" t="s">
        <v>10</v>
      </c>
      <c r="FR9" s="365" t="s">
        <v>702</v>
      </c>
      <c r="FS9" s="337"/>
      <c r="FT9" s="365" t="s">
        <v>44</v>
      </c>
      <c r="FU9" s="365" t="s">
        <v>423</v>
      </c>
      <c r="FV9" s="365" t="s">
        <v>10</v>
      </c>
      <c r="FW9" s="337"/>
      <c r="FX9" s="365" t="s">
        <v>679</v>
      </c>
      <c r="FY9" s="365" t="s">
        <v>680</v>
      </c>
      <c r="FZ9" s="365" t="s">
        <v>682</v>
      </c>
      <c r="GA9" s="365" t="s">
        <v>10</v>
      </c>
      <c r="GB9" s="365" t="s">
        <v>702</v>
      </c>
      <c r="GC9" s="337"/>
      <c r="GD9" s="365" t="s">
        <v>679</v>
      </c>
      <c r="GE9" s="365" t="s">
        <v>680</v>
      </c>
      <c r="GF9" s="365" t="s">
        <v>682</v>
      </c>
      <c r="GG9" s="598" t="s">
        <v>10</v>
      </c>
      <c r="GH9" s="365" t="s">
        <v>702</v>
      </c>
      <c r="GV9" s="337" t="s">
        <v>387</v>
      </c>
      <c r="GW9" s="25"/>
      <c r="GX9" s="337" t="s">
        <v>688</v>
      </c>
      <c r="GY9" s="337" t="s">
        <v>690</v>
      </c>
      <c r="GZ9" s="337" t="s">
        <v>691</v>
      </c>
      <c r="HA9" s="25"/>
      <c r="HB9" s="337" t="s">
        <v>688</v>
      </c>
      <c r="HC9" s="337" t="s">
        <v>690</v>
      </c>
      <c r="HD9" s="337" t="s">
        <v>698</v>
      </c>
      <c r="HE9" s="337" t="s">
        <v>699</v>
      </c>
      <c r="HF9" s="337"/>
      <c r="HG9" s="337" t="s">
        <v>688</v>
      </c>
      <c r="HH9" s="337" t="s">
        <v>690</v>
      </c>
      <c r="HI9" s="337" t="s">
        <v>691</v>
      </c>
      <c r="HJ9" s="25"/>
      <c r="HK9" s="337" t="s">
        <v>688</v>
      </c>
      <c r="HL9" s="337" t="s">
        <v>690</v>
      </c>
      <c r="HM9" s="337" t="s">
        <v>691</v>
      </c>
      <c r="HN9" s="25"/>
      <c r="HO9" s="337" t="s">
        <v>688</v>
      </c>
      <c r="HP9" s="337" t="s">
        <v>690</v>
      </c>
      <c r="HQ9" s="337" t="s">
        <v>691</v>
      </c>
      <c r="HR9" s="337"/>
      <c r="HS9" s="337" t="s">
        <v>688</v>
      </c>
      <c r="HT9" s="337" t="s">
        <v>690</v>
      </c>
      <c r="HU9" s="337" t="s">
        <v>691</v>
      </c>
      <c r="HV9" s="25"/>
      <c r="HW9" s="337" t="s">
        <v>387</v>
      </c>
    </row>
    <row r="10" spans="2:231" ht="15.75" customHeight="1" thickBot="1" x14ac:dyDescent="0.3">
      <c r="B10" s="658"/>
      <c r="C10" s="4" t="s">
        <v>35</v>
      </c>
      <c r="D10" s="8" t="s">
        <v>31</v>
      </c>
      <c r="E10" s="4">
        <v>0</v>
      </c>
      <c r="F10" s="4"/>
      <c r="G10" s="5"/>
      <c r="H10" s="4"/>
      <c r="I10" s="4"/>
      <c r="J10" s="4"/>
      <c r="K10" s="4"/>
      <c r="L10" s="4"/>
      <c r="M10" s="4"/>
      <c r="AP10" t="s">
        <v>393</v>
      </c>
      <c r="AQ10" s="673" t="s">
        <v>428</v>
      </c>
      <c r="AR10" s="673"/>
      <c r="AS10" s="673"/>
      <c r="AT10" s="597" t="s">
        <v>353</v>
      </c>
      <c r="AU10" s="673" t="s">
        <v>394</v>
      </c>
      <c r="AV10" s="673"/>
      <c r="AW10" s="673"/>
      <c r="AX10" s="130" t="s">
        <v>44</v>
      </c>
      <c r="AY10" s="461" t="s">
        <v>395</v>
      </c>
      <c r="AZ10" s="224" t="s">
        <v>396</v>
      </c>
      <c r="BC10" t="s">
        <v>407</v>
      </c>
      <c r="BF10" t="s">
        <v>408</v>
      </c>
      <c r="BI10" t="s">
        <v>409</v>
      </c>
      <c r="BL10" t="s">
        <v>409</v>
      </c>
      <c r="BV10" t="s">
        <v>1195</v>
      </c>
      <c r="CW10" t="s">
        <v>436</v>
      </c>
      <c r="CX10" t="s">
        <v>436</v>
      </c>
      <c r="CZ10" t="s">
        <v>433</v>
      </c>
      <c r="DA10" t="s">
        <v>439</v>
      </c>
      <c r="DD10" s="404"/>
      <c r="DE10" s="266" t="s">
        <v>44</v>
      </c>
      <c r="DF10" t="s">
        <v>44</v>
      </c>
      <c r="DG10" s="2" t="s">
        <v>44</v>
      </c>
      <c r="DH10" s="299" t="s">
        <v>423</v>
      </c>
      <c r="DI10" s="396" t="s">
        <v>423</v>
      </c>
      <c r="DJ10" s="266" t="s">
        <v>44</v>
      </c>
      <c r="DK10" t="s">
        <v>44</v>
      </c>
      <c r="DL10" s="2" t="s">
        <v>44</v>
      </c>
      <c r="DM10" s="299" t="s">
        <v>423</v>
      </c>
      <c r="DN10" s="396" t="s">
        <v>423</v>
      </c>
      <c r="DO10" s="266" t="s">
        <v>44</v>
      </c>
      <c r="DP10" t="s">
        <v>44</v>
      </c>
      <c r="DQ10" t="s">
        <v>44</v>
      </c>
      <c r="DR10" s="299" t="s">
        <v>423</v>
      </c>
      <c r="DS10" s="396" t="s">
        <v>423</v>
      </c>
      <c r="DT10" s="395" t="s">
        <v>424</v>
      </c>
      <c r="DV10" s="641" t="s">
        <v>44</v>
      </c>
      <c r="DW10" s="641"/>
      <c r="DX10" s="641"/>
      <c r="DY10" s="641"/>
      <c r="DZ10" s="2"/>
      <c r="EA10" s="641" t="s">
        <v>206</v>
      </c>
      <c r="EB10" s="641"/>
      <c r="EC10" s="641"/>
      <c r="ED10" s="641"/>
      <c r="EE10" s="641"/>
      <c r="EF10" s="2"/>
      <c r="EG10" s="641" t="s">
        <v>768</v>
      </c>
      <c r="EH10" s="641"/>
      <c r="EI10" s="641"/>
      <c r="EK10">
        <v>1986</v>
      </c>
      <c r="EL10">
        <v>11776</v>
      </c>
      <c r="EM10">
        <v>25532</v>
      </c>
      <c r="EN10">
        <v>151756</v>
      </c>
      <c r="EO10">
        <v>346801</v>
      </c>
      <c r="EP10">
        <v>260458</v>
      </c>
      <c r="EQ10">
        <v>796323</v>
      </c>
      <c r="ER10">
        <v>4536</v>
      </c>
      <c r="ES10">
        <v>11588</v>
      </c>
      <c r="ET10">
        <v>72324</v>
      </c>
      <c r="EU10">
        <v>80024</v>
      </c>
      <c r="EV10">
        <v>19809</v>
      </c>
      <c r="EW10">
        <v>188281</v>
      </c>
      <c r="EX10">
        <v>16312</v>
      </c>
      <c r="EY10">
        <v>37120</v>
      </c>
      <c r="EZ10">
        <v>224080</v>
      </c>
      <c r="FA10">
        <v>426825</v>
      </c>
      <c r="FB10">
        <v>280267</v>
      </c>
      <c r="FC10">
        <v>984604</v>
      </c>
      <c r="FD10">
        <v>1029568</v>
      </c>
      <c r="FE10">
        <v>1271827</v>
      </c>
      <c r="FG10">
        <v>1986</v>
      </c>
      <c r="FH10" s="47">
        <f t="shared" ref="FH10:FH41" si="0">EL10+ER10+EL81</f>
        <v>62082</v>
      </c>
      <c r="FI10" s="47">
        <f t="shared" ref="FI10:FI41" si="1">EM10+ES10+EM81</f>
        <v>232146</v>
      </c>
      <c r="FJ10" s="47">
        <f t="shared" ref="FJ10:FJ41" si="2">EN10+ET10+EN81</f>
        <v>357360</v>
      </c>
      <c r="FK10" s="47">
        <f>SUM(FH10:FJ10)</f>
        <v>651588</v>
      </c>
      <c r="FL10" s="47">
        <f>FI10+FJ10</f>
        <v>589506</v>
      </c>
      <c r="FM10" s="47"/>
      <c r="FN10" s="47">
        <f t="shared" ref="FN10:FN41" si="3">EL45+ER45+EX45</f>
        <v>6471</v>
      </c>
      <c r="FO10" s="47">
        <f t="shared" ref="FO10:FO41" si="4">EM45+ES45+EY45</f>
        <v>26168</v>
      </c>
      <c r="FP10" s="47">
        <f t="shared" ref="FP10:FP41" si="5">EN45+ET45+EZ45</f>
        <v>25475</v>
      </c>
      <c r="FQ10" s="47">
        <f>SUM(FN10:FP10)</f>
        <v>58114</v>
      </c>
      <c r="FR10" s="47">
        <f>FO10+FP10</f>
        <v>51643</v>
      </c>
      <c r="FS10" s="47"/>
      <c r="FT10" s="47">
        <f t="shared" ref="FT10:FT41" si="6">EQ10+EW10+EQ81</f>
        <v>2113380</v>
      </c>
      <c r="FU10" s="47">
        <f t="shared" ref="FU10:FU41" si="7">EQ45+EW45+FC45</f>
        <v>188015</v>
      </c>
      <c r="FV10" s="47">
        <f>SUM(FT10:FU10)</f>
        <v>2301395</v>
      </c>
      <c r="FX10" s="242">
        <f t="shared" ref="FX10:FX41" si="8">FH10/FT10</f>
        <v>2.9375692019419128E-2</v>
      </c>
      <c r="FY10" s="242">
        <f t="shared" ref="FY10:FY41" si="9">FI10/FT10</f>
        <v>0.10984583936632314</v>
      </c>
      <c r="FZ10" s="242">
        <f t="shared" ref="FZ10:FZ41" si="10">FJ10/FT10</f>
        <v>0.16909405785992107</v>
      </c>
      <c r="GA10" s="242">
        <f t="shared" ref="GA10:GA41" si="11">FK10/FT10</f>
        <v>0.30831558924566332</v>
      </c>
      <c r="GB10" s="242">
        <f t="shared" ref="GB10:GB41" si="12">FL10/FT10</f>
        <v>0.27893989722624424</v>
      </c>
      <c r="GC10" s="47"/>
      <c r="GD10" s="242">
        <f t="shared" ref="GD10:GD41" si="13">FN10/FU10</f>
        <v>3.4417466691487382E-2</v>
      </c>
      <c r="GE10" s="242">
        <f t="shared" ref="GE10:GE41" si="14">FO10/FU10</f>
        <v>0.1391803845437864</v>
      </c>
      <c r="GF10" s="242">
        <f t="shared" ref="GF10:GF41" si="15">FP10/FU10</f>
        <v>0.13549450841688163</v>
      </c>
      <c r="GG10" s="599">
        <f t="shared" ref="GG10:GG41" si="16">FQ10/FU10</f>
        <v>0.30909235965215542</v>
      </c>
      <c r="GH10" s="242">
        <f t="shared" ref="GH10:GH41" si="17">FR10/FU10</f>
        <v>0.27467489296066805</v>
      </c>
      <c r="GJ10" s="656" t="s">
        <v>686</v>
      </c>
      <c r="GK10" s="656"/>
      <c r="GL10" s="656"/>
      <c r="GM10" s="656"/>
      <c r="GN10" s="656"/>
      <c r="GO10" s="656"/>
      <c r="GP10" s="656"/>
      <c r="GV10">
        <v>1986</v>
      </c>
      <c r="GX10" s="47">
        <f>FT10</f>
        <v>2113380</v>
      </c>
      <c r="HB10" s="47">
        <f>FU10</f>
        <v>188015</v>
      </c>
      <c r="HK10" s="242">
        <f>GB10</f>
        <v>0.27893989722624424</v>
      </c>
      <c r="HO10" s="242">
        <f>GH10</f>
        <v>0.27467489296066805</v>
      </c>
      <c r="HW10">
        <v>1986</v>
      </c>
    </row>
    <row r="11" spans="2:231" ht="15.75" customHeight="1" thickBot="1" x14ac:dyDescent="0.3">
      <c r="B11" s="658"/>
      <c r="C11" s="4"/>
      <c r="D11" s="9" t="s">
        <v>32</v>
      </c>
      <c r="E11" s="4"/>
      <c r="F11" s="4"/>
      <c r="G11" s="5"/>
      <c r="H11" s="4"/>
      <c r="I11" s="4"/>
      <c r="J11" s="4"/>
      <c r="K11" s="4"/>
      <c r="L11" s="4"/>
      <c r="M11" s="4"/>
      <c r="AP11" t="s">
        <v>397</v>
      </c>
      <c r="AQ11" s="130" t="s">
        <v>398</v>
      </c>
      <c r="AR11" s="130" t="s">
        <v>399</v>
      </c>
      <c r="AS11" s="130" t="s">
        <v>10</v>
      </c>
      <c r="AT11" s="597" t="s">
        <v>400</v>
      </c>
      <c r="AU11" s="130" t="s">
        <v>401</v>
      </c>
      <c r="AV11" s="130" t="s">
        <v>402</v>
      </c>
      <c r="AW11" s="130" t="s">
        <v>403</v>
      </c>
      <c r="AX11" s="130" t="s">
        <v>46</v>
      </c>
      <c r="AY11" s="461" t="s">
        <v>400</v>
      </c>
      <c r="AZ11" s="224" t="s">
        <v>44</v>
      </c>
      <c r="BB11" t="s">
        <v>387</v>
      </c>
      <c r="BC11" s="224" t="s">
        <v>410</v>
      </c>
      <c r="BD11" s="224" t="s">
        <v>399</v>
      </c>
      <c r="BE11" s="224" t="s">
        <v>10</v>
      </c>
      <c r="BF11" s="224" t="s">
        <v>411</v>
      </c>
      <c r="BG11" s="224" t="s">
        <v>412</v>
      </c>
      <c r="BH11" s="224" t="s">
        <v>10</v>
      </c>
      <c r="BI11" s="224" t="s">
        <v>413</v>
      </c>
      <c r="BJ11" s="224" t="s">
        <v>399</v>
      </c>
      <c r="BK11" s="224" t="s">
        <v>10</v>
      </c>
      <c r="BL11" s="224" t="s">
        <v>413</v>
      </c>
      <c r="BM11" s="224" t="s">
        <v>399</v>
      </c>
      <c r="BN11" s="224" t="s">
        <v>10</v>
      </c>
      <c r="BP11" s="224" t="s">
        <v>415</v>
      </c>
      <c r="BQ11" s="224" t="s">
        <v>314</v>
      </c>
      <c r="BR11" s="224" t="s">
        <v>317</v>
      </c>
      <c r="BS11" s="224" t="s">
        <v>416</v>
      </c>
      <c r="BT11" s="224" t="s">
        <v>405</v>
      </c>
      <c r="BU11" s="224" t="s">
        <v>417</v>
      </c>
      <c r="BV11" s="224" t="s">
        <v>418</v>
      </c>
      <c r="BW11" s="224"/>
      <c r="BX11" t="s">
        <v>427</v>
      </c>
      <c r="CZ11" t="s">
        <v>436</v>
      </c>
      <c r="DD11" s="405"/>
      <c r="DE11" s="397" t="s">
        <v>398</v>
      </c>
      <c r="DF11" s="391" t="s">
        <v>425</v>
      </c>
      <c r="DG11" s="398" t="s">
        <v>399</v>
      </c>
      <c r="DH11" s="391" t="s">
        <v>398</v>
      </c>
      <c r="DI11" s="399" t="s">
        <v>399</v>
      </c>
      <c r="DJ11" s="397" t="s">
        <v>398</v>
      </c>
      <c r="DK11" s="391" t="s">
        <v>425</v>
      </c>
      <c r="DL11" s="398" t="s">
        <v>399</v>
      </c>
      <c r="DM11" s="391" t="s">
        <v>398</v>
      </c>
      <c r="DN11" s="399" t="s">
        <v>399</v>
      </c>
      <c r="DO11" s="397" t="s">
        <v>398</v>
      </c>
      <c r="DP11" s="391" t="s">
        <v>425</v>
      </c>
      <c r="DQ11" s="398" t="s">
        <v>399</v>
      </c>
      <c r="DR11" s="391" t="s">
        <v>398</v>
      </c>
      <c r="DS11" s="399" t="s">
        <v>399</v>
      </c>
      <c r="DT11" s="400" t="s">
        <v>379</v>
      </c>
      <c r="DV11" s="337" t="s">
        <v>404</v>
      </c>
      <c r="DW11" s="337" t="s">
        <v>353</v>
      </c>
      <c r="DX11" s="337" t="s">
        <v>42</v>
      </c>
      <c r="DY11" s="337" t="s">
        <v>475</v>
      </c>
      <c r="DZ11" s="408" t="s">
        <v>387</v>
      </c>
      <c r="EA11" s="337" t="s">
        <v>404</v>
      </c>
      <c r="EB11" s="337" t="s">
        <v>730</v>
      </c>
      <c r="EC11" s="337" t="s">
        <v>42</v>
      </c>
      <c r="ED11" s="406" t="s">
        <v>353</v>
      </c>
      <c r="EE11" s="406" t="s">
        <v>475</v>
      </c>
      <c r="EF11" s="408" t="s">
        <v>387</v>
      </c>
      <c r="EG11" s="337" t="s">
        <v>42</v>
      </c>
      <c r="EH11" s="337" t="s">
        <v>404</v>
      </c>
      <c r="EI11" s="337" t="s">
        <v>353</v>
      </c>
      <c r="EK11">
        <v>1987</v>
      </c>
      <c r="EL11">
        <v>12233</v>
      </c>
      <c r="EM11">
        <v>28108</v>
      </c>
      <c r="EN11">
        <v>168170</v>
      </c>
      <c r="EO11">
        <v>114134</v>
      </c>
      <c r="EP11">
        <v>56830</v>
      </c>
      <c r="EQ11">
        <v>379475</v>
      </c>
      <c r="ER11">
        <v>601</v>
      </c>
      <c r="ES11">
        <v>1319</v>
      </c>
      <c r="ET11">
        <v>12688</v>
      </c>
      <c r="EU11">
        <v>9052</v>
      </c>
      <c r="EV11">
        <v>988</v>
      </c>
      <c r="EW11">
        <v>24648</v>
      </c>
      <c r="EX11">
        <v>12834</v>
      </c>
      <c r="EY11">
        <v>29427</v>
      </c>
      <c r="EZ11">
        <v>180858</v>
      </c>
      <c r="FA11">
        <v>123186</v>
      </c>
      <c r="FB11">
        <v>57818</v>
      </c>
      <c r="FC11">
        <v>404123</v>
      </c>
      <c r="FD11">
        <v>433405</v>
      </c>
      <c r="FE11">
        <v>243189</v>
      </c>
      <c r="FG11">
        <v>1987</v>
      </c>
      <c r="FH11" s="47">
        <f t="shared" si="0"/>
        <v>22091</v>
      </c>
      <c r="FI11" s="47">
        <f t="shared" si="1"/>
        <v>88510</v>
      </c>
      <c r="FJ11" s="47">
        <f t="shared" si="2"/>
        <v>213660</v>
      </c>
      <c r="FK11" s="47">
        <f t="shared" ref="FK11:FK41" si="18">SUM(FH11:FJ11)</f>
        <v>324261</v>
      </c>
      <c r="FL11" s="47">
        <f t="shared" ref="FL11:FL41" si="19">FI11+FJ11</f>
        <v>302170</v>
      </c>
      <c r="FM11" s="47"/>
      <c r="FN11" s="47">
        <f t="shared" si="3"/>
        <v>2196</v>
      </c>
      <c r="FO11" s="47">
        <f t="shared" si="4"/>
        <v>10156</v>
      </c>
      <c r="FP11" s="47">
        <f t="shared" si="5"/>
        <v>17416</v>
      </c>
      <c r="FQ11" s="47">
        <f t="shared" ref="FQ11:FQ41" si="20">SUM(FN11:FP11)</f>
        <v>29768</v>
      </c>
      <c r="FR11" s="47">
        <f t="shared" ref="FR11:FR41" si="21">FO11+FP11</f>
        <v>27572</v>
      </c>
      <c r="FS11" s="47"/>
      <c r="FT11" s="47">
        <f t="shared" si="6"/>
        <v>618363</v>
      </c>
      <c r="FU11" s="47">
        <f t="shared" si="7"/>
        <v>58231</v>
      </c>
      <c r="FV11" s="47">
        <f t="shared" ref="FV11:FV41" si="22">SUM(FT11:FU11)</f>
        <v>676594</v>
      </c>
      <c r="FX11" s="242">
        <f t="shared" si="8"/>
        <v>3.5724970607879193E-2</v>
      </c>
      <c r="FY11" s="242">
        <f t="shared" si="9"/>
        <v>0.1431359897018418</v>
      </c>
      <c r="FZ11" s="242">
        <f t="shared" si="10"/>
        <v>0.345525201216761</v>
      </c>
      <c r="GA11" s="242">
        <f t="shared" si="11"/>
        <v>0.52438616152648199</v>
      </c>
      <c r="GB11" s="242">
        <f t="shared" si="12"/>
        <v>0.48866119091860283</v>
      </c>
      <c r="GC11" s="47"/>
      <c r="GD11" s="242">
        <f t="shared" si="13"/>
        <v>3.7711871683467568E-2</v>
      </c>
      <c r="GE11" s="242">
        <f t="shared" si="14"/>
        <v>0.1744088200443063</v>
      </c>
      <c r="GF11" s="242">
        <f t="shared" si="15"/>
        <v>0.29908467998145316</v>
      </c>
      <c r="GG11" s="600">
        <f t="shared" si="16"/>
        <v>0.51120537170922709</v>
      </c>
      <c r="GH11" s="242">
        <f t="shared" si="17"/>
        <v>0.47349350002575946</v>
      </c>
      <c r="GJ11" s="656"/>
      <c r="GK11" s="656"/>
      <c r="GL11" s="656"/>
      <c r="GM11" s="656"/>
      <c r="GN11" s="656"/>
      <c r="GO11" s="656"/>
      <c r="GP11" s="656"/>
      <c r="GV11">
        <v>1987</v>
      </c>
      <c r="GX11" s="47">
        <f t="shared" ref="GX11:GX41" si="23">FT11</f>
        <v>618363</v>
      </c>
      <c r="HB11" s="47">
        <f t="shared" ref="HB11:HB41" si="24">FU11</f>
        <v>58231</v>
      </c>
      <c r="HK11" s="242">
        <f t="shared" ref="HK11:HK41" si="25">GB11</f>
        <v>0.48866119091860283</v>
      </c>
      <c r="HO11" s="242">
        <f t="shared" ref="HO11:HO41" si="26">GH11</f>
        <v>0.47349350002575946</v>
      </c>
      <c r="HW11">
        <v>1987</v>
      </c>
    </row>
    <row r="12" spans="2:231" ht="15.75" customHeight="1" thickBot="1" x14ac:dyDescent="0.3">
      <c r="B12" s="658"/>
      <c r="C12" s="4" t="s">
        <v>36</v>
      </c>
      <c r="D12" s="8" t="s">
        <v>31</v>
      </c>
      <c r="E12" s="14" t="s">
        <v>87</v>
      </c>
      <c r="F12" s="4"/>
      <c r="G12" s="5"/>
      <c r="H12" s="4"/>
      <c r="I12" s="4"/>
      <c r="J12" s="4"/>
      <c r="K12" s="4"/>
      <c r="L12" s="4"/>
      <c r="M12" s="4"/>
      <c r="AP12">
        <v>1970</v>
      </c>
      <c r="AQ12" s="47">
        <v>712.745</v>
      </c>
      <c r="AR12" s="47">
        <v>182.52800000000002</v>
      </c>
      <c r="AS12" s="47">
        <v>895.27300000000002</v>
      </c>
      <c r="AT12" s="596">
        <v>0.65568339074132065</v>
      </c>
      <c r="AU12" s="47">
        <v>2070.0279360166633</v>
      </c>
      <c r="AV12" s="47">
        <v>530.11674456537696</v>
      </c>
      <c r="AW12" s="47">
        <v>2600.1446805820401</v>
      </c>
      <c r="AX12" s="47">
        <v>66.842000000000013</v>
      </c>
      <c r="AY12" s="460">
        <v>0.65568339074132065</v>
      </c>
      <c r="AZ12">
        <v>194.12946748027113</v>
      </c>
      <c r="BB12">
        <v>1970</v>
      </c>
      <c r="BI12">
        <v>0</v>
      </c>
      <c r="BJ12">
        <v>0</v>
      </c>
      <c r="BK12">
        <v>0</v>
      </c>
      <c r="BP12">
        <v>1999</v>
      </c>
      <c r="BQ12">
        <v>57.611000000000004</v>
      </c>
      <c r="BR12">
        <v>10.236000000000001</v>
      </c>
      <c r="BS12">
        <v>289.05937110786448</v>
      </c>
      <c r="BT12" s="460">
        <v>0.199305076251972</v>
      </c>
      <c r="BU12" s="460">
        <v>3.5411410329888135E-2</v>
      </c>
      <c r="BV12" s="460">
        <v>0.23471648658186015</v>
      </c>
      <c r="BW12">
        <f>(BQ12+BR12)/BS12</f>
        <v>0.23471648658186015</v>
      </c>
      <c r="BY12" t="s">
        <v>420</v>
      </c>
      <c r="CD12" t="s">
        <v>421</v>
      </c>
      <c r="CI12" t="s">
        <v>422</v>
      </c>
      <c r="CV12">
        <v>1970</v>
      </c>
      <c r="CW12">
        <v>1947.3600000000001</v>
      </c>
      <c r="CX12">
        <v>1022.6099999999999</v>
      </c>
      <c r="CY12">
        <v>2969.9700000000003</v>
      </c>
      <c r="CZ12">
        <v>0.65568339074132065</v>
      </c>
      <c r="DD12" s="388"/>
      <c r="DE12" s="2"/>
      <c r="DF12" s="2"/>
      <c r="DG12" s="299"/>
      <c r="DH12" s="2"/>
      <c r="DI12" s="299"/>
      <c r="DJ12" s="2"/>
      <c r="DK12" s="2"/>
      <c r="DL12" s="299"/>
      <c r="DM12" s="2"/>
      <c r="DN12" s="299"/>
      <c r="DO12" s="2"/>
      <c r="DP12" s="2"/>
      <c r="DQ12" s="299"/>
      <c r="DR12" s="2"/>
      <c r="DS12" s="299"/>
      <c r="DT12" s="2"/>
      <c r="DZ12" s="276">
        <v>1970</v>
      </c>
      <c r="EF12" s="276">
        <v>1970</v>
      </c>
      <c r="EK12">
        <v>1988</v>
      </c>
      <c r="EL12">
        <v>9120</v>
      </c>
      <c r="EM12">
        <v>9217</v>
      </c>
      <c r="EN12">
        <v>210905</v>
      </c>
      <c r="EO12">
        <v>92958</v>
      </c>
      <c r="EP12">
        <v>76355</v>
      </c>
      <c r="EQ12">
        <v>398555</v>
      </c>
      <c r="ER12">
        <v>1984</v>
      </c>
      <c r="ES12">
        <v>1873</v>
      </c>
      <c r="ET12">
        <v>72043</v>
      </c>
      <c r="EU12">
        <v>69180</v>
      </c>
      <c r="EV12">
        <v>3143</v>
      </c>
      <c r="EW12">
        <v>148223</v>
      </c>
      <c r="EX12">
        <v>11104</v>
      </c>
      <c r="EY12">
        <v>11090</v>
      </c>
      <c r="EZ12">
        <v>282948</v>
      </c>
      <c r="FA12">
        <v>162138</v>
      </c>
      <c r="FB12">
        <v>79498</v>
      </c>
      <c r="FC12">
        <v>546778</v>
      </c>
      <c r="FD12">
        <v>588054</v>
      </c>
      <c r="FE12">
        <v>738500</v>
      </c>
      <c r="FG12">
        <v>1988</v>
      </c>
      <c r="FH12" s="47">
        <f t="shared" si="0"/>
        <v>31365</v>
      </c>
      <c r="FI12" s="47">
        <f t="shared" si="1"/>
        <v>55594</v>
      </c>
      <c r="FJ12" s="47">
        <f t="shared" si="2"/>
        <v>498109</v>
      </c>
      <c r="FK12" s="47">
        <f t="shared" si="18"/>
        <v>585068</v>
      </c>
      <c r="FL12" s="47">
        <f t="shared" si="19"/>
        <v>553703</v>
      </c>
      <c r="FM12" s="47"/>
      <c r="FN12" s="47">
        <f t="shared" si="3"/>
        <v>3307</v>
      </c>
      <c r="FO12" s="47">
        <f t="shared" si="4"/>
        <v>6139</v>
      </c>
      <c r="FP12" s="47">
        <f t="shared" si="5"/>
        <v>46936</v>
      </c>
      <c r="FQ12" s="47">
        <f t="shared" si="20"/>
        <v>56382</v>
      </c>
      <c r="FR12" s="47">
        <f t="shared" si="21"/>
        <v>53075</v>
      </c>
      <c r="FS12" s="47"/>
      <c r="FT12" s="47">
        <f t="shared" si="6"/>
        <v>1208230</v>
      </c>
      <c r="FU12" s="47">
        <f t="shared" si="7"/>
        <v>118324</v>
      </c>
      <c r="FV12" s="47">
        <f t="shared" si="22"/>
        <v>1326554</v>
      </c>
      <c r="FX12" s="242">
        <f t="shared" si="8"/>
        <v>2.5959461360833616E-2</v>
      </c>
      <c r="FY12" s="242">
        <f t="shared" si="9"/>
        <v>4.6012762470721634E-2</v>
      </c>
      <c r="FZ12" s="242">
        <f t="shared" si="10"/>
        <v>0.41226339355917335</v>
      </c>
      <c r="GA12" s="242">
        <f t="shared" si="11"/>
        <v>0.48423561739072857</v>
      </c>
      <c r="GB12" s="242">
        <f t="shared" si="12"/>
        <v>0.45827615602989497</v>
      </c>
      <c r="GC12" s="47"/>
      <c r="GD12" s="242">
        <f t="shared" si="13"/>
        <v>2.7948683276427435E-2</v>
      </c>
      <c r="GE12" s="242">
        <f t="shared" si="14"/>
        <v>5.1882965416990633E-2</v>
      </c>
      <c r="GF12" s="242">
        <f t="shared" si="15"/>
        <v>0.3966735404482607</v>
      </c>
      <c r="GG12" s="600">
        <f t="shared" si="16"/>
        <v>0.47650518914167878</v>
      </c>
      <c r="GH12" s="242">
        <f t="shared" si="17"/>
        <v>0.44855650586525136</v>
      </c>
      <c r="GV12">
        <v>1988</v>
      </c>
      <c r="GX12" s="47">
        <f t="shared" si="23"/>
        <v>1208230</v>
      </c>
      <c r="HB12" s="47">
        <f t="shared" si="24"/>
        <v>118324</v>
      </c>
      <c r="HK12" s="242">
        <f t="shared" si="25"/>
        <v>0.45827615602989497</v>
      </c>
      <c r="HO12" s="242">
        <f t="shared" si="26"/>
        <v>0.44855650586525136</v>
      </c>
      <c r="HW12">
        <v>1988</v>
      </c>
    </row>
    <row r="13" spans="2:231" ht="15.75" customHeight="1" thickBot="1" x14ac:dyDescent="0.3">
      <c r="B13" s="658"/>
      <c r="C13" s="4"/>
      <c r="D13" s="9" t="s">
        <v>32</v>
      </c>
      <c r="E13" s="4"/>
      <c r="F13" s="4"/>
      <c r="G13" s="5"/>
      <c r="H13" s="4"/>
      <c r="I13" s="4"/>
      <c r="J13" s="4"/>
      <c r="K13" s="4"/>
      <c r="L13" s="4"/>
      <c r="M13" s="4"/>
      <c r="AP13">
        <v>1971</v>
      </c>
      <c r="AQ13" s="47">
        <v>403.44600000000003</v>
      </c>
      <c r="AR13" s="47">
        <v>141.05599999999998</v>
      </c>
      <c r="AS13" s="47">
        <v>544.50199999999995</v>
      </c>
      <c r="AT13" s="596">
        <v>0.82797945320536503</v>
      </c>
      <c r="AU13" s="47">
        <v>2345.3361096546801</v>
      </c>
      <c r="AV13" s="47">
        <v>819.99506819611668</v>
      </c>
      <c r="AW13" s="47">
        <v>3165.3311778507968</v>
      </c>
      <c r="AX13" s="47">
        <v>45.585999999999999</v>
      </c>
      <c r="AY13" s="460">
        <v>0.82797945320536503</v>
      </c>
      <c r="AZ13">
        <v>265.00322693673564</v>
      </c>
      <c r="BB13">
        <v>1971</v>
      </c>
      <c r="BI13">
        <v>0</v>
      </c>
      <c r="BJ13">
        <v>0</v>
      </c>
      <c r="BK13">
        <v>0</v>
      </c>
      <c r="BP13">
        <v>2000</v>
      </c>
      <c r="BQ13">
        <v>110.161</v>
      </c>
      <c r="BR13">
        <v>23.097999999999999</v>
      </c>
      <c r="BS13">
        <v>558.33459999999991</v>
      </c>
      <c r="BT13" s="460">
        <v>0.19730283596968559</v>
      </c>
      <c r="BU13" s="460">
        <v>4.1369458385706354E-2</v>
      </c>
      <c r="BV13" s="460">
        <v>0.23867229435539197</v>
      </c>
      <c r="BY13" s="224" t="s">
        <v>44</v>
      </c>
      <c r="BZ13" s="224" t="s">
        <v>44</v>
      </c>
      <c r="CA13" s="224" t="s">
        <v>44</v>
      </c>
      <c r="CB13" s="224" t="s">
        <v>423</v>
      </c>
      <c r="CC13" s="224" t="s">
        <v>423</v>
      </c>
      <c r="CD13" s="224" t="s">
        <v>44</v>
      </c>
      <c r="CE13" s="224" t="s">
        <v>44</v>
      </c>
      <c r="CF13" s="224" t="s">
        <v>44</v>
      </c>
      <c r="CG13" s="224" t="s">
        <v>423</v>
      </c>
      <c r="CH13" s="224" t="s">
        <v>423</v>
      </c>
      <c r="CI13" s="224" t="s">
        <v>44</v>
      </c>
      <c r="CJ13" s="224" t="s">
        <v>44</v>
      </c>
      <c r="CK13" s="224" t="s">
        <v>44</v>
      </c>
      <c r="CL13" s="224" t="s">
        <v>423</v>
      </c>
      <c r="CM13" s="224" t="s">
        <v>423</v>
      </c>
      <c r="CN13" s="224" t="s">
        <v>424</v>
      </c>
      <c r="CO13" s="224"/>
      <c r="CP13" s="224"/>
      <c r="CQ13" s="224"/>
      <c r="CR13" s="224"/>
      <c r="CS13" s="224"/>
      <c r="CT13" s="224"/>
      <c r="CV13">
        <v>1971</v>
      </c>
      <c r="CW13">
        <v>3228.4549999999999</v>
      </c>
      <c r="CX13">
        <v>670.74200000000008</v>
      </c>
      <c r="CY13">
        <v>3899.1970000000001</v>
      </c>
      <c r="CZ13">
        <v>0.82797945320536503</v>
      </c>
      <c r="DD13" s="388"/>
      <c r="DE13" s="2"/>
      <c r="DF13" s="2"/>
      <c r="DG13" s="299"/>
      <c r="DH13" s="2"/>
      <c r="DI13" s="299"/>
      <c r="DJ13" s="2"/>
      <c r="DK13" s="2"/>
      <c r="DL13" s="299"/>
      <c r="DM13" s="2"/>
      <c r="DN13" s="299"/>
      <c r="DO13" s="2"/>
      <c r="DP13" s="2"/>
      <c r="DQ13" s="299"/>
      <c r="DR13" s="2"/>
      <c r="DS13" s="299"/>
      <c r="DT13" s="2"/>
      <c r="DZ13" s="276">
        <v>1971</v>
      </c>
      <c r="EF13" s="276">
        <v>1971</v>
      </c>
      <c r="EK13">
        <v>1989</v>
      </c>
      <c r="EL13">
        <v>34754</v>
      </c>
      <c r="EM13">
        <v>92007</v>
      </c>
      <c r="EN13">
        <v>316533</v>
      </c>
      <c r="EO13">
        <v>160996</v>
      </c>
      <c r="EP13">
        <v>125229</v>
      </c>
      <c r="EQ13">
        <v>729519</v>
      </c>
      <c r="ER13">
        <v>4819</v>
      </c>
      <c r="ES13">
        <v>5687</v>
      </c>
      <c r="ET13">
        <v>42722</v>
      </c>
      <c r="EU13">
        <v>23578</v>
      </c>
      <c r="EV13">
        <v>3329</v>
      </c>
      <c r="EW13">
        <v>80135</v>
      </c>
      <c r="EX13">
        <v>39573</v>
      </c>
      <c r="EY13">
        <v>97694</v>
      </c>
      <c r="EZ13">
        <v>359255</v>
      </c>
      <c r="FA13">
        <v>184574</v>
      </c>
      <c r="FB13">
        <v>128558</v>
      </c>
      <c r="FC13">
        <v>809654</v>
      </c>
      <c r="FD13">
        <v>869102</v>
      </c>
      <c r="FE13">
        <v>903130</v>
      </c>
      <c r="FG13">
        <v>1989</v>
      </c>
      <c r="FH13" s="47">
        <f t="shared" si="0"/>
        <v>101069</v>
      </c>
      <c r="FI13" s="47">
        <f t="shared" si="1"/>
        <v>275106</v>
      </c>
      <c r="FJ13" s="47">
        <f t="shared" si="2"/>
        <v>564470</v>
      </c>
      <c r="FK13" s="47">
        <f t="shared" si="18"/>
        <v>940645</v>
      </c>
      <c r="FL13" s="47">
        <f t="shared" si="19"/>
        <v>839576</v>
      </c>
      <c r="FM13" s="47"/>
      <c r="FN13" s="47">
        <f t="shared" si="3"/>
        <v>10184</v>
      </c>
      <c r="FO13" s="47">
        <f t="shared" si="4"/>
        <v>28698</v>
      </c>
      <c r="FP13" s="47">
        <f t="shared" si="5"/>
        <v>50332</v>
      </c>
      <c r="FQ13" s="47">
        <f t="shared" si="20"/>
        <v>89214</v>
      </c>
      <c r="FR13" s="47">
        <f t="shared" si="21"/>
        <v>79030</v>
      </c>
      <c r="FS13" s="47"/>
      <c r="FT13" s="47">
        <f t="shared" si="6"/>
        <v>1616437</v>
      </c>
      <c r="FU13" s="47">
        <f t="shared" si="7"/>
        <v>155795</v>
      </c>
      <c r="FV13" s="47">
        <f t="shared" si="22"/>
        <v>1772232</v>
      </c>
      <c r="FX13" s="242">
        <f t="shared" si="8"/>
        <v>6.2525789746213437E-2</v>
      </c>
      <c r="FY13" s="242">
        <f t="shared" si="9"/>
        <v>0.17019283770416044</v>
      </c>
      <c r="FZ13" s="242">
        <f t="shared" si="10"/>
        <v>0.34920630992732782</v>
      </c>
      <c r="GA13" s="242">
        <f t="shared" si="11"/>
        <v>0.58192493737770168</v>
      </c>
      <c r="GB13" s="242">
        <f t="shared" si="12"/>
        <v>0.51939914763148831</v>
      </c>
      <c r="GC13" s="47"/>
      <c r="GD13" s="242">
        <f t="shared" si="13"/>
        <v>6.5367951474694305E-2</v>
      </c>
      <c r="GE13" s="242">
        <f t="shared" si="14"/>
        <v>0.18420360088577939</v>
      </c>
      <c r="GF13" s="242">
        <f t="shared" si="15"/>
        <v>0.32306556693090277</v>
      </c>
      <c r="GG13" s="600">
        <f t="shared" si="16"/>
        <v>0.57263711929137651</v>
      </c>
      <c r="GH13" s="242">
        <f t="shared" si="17"/>
        <v>0.50726916781668219</v>
      </c>
      <c r="GJ13" s="674" t="s">
        <v>684</v>
      </c>
      <c r="GK13" s="675"/>
      <c r="GL13" s="675"/>
      <c r="GM13" s="675"/>
      <c r="GN13" s="675"/>
      <c r="GO13" s="675"/>
      <c r="GP13" s="676"/>
      <c r="GV13">
        <v>1989</v>
      </c>
      <c r="GX13" s="47">
        <f t="shared" si="23"/>
        <v>1616437</v>
      </c>
      <c r="HB13" s="47">
        <f t="shared" si="24"/>
        <v>155795</v>
      </c>
      <c r="HK13" s="242">
        <f t="shared" si="25"/>
        <v>0.51939914763148831</v>
      </c>
      <c r="HO13" s="242">
        <f t="shared" si="26"/>
        <v>0.50726916781668219</v>
      </c>
      <c r="HW13">
        <v>1989</v>
      </c>
    </row>
    <row r="14" spans="2:231" ht="15.75" customHeight="1" thickBot="1" x14ac:dyDescent="0.3">
      <c r="B14" s="658"/>
      <c r="C14" s="4" t="s">
        <v>37</v>
      </c>
      <c r="D14" s="8" t="s">
        <v>31</v>
      </c>
      <c r="E14" s="4">
        <v>0</v>
      </c>
      <c r="F14" s="4"/>
      <c r="G14" s="5"/>
      <c r="H14" s="4"/>
      <c r="I14" s="4"/>
      <c r="J14" s="4"/>
      <c r="K14" s="4"/>
      <c r="L14" s="4"/>
      <c r="M14" s="4"/>
      <c r="AP14">
        <v>1972</v>
      </c>
      <c r="AQ14" s="47">
        <v>202.29599999999999</v>
      </c>
      <c r="AR14" s="47">
        <v>75.543999999999997</v>
      </c>
      <c r="AS14" s="47">
        <v>277.83999999999997</v>
      </c>
      <c r="AT14" s="596">
        <v>0.84735734303954968</v>
      </c>
      <c r="AU14" s="47">
        <v>1325.2913964437532</v>
      </c>
      <c r="AV14" s="47">
        <v>494.90752784507305</v>
      </c>
      <c r="AW14" s="47">
        <v>1820.1989242888262</v>
      </c>
      <c r="AX14" s="47">
        <v>24.288000000000004</v>
      </c>
      <c r="AY14" s="460">
        <v>0.84735734303954968</v>
      </c>
      <c r="AZ14">
        <v>159.11672715637425</v>
      </c>
      <c r="BB14">
        <v>1972</v>
      </c>
      <c r="BI14">
        <v>0</v>
      </c>
      <c r="BJ14">
        <v>0</v>
      </c>
      <c r="BK14">
        <v>0</v>
      </c>
      <c r="BP14">
        <v>2001</v>
      </c>
      <c r="BQ14">
        <v>218.685</v>
      </c>
      <c r="BR14">
        <v>135.10300000000001</v>
      </c>
      <c r="BS14">
        <v>1128.3440000000001</v>
      </c>
      <c r="BT14" s="460">
        <v>0.19381057549825229</v>
      </c>
      <c r="BU14" s="460">
        <v>0.11973564799387421</v>
      </c>
      <c r="BV14" s="460">
        <v>0.31354622349212652</v>
      </c>
      <c r="BY14" s="224" t="s">
        <v>398</v>
      </c>
      <c r="BZ14" s="224" t="s">
        <v>425</v>
      </c>
      <c r="CA14" s="224" t="s">
        <v>399</v>
      </c>
      <c r="CB14" s="224" t="s">
        <v>398</v>
      </c>
      <c r="CC14" s="224" t="s">
        <v>399</v>
      </c>
      <c r="CD14" s="224" t="s">
        <v>398</v>
      </c>
      <c r="CE14" s="224" t="s">
        <v>425</v>
      </c>
      <c r="CF14" s="224" t="s">
        <v>399</v>
      </c>
      <c r="CG14" s="224" t="s">
        <v>398</v>
      </c>
      <c r="CH14" s="224" t="s">
        <v>399</v>
      </c>
      <c r="CI14" s="224" t="s">
        <v>398</v>
      </c>
      <c r="CJ14" s="224" t="s">
        <v>425</v>
      </c>
      <c r="CK14" s="224" t="s">
        <v>399</v>
      </c>
      <c r="CL14" s="224" t="s">
        <v>398</v>
      </c>
      <c r="CM14" s="224" t="s">
        <v>399</v>
      </c>
      <c r="CN14" s="224" t="s">
        <v>379</v>
      </c>
      <c r="CO14" s="224"/>
      <c r="CP14" s="224" t="s">
        <v>398</v>
      </c>
      <c r="CQ14" s="224" t="s">
        <v>426</v>
      </c>
      <c r="CR14" s="224"/>
      <c r="CS14" s="224" t="s">
        <v>398</v>
      </c>
      <c r="CT14" s="224" t="s">
        <v>426</v>
      </c>
      <c r="CV14">
        <v>1972</v>
      </c>
      <c r="CW14">
        <v>1821.6699999999998</v>
      </c>
      <c r="CX14">
        <v>328.15500000000009</v>
      </c>
      <c r="CY14">
        <v>2149.8249999999998</v>
      </c>
      <c r="CZ14">
        <v>0.84735734303954968</v>
      </c>
      <c r="DD14" s="388"/>
      <c r="DE14" s="2"/>
      <c r="DF14" s="2"/>
      <c r="DG14" s="299"/>
      <c r="DH14" s="2"/>
      <c r="DI14" s="299"/>
      <c r="DJ14" s="2"/>
      <c r="DK14" s="2"/>
      <c r="DL14" s="299"/>
      <c r="DM14" s="2"/>
      <c r="DN14" s="299"/>
      <c r="DO14" s="2"/>
      <c r="DP14" s="2"/>
      <c r="DQ14" s="299"/>
      <c r="DR14" s="2"/>
      <c r="DS14" s="299"/>
      <c r="DT14" s="2"/>
      <c r="DZ14" s="276">
        <v>1972</v>
      </c>
      <c r="EF14" s="276">
        <v>1972</v>
      </c>
      <c r="EK14">
        <v>1990</v>
      </c>
      <c r="EL14">
        <v>11053</v>
      </c>
      <c r="EM14">
        <v>82327</v>
      </c>
      <c r="EN14">
        <v>94744</v>
      </c>
      <c r="EO14">
        <v>24365</v>
      </c>
      <c r="EP14">
        <v>48360</v>
      </c>
      <c r="EQ14">
        <v>260849</v>
      </c>
      <c r="ER14">
        <v>3301</v>
      </c>
      <c r="ES14">
        <v>23071</v>
      </c>
      <c r="ET14">
        <v>51148</v>
      </c>
      <c r="EU14">
        <v>35098</v>
      </c>
      <c r="EV14">
        <v>2106</v>
      </c>
      <c r="EW14">
        <v>114724</v>
      </c>
      <c r="EX14">
        <v>14354</v>
      </c>
      <c r="EY14">
        <v>105398</v>
      </c>
      <c r="EZ14">
        <v>145892</v>
      </c>
      <c r="FA14">
        <v>59463</v>
      </c>
      <c r="FB14">
        <v>50466</v>
      </c>
      <c r="FC14">
        <v>375573</v>
      </c>
      <c r="FD14">
        <v>399515</v>
      </c>
      <c r="FE14">
        <v>193475</v>
      </c>
      <c r="FG14">
        <v>1990</v>
      </c>
      <c r="FH14" s="47">
        <f t="shared" si="0"/>
        <v>24515</v>
      </c>
      <c r="FI14" s="47">
        <f t="shared" si="1"/>
        <v>163884</v>
      </c>
      <c r="FJ14" s="47">
        <f t="shared" si="2"/>
        <v>165545</v>
      </c>
      <c r="FK14" s="47">
        <f t="shared" si="18"/>
        <v>353944</v>
      </c>
      <c r="FL14" s="47">
        <f t="shared" si="19"/>
        <v>329429</v>
      </c>
      <c r="FM14" s="47"/>
      <c r="FN14" s="47">
        <f t="shared" si="3"/>
        <v>2456</v>
      </c>
      <c r="FO14" s="47">
        <f t="shared" si="4"/>
        <v>15841</v>
      </c>
      <c r="FP14" s="47">
        <f t="shared" si="5"/>
        <v>11484</v>
      </c>
      <c r="FQ14" s="47">
        <f t="shared" si="20"/>
        <v>29781</v>
      </c>
      <c r="FR14" s="47">
        <f t="shared" si="21"/>
        <v>27325</v>
      </c>
      <c r="FS14" s="47"/>
      <c r="FT14" s="47">
        <f t="shared" si="6"/>
        <v>545038</v>
      </c>
      <c r="FU14" s="47">
        <f t="shared" si="7"/>
        <v>47952</v>
      </c>
      <c r="FV14" s="47">
        <f t="shared" si="22"/>
        <v>592990</v>
      </c>
      <c r="FX14" s="242">
        <f t="shared" si="8"/>
        <v>4.4978515259486491E-2</v>
      </c>
      <c r="FY14" s="242">
        <f t="shared" si="9"/>
        <v>0.30068362205937932</v>
      </c>
      <c r="FZ14" s="242">
        <f t="shared" si="10"/>
        <v>0.30373111599558195</v>
      </c>
      <c r="GA14" s="242">
        <f t="shared" si="11"/>
        <v>0.64939325331444775</v>
      </c>
      <c r="GB14" s="242">
        <f t="shared" si="12"/>
        <v>0.60441473805496126</v>
      </c>
      <c r="GC14" s="47"/>
      <c r="GD14" s="242">
        <f t="shared" si="13"/>
        <v>5.1217884551217882E-2</v>
      </c>
      <c r="GE14" s="242">
        <f t="shared" si="14"/>
        <v>0.33035118451785117</v>
      </c>
      <c r="GF14" s="242">
        <f t="shared" si="15"/>
        <v>0.23948948948948948</v>
      </c>
      <c r="GG14" s="600">
        <f t="shared" si="16"/>
        <v>0.62105855855855852</v>
      </c>
      <c r="GH14" s="242">
        <f t="shared" si="17"/>
        <v>0.56984067400734062</v>
      </c>
      <c r="GJ14" s="677"/>
      <c r="GK14" s="678"/>
      <c r="GL14" s="678"/>
      <c r="GM14" s="678"/>
      <c r="GN14" s="678"/>
      <c r="GO14" s="678"/>
      <c r="GP14" s="679"/>
      <c r="GV14">
        <v>1990</v>
      </c>
      <c r="GX14" s="47">
        <f t="shared" si="23"/>
        <v>545038</v>
      </c>
      <c r="HB14" s="47">
        <f t="shared" si="24"/>
        <v>47952</v>
      </c>
      <c r="HK14" s="242">
        <f t="shared" si="25"/>
        <v>0.60441473805496126</v>
      </c>
      <c r="HO14" s="242">
        <f t="shared" si="26"/>
        <v>0.56984067400734062</v>
      </c>
      <c r="HW14">
        <v>1990</v>
      </c>
    </row>
    <row r="15" spans="2:231" ht="15.75" customHeight="1" thickBot="1" x14ac:dyDescent="0.3">
      <c r="B15" s="658"/>
      <c r="C15" s="4"/>
      <c r="D15" s="9" t="s">
        <v>32</v>
      </c>
      <c r="E15" s="4"/>
      <c r="F15" s="4"/>
      <c r="G15" s="5"/>
      <c r="H15" s="4"/>
      <c r="I15" s="4"/>
      <c r="J15" s="4"/>
      <c r="K15" s="4"/>
      <c r="L15" s="4"/>
      <c r="M15" s="4"/>
      <c r="AP15">
        <v>1973</v>
      </c>
      <c r="AQ15" s="47">
        <v>229.28100000000001</v>
      </c>
      <c r="AR15" s="47">
        <v>61.978999999999999</v>
      </c>
      <c r="AS15" s="47">
        <v>291.26</v>
      </c>
      <c r="AT15" s="596">
        <v>0.82204702225313142</v>
      </c>
      <c r="AU15" s="47">
        <v>1288.4358716724798</v>
      </c>
      <c r="AV15" s="47">
        <v>348.28863660917659</v>
      </c>
      <c r="AW15" s="47">
        <v>1636.7245082816564</v>
      </c>
      <c r="AX15" s="47">
        <v>37.007999999999996</v>
      </c>
      <c r="AY15" s="460">
        <v>0.82204702225313142</v>
      </c>
      <c r="AZ15">
        <v>207.96505047891068</v>
      </c>
      <c r="BB15">
        <v>1973</v>
      </c>
      <c r="BC15">
        <v>0</v>
      </c>
      <c r="BD15">
        <v>0</v>
      </c>
      <c r="BE15">
        <v>0</v>
      </c>
      <c r="BF15">
        <v>0.25</v>
      </c>
      <c r="BG15">
        <v>0.39300000000000002</v>
      </c>
      <c r="BH15">
        <v>0.64300000000000002</v>
      </c>
      <c r="BI15">
        <v>0.25</v>
      </c>
      <c r="BJ15">
        <v>0.39300000000000002</v>
      </c>
      <c r="BK15">
        <v>0.64300000000000002</v>
      </c>
      <c r="BL15">
        <v>250</v>
      </c>
      <c r="BM15">
        <v>393</v>
      </c>
      <c r="BN15">
        <v>0.64300000000000002</v>
      </c>
      <c r="BP15">
        <v>2002</v>
      </c>
      <c r="BQ15">
        <v>94.876000000000005</v>
      </c>
      <c r="BR15">
        <v>9.218</v>
      </c>
      <c r="BS15">
        <v>535.84</v>
      </c>
      <c r="BT15" s="460">
        <v>0.17706031651239176</v>
      </c>
      <c r="BU15" s="460">
        <v>1.7202896386981189E-2</v>
      </c>
      <c r="BV15" s="460">
        <v>0.19426321289937296</v>
      </c>
      <c r="BX15">
        <v>1973</v>
      </c>
      <c r="BY15">
        <v>78649</v>
      </c>
      <c r="BZ15">
        <v>1104</v>
      </c>
      <c r="CA15">
        <v>19513.999999999996</v>
      </c>
      <c r="CB15">
        <v>250</v>
      </c>
      <c r="CC15">
        <v>393</v>
      </c>
      <c r="CD15">
        <v>142477</v>
      </c>
      <c r="CE15">
        <v>6801</v>
      </c>
      <c r="CF15">
        <v>42072</v>
      </c>
      <c r="CG15">
        <v>0</v>
      </c>
      <c r="CH15">
        <v>0</v>
      </c>
      <c r="CI15">
        <v>221126</v>
      </c>
      <c r="CJ15">
        <v>7905</v>
      </c>
      <c r="CK15">
        <v>61586</v>
      </c>
      <c r="CL15">
        <v>250</v>
      </c>
      <c r="CM15">
        <v>393</v>
      </c>
      <c r="CN15">
        <v>291260</v>
      </c>
      <c r="CO15">
        <v>1973</v>
      </c>
      <c r="CP15">
        <v>229281</v>
      </c>
      <c r="CQ15">
        <v>61979</v>
      </c>
      <c r="CS15" t="b">
        <v>1</v>
      </c>
      <c r="CT15" t="b">
        <v>1</v>
      </c>
      <c r="CV15">
        <v>1973</v>
      </c>
      <c r="CW15">
        <v>1756.4950000000003</v>
      </c>
      <c r="CX15">
        <v>380.238</v>
      </c>
      <c r="CY15">
        <v>2136.7330000000002</v>
      </c>
      <c r="CZ15">
        <v>0.82204702225313142</v>
      </c>
      <c r="DD15">
        <v>1973</v>
      </c>
      <c r="DE15" s="47">
        <v>78649</v>
      </c>
      <c r="DF15" s="47">
        <v>1104</v>
      </c>
      <c r="DG15" s="47">
        <v>19513.999999999996</v>
      </c>
      <c r="DH15" s="47">
        <v>250</v>
      </c>
      <c r="DI15" s="47">
        <v>393</v>
      </c>
      <c r="DJ15" s="47">
        <v>142477</v>
      </c>
      <c r="DK15" s="47">
        <v>6801</v>
      </c>
      <c r="DL15" s="47">
        <v>42072</v>
      </c>
      <c r="DM15" s="130" t="s">
        <v>728</v>
      </c>
      <c r="DN15" s="130" t="s">
        <v>728</v>
      </c>
      <c r="DO15" s="47">
        <v>221126</v>
      </c>
      <c r="DP15" s="47">
        <v>7905</v>
      </c>
      <c r="DQ15" s="47">
        <v>61586</v>
      </c>
      <c r="DR15" s="47">
        <v>250</v>
      </c>
      <c r="DS15" s="47">
        <v>393</v>
      </c>
      <c r="DT15" s="47">
        <v>291260</v>
      </c>
      <c r="DV15" s="47">
        <f>DE15+DF15+DG15</f>
        <v>99267</v>
      </c>
      <c r="DW15" s="47">
        <f t="shared" ref="DW15:DW59" si="27">SUM(DJ15:DL15)</f>
        <v>191350</v>
      </c>
      <c r="DX15" s="47">
        <f t="shared" ref="DX15:DX59" si="28">SUM(DO15:DQ15)</f>
        <v>290617</v>
      </c>
      <c r="DY15" s="242">
        <f>DW15/DX15</f>
        <v>0.65842672658516188</v>
      </c>
      <c r="DZ15" s="276">
        <v>1973</v>
      </c>
      <c r="EA15" s="47">
        <f t="shared" ref="EA15:EA59" si="29">SUM(DH15:DI15)</f>
        <v>643</v>
      </c>
      <c r="EC15" s="47"/>
      <c r="EF15" s="276">
        <v>1973</v>
      </c>
      <c r="EK15">
        <v>1991</v>
      </c>
      <c r="EL15">
        <v>5904</v>
      </c>
      <c r="EM15">
        <v>35536</v>
      </c>
      <c r="EN15">
        <v>125227</v>
      </c>
      <c r="EO15">
        <v>148696</v>
      </c>
      <c r="EP15">
        <v>148323</v>
      </c>
      <c r="EQ15">
        <v>463686</v>
      </c>
      <c r="ER15">
        <v>4924</v>
      </c>
      <c r="ES15">
        <v>21357</v>
      </c>
      <c r="ET15">
        <v>81787</v>
      </c>
      <c r="EU15">
        <v>134416</v>
      </c>
      <c r="EV15">
        <v>4723</v>
      </c>
      <c r="EW15">
        <v>247207</v>
      </c>
      <c r="EX15">
        <v>10828</v>
      </c>
      <c r="EY15">
        <v>56893</v>
      </c>
      <c r="EZ15">
        <v>207014</v>
      </c>
      <c r="FA15">
        <v>283112</v>
      </c>
      <c r="FB15">
        <v>153046</v>
      </c>
      <c r="FC15">
        <v>710893</v>
      </c>
      <c r="FD15">
        <v>748578</v>
      </c>
      <c r="FE15">
        <v>911457</v>
      </c>
      <c r="FG15">
        <v>1991</v>
      </c>
      <c r="FH15" s="47">
        <f t="shared" si="0"/>
        <v>40209</v>
      </c>
      <c r="FI15" s="47">
        <f t="shared" si="1"/>
        <v>209641</v>
      </c>
      <c r="FJ15" s="47">
        <f t="shared" si="2"/>
        <v>386087</v>
      </c>
      <c r="FK15" s="47">
        <f t="shared" si="18"/>
        <v>635937</v>
      </c>
      <c r="FL15" s="47">
        <f t="shared" si="19"/>
        <v>595728</v>
      </c>
      <c r="FM15" s="47"/>
      <c r="FN15" s="47">
        <f t="shared" si="3"/>
        <v>3929</v>
      </c>
      <c r="FO15" s="47">
        <f t="shared" si="4"/>
        <v>20815</v>
      </c>
      <c r="FP15" s="47">
        <f t="shared" si="5"/>
        <v>31212</v>
      </c>
      <c r="FQ15" s="47">
        <f t="shared" si="20"/>
        <v>55956</v>
      </c>
      <c r="FR15" s="47">
        <f t="shared" si="21"/>
        <v>52027</v>
      </c>
      <c r="FS15" s="47"/>
      <c r="FT15" s="47">
        <f t="shared" si="6"/>
        <v>1526705</v>
      </c>
      <c r="FU15" s="47">
        <f t="shared" si="7"/>
        <v>133330</v>
      </c>
      <c r="FV15" s="47">
        <f t="shared" si="22"/>
        <v>1660035</v>
      </c>
      <c r="FX15" s="242">
        <f t="shared" si="8"/>
        <v>2.6337111622743097E-2</v>
      </c>
      <c r="FY15" s="242">
        <f t="shared" si="9"/>
        <v>0.13731598442397189</v>
      </c>
      <c r="FZ15" s="242">
        <f t="shared" si="10"/>
        <v>0.25288906501255976</v>
      </c>
      <c r="GA15" s="242">
        <f t="shared" si="11"/>
        <v>0.41654216105927472</v>
      </c>
      <c r="GB15" s="242">
        <f t="shared" si="12"/>
        <v>0.39020504943653161</v>
      </c>
      <c r="GC15" s="47"/>
      <c r="GD15" s="242">
        <f t="shared" si="13"/>
        <v>2.9468236705917649E-2</v>
      </c>
      <c r="GE15" s="242">
        <f t="shared" si="14"/>
        <v>0.15611640291007275</v>
      </c>
      <c r="GF15" s="242">
        <f t="shared" si="15"/>
        <v>0.23409585239630989</v>
      </c>
      <c r="GG15" s="600">
        <f t="shared" si="16"/>
        <v>0.41968049201230029</v>
      </c>
      <c r="GH15" s="242">
        <f t="shared" si="17"/>
        <v>0.39021225530638265</v>
      </c>
      <c r="GJ15" s="680"/>
      <c r="GK15" s="681"/>
      <c r="GL15" s="681"/>
      <c r="GM15" s="681"/>
      <c r="GN15" s="681"/>
      <c r="GO15" s="681"/>
      <c r="GP15" s="682"/>
      <c r="GV15">
        <v>1991</v>
      </c>
      <c r="GX15" s="47">
        <f t="shared" si="23"/>
        <v>1526705</v>
      </c>
      <c r="HB15" s="47">
        <f t="shared" si="24"/>
        <v>133330</v>
      </c>
      <c r="HK15" s="242">
        <f t="shared" si="25"/>
        <v>0.39020504943653161</v>
      </c>
      <c r="HO15" s="242">
        <f t="shared" si="26"/>
        <v>0.39021225530638265</v>
      </c>
      <c r="HW15">
        <v>1991</v>
      </c>
    </row>
    <row r="16" spans="2:231" ht="15.75" customHeight="1" thickBot="1" x14ac:dyDescent="0.3">
      <c r="B16" s="658"/>
      <c r="C16" s="4" t="s">
        <v>38</v>
      </c>
      <c r="D16" s="8" t="s">
        <v>31</v>
      </c>
      <c r="E16" s="15">
        <v>6.4000000000000001E-2</v>
      </c>
      <c r="F16" s="4"/>
      <c r="G16" s="5"/>
      <c r="H16" s="4"/>
      <c r="I16" s="4"/>
      <c r="J16" s="4"/>
      <c r="K16" s="4"/>
      <c r="L16" s="4"/>
      <c r="M16" s="4"/>
      <c r="AP16">
        <v>1974</v>
      </c>
      <c r="AQ16" s="47">
        <v>282.54700000000003</v>
      </c>
      <c r="AR16" s="47">
        <v>178.26299999999998</v>
      </c>
      <c r="AS16" s="47">
        <v>460.81</v>
      </c>
      <c r="AT16" s="596">
        <v>0.84100179190440572</v>
      </c>
      <c r="AU16" s="47">
        <v>1777.0451842458795</v>
      </c>
      <c r="AV16" s="47">
        <v>1121.1635787292844</v>
      </c>
      <c r="AW16" s="47">
        <v>2898.2087629751641</v>
      </c>
      <c r="AX16" s="47">
        <v>44.892000000000003</v>
      </c>
      <c r="AY16" s="460">
        <v>0.84100179190440572</v>
      </c>
      <c r="AZ16">
        <v>282.34280459946848</v>
      </c>
      <c r="BB16">
        <v>1974</v>
      </c>
      <c r="BC16">
        <v>0</v>
      </c>
      <c r="BD16">
        <v>0</v>
      </c>
      <c r="BE16">
        <v>0</v>
      </c>
      <c r="BF16">
        <v>9.5000000000000001E-2</v>
      </c>
      <c r="BG16">
        <v>0.80600000000000005</v>
      </c>
      <c r="BH16">
        <v>0.90100000000000002</v>
      </c>
      <c r="BI16">
        <v>9.5000000000000001E-2</v>
      </c>
      <c r="BJ16">
        <v>0.80600000000000005</v>
      </c>
      <c r="BK16">
        <v>0.90100000000000002</v>
      </c>
      <c r="BL16">
        <v>95</v>
      </c>
      <c r="BM16">
        <v>806</v>
      </c>
      <c r="BN16">
        <v>0.90100000000000002</v>
      </c>
      <c r="BP16">
        <v>2003</v>
      </c>
      <c r="BQ16">
        <v>143.792</v>
      </c>
      <c r="BR16">
        <v>55.585000000000001</v>
      </c>
      <c r="BS16">
        <v>713.21399999999994</v>
      </c>
      <c r="BT16" s="460">
        <v>0.2016112975909054</v>
      </c>
      <c r="BU16" s="460">
        <v>7.7935935076989524E-2</v>
      </c>
      <c r="BV16" s="460">
        <v>0.27954723266789494</v>
      </c>
      <c r="BX16">
        <v>1974</v>
      </c>
      <c r="BY16">
        <v>149141</v>
      </c>
      <c r="BZ16">
        <v>2235</v>
      </c>
      <c r="CA16">
        <v>34489</v>
      </c>
      <c r="CB16">
        <v>95</v>
      </c>
      <c r="CC16">
        <v>806</v>
      </c>
      <c r="CD16">
        <v>121964</v>
      </c>
      <c r="CE16">
        <v>9112</v>
      </c>
      <c r="CF16">
        <v>142968</v>
      </c>
      <c r="CG16">
        <v>0</v>
      </c>
      <c r="CH16">
        <v>0</v>
      </c>
      <c r="CI16">
        <v>271105</v>
      </c>
      <c r="CJ16">
        <v>11347</v>
      </c>
      <c r="CK16">
        <v>177457</v>
      </c>
      <c r="CL16">
        <v>95</v>
      </c>
      <c r="CM16">
        <v>806</v>
      </c>
      <c r="CN16">
        <v>460810</v>
      </c>
      <c r="CO16">
        <v>1974</v>
      </c>
      <c r="CP16">
        <v>282547</v>
      </c>
      <c r="CQ16">
        <v>178263</v>
      </c>
      <c r="CS16" t="b">
        <v>1</v>
      </c>
      <c r="CT16" t="b">
        <v>1</v>
      </c>
      <c r="CV16">
        <v>1974</v>
      </c>
      <c r="CW16">
        <v>2752.1749999999997</v>
      </c>
      <c r="CX16">
        <v>520.32100000000003</v>
      </c>
      <c r="CY16">
        <v>3272.4959999999996</v>
      </c>
      <c r="CZ16">
        <v>0.84100179190440572</v>
      </c>
      <c r="DD16">
        <v>1974</v>
      </c>
      <c r="DE16" s="47">
        <v>149141</v>
      </c>
      <c r="DF16" s="47">
        <v>2235</v>
      </c>
      <c r="DG16" s="47">
        <v>34489</v>
      </c>
      <c r="DH16" s="47">
        <v>95</v>
      </c>
      <c r="DI16" s="47">
        <v>806</v>
      </c>
      <c r="DJ16" s="47">
        <v>121964</v>
      </c>
      <c r="DK16" s="47">
        <v>9112</v>
      </c>
      <c r="DL16" s="47">
        <v>142968</v>
      </c>
      <c r="DM16" s="130" t="s">
        <v>728</v>
      </c>
      <c r="DN16" s="130" t="s">
        <v>728</v>
      </c>
      <c r="DO16" s="47">
        <v>271105</v>
      </c>
      <c r="DP16" s="47">
        <v>11347</v>
      </c>
      <c r="DQ16" s="47">
        <v>177457</v>
      </c>
      <c r="DR16" s="47">
        <v>95</v>
      </c>
      <c r="DS16" s="47">
        <v>806</v>
      </c>
      <c r="DT16" s="47">
        <v>460810</v>
      </c>
      <c r="DV16" s="47">
        <f t="shared" ref="DV16:DV59" si="30">DE16+DF16+DG16</f>
        <v>185865</v>
      </c>
      <c r="DW16" s="47">
        <f t="shared" si="27"/>
        <v>274044</v>
      </c>
      <c r="DX16" s="47">
        <f t="shared" si="28"/>
        <v>459909</v>
      </c>
      <c r="DY16" s="242">
        <f t="shared" ref="DY16:DY59" si="31">DW16/DX16</f>
        <v>0.59586570386750426</v>
      </c>
      <c r="DZ16" s="276">
        <v>1974</v>
      </c>
      <c r="EA16" s="47">
        <f t="shared" si="29"/>
        <v>901</v>
      </c>
      <c r="EC16" s="47"/>
      <c r="EF16" s="276">
        <v>1974</v>
      </c>
      <c r="EK16">
        <v>1992</v>
      </c>
      <c r="EL16">
        <v>1100</v>
      </c>
      <c r="EM16">
        <v>9923</v>
      </c>
      <c r="EN16">
        <v>35164</v>
      </c>
      <c r="EO16">
        <v>20584</v>
      </c>
      <c r="EP16">
        <v>55110</v>
      </c>
      <c r="EQ16">
        <v>121881</v>
      </c>
      <c r="ER16">
        <v>916</v>
      </c>
      <c r="ES16">
        <v>6725</v>
      </c>
      <c r="ET16">
        <v>22032</v>
      </c>
      <c r="EU16">
        <v>25536</v>
      </c>
      <c r="EV16">
        <v>2874</v>
      </c>
      <c r="EW16">
        <v>58083</v>
      </c>
      <c r="EX16">
        <v>2016</v>
      </c>
      <c r="EY16">
        <v>16648</v>
      </c>
      <c r="EZ16">
        <v>57196</v>
      </c>
      <c r="FA16">
        <v>46120</v>
      </c>
      <c r="FB16">
        <v>57984</v>
      </c>
      <c r="FC16">
        <v>179964</v>
      </c>
      <c r="FD16">
        <v>195104</v>
      </c>
      <c r="FE16">
        <v>229608</v>
      </c>
      <c r="FG16">
        <v>1992</v>
      </c>
      <c r="FH16" s="47">
        <f t="shared" si="0"/>
        <v>12805</v>
      </c>
      <c r="FI16" s="47">
        <f t="shared" si="1"/>
        <v>73793</v>
      </c>
      <c r="FJ16" s="47">
        <f t="shared" si="2"/>
        <v>95057</v>
      </c>
      <c r="FK16" s="47">
        <f t="shared" si="18"/>
        <v>181655</v>
      </c>
      <c r="FL16" s="47">
        <f t="shared" si="19"/>
        <v>168850</v>
      </c>
      <c r="FM16" s="47"/>
      <c r="FN16" s="47">
        <f t="shared" si="3"/>
        <v>1405</v>
      </c>
      <c r="FO16" s="47">
        <f t="shared" si="4"/>
        <v>7959</v>
      </c>
      <c r="FP16" s="47">
        <f t="shared" si="5"/>
        <v>8831</v>
      </c>
      <c r="FQ16" s="47">
        <f t="shared" si="20"/>
        <v>18195</v>
      </c>
      <c r="FR16" s="47">
        <f t="shared" si="21"/>
        <v>16790</v>
      </c>
      <c r="FS16" s="47"/>
      <c r="FT16" s="47">
        <f t="shared" si="6"/>
        <v>385426</v>
      </c>
      <c r="FU16" s="47">
        <f t="shared" si="7"/>
        <v>39286</v>
      </c>
      <c r="FV16" s="47">
        <f t="shared" si="22"/>
        <v>424712</v>
      </c>
      <c r="FX16" s="242">
        <f t="shared" si="8"/>
        <v>3.3222979248934942E-2</v>
      </c>
      <c r="FY16" s="242">
        <f t="shared" si="9"/>
        <v>0.19145828252375294</v>
      </c>
      <c r="FZ16" s="242">
        <f t="shared" si="10"/>
        <v>0.24662840597157432</v>
      </c>
      <c r="GA16" s="242">
        <f t="shared" si="11"/>
        <v>0.4713096677442622</v>
      </c>
      <c r="GB16" s="242">
        <f t="shared" si="12"/>
        <v>0.43808668849532723</v>
      </c>
      <c r="GC16" s="47"/>
      <c r="GD16" s="242">
        <f t="shared" si="13"/>
        <v>3.5763376266354424E-2</v>
      </c>
      <c r="GE16" s="242">
        <f t="shared" si="14"/>
        <v>0.20259125388178995</v>
      </c>
      <c r="GF16" s="242">
        <f t="shared" si="15"/>
        <v>0.22478745609122844</v>
      </c>
      <c r="GG16" s="600">
        <f t="shared" si="16"/>
        <v>0.46314208623937281</v>
      </c>
      <c r="GH16" s="242">
        <f t="shared" si="17"/>
        <v>0.42737870997301836</v>
      </c>
      <c r="GV16">
        <v>1992</v>
      </c>
      <c r="GX16" s="47">
        <f t="shared" si="23"/>
        <v>385426</v>
      </c>
      <c r="HB16" s="47">
        <f t="shared" si="24"/>
        <v>39286</v>
      </c>
      <c r="HK16" s="242">
        <f t="shared" si="25"/>
        <v>0.43808668849532723</v>
      </c>
      <c r="HO16" s="242">
        <f t="shared" si="26"/>
        <v>0.42737870997301836</v>
      </c>
      <c r="HW16">
        <v>1992</v>
      </c>
    </row>
    <row r="17" spans="2:231" ht="15.75" customHeight="1" thickBot="1" x14ac:dyDescent="0.3">
      <c r="B17" s="658"/>
      <c r="C17" s="4"/>
      <c r="D17" s="9" t="s">
        <v>32</v>
      </c>
      <c r="E17" s="5"/>
      <c r="F17" s="4"/>
      <c r="G17" s="5"/>
      <c r="H17" s="4"/>
      <c r="I17" s="4"/>
      <c r="J17" s="4"/>
      <c r="K17" s="4"/>
      <c r="L17" s="4"/>
      <c r="M17" s="4"/>
      <c r="AP17">
        <v>1975</v>
      </c>
      <c r="AQ17" s="47">
        <v>202.101</v>
      </c>
      <c r="AR17" s="47">
        <v>90.38300000000001</v>
      </c>
      <c r="AS17" s="47">
        <v>292.48400000000004</v>
      </c>
      <c r="AT17" s="596">
        <v>0.82157864070279973</v>
      </c>
      <c r="AU17" s="47">
        <v>1132.7175221401383</v>
      </c>
      <c r="AV17" s="47">
        <v>506.57051575000679</v>
      </c>
      <c r="AW17" s="47">
        <v>1639.288037890145</v>
      </c>
      <c r="AX17" s="47">
        <v>14.605</v>
      </c>
      <c r="AY17" s="460">
        <v>0.82157864070279973</v>
      </c>
      <c r="AZ17">
        <v>81.85679145999633</v>
      </c>
      <c r="BB17">
        <v>1975</v>
      </c>
      <c r="BC17">
        <v>0</v>
      </c>
      <c r="BD17">
        <v>0</v>
      </c>
      <c r="BE17">
        <v>0</v>
      </c>
      <c r="BF17">
        <v>0.44700000000000001</v>
      </c>
      <c r="BG17">
        <v>0.68600000000000005</v>
      </c>
      <c r="BH17">
        <v>1.133</v>
      </c>
      <c r="BI17">
        <v>0.44700000000000001</v>
      </c>
      <c r="BJ17">
        <v>0.68600000000000005</v>
      </c>
      <c r="BK17">
        <v>1.133</v>
      </c>
      <c r="BL17">
        <v>447</v>
      </c>
      <c r="BM17">
        <v>686</v>
      </c>
      <c r="BN17">
        <v>1.133</v>
      </c>
      <c r="BP17">
        <v>2004</v>
      </c>
      <c r="BQ17">
        <v>66.626000000000005</v>
      </c>
      <c r="BR17">
        <v>16.442</v>
      </c>
      <c r="BS17">
        <v>463.54399999999998</v>
      </c>
      <c r="BT17" s="460">
        <v>0.14373177087827693</v>
      </c>
      <c r="BU17" s="460">
        <v>3.5470203475829694E-2</v>
      </c>
      <c r="BV17" s="460">
        <v>0.17920197435410665</v>
      </c>
      <c r="BX17">
        <v>1975</v>
      </c>
      <c r="BY17">
        <v>104394</v>
      </c>
      <c r="BZ17">
        <v>687</v>
      </c>
      <c r="CA17">
        <v>19023</v>
      </c>
      <c r="CB17">
        <v>447</v>
      </c>
      <c r="CC17">
        <v>686</v>
      </c>
      <c r="CD17">
        <v>94443</v>
      </c>
      <c r="CE17">
        <v>2130</v>
      </c>
      <c r="CF17">
        <v>70674</v>
      </c>
      <c r="CG17">
        <v>0</v>
      </c>
      <c r="CH17">
        <v>0</v>
      </c>
      <c r="CI17">
        <v>198837</v>
      </c>
      <c r="CJ17">
        <v>2817</v>
      </c>
      <c r="CK17">
        <v>89697</v>
      </c>
      <c r="CL17">
        <v>447</v>
      </c>
      <c r="CM17">
        <v>686</v>
      </c>
      <c r="CN17">
        <v>292484</v>
      </c>
      <c r="CO17">
        <v>1975</v>
      </c>
      <c r="CP17">
        <v>202101</v>
      </c>
      <c r="CQ17">
        <v>90383</v>
      </c>
      <c r="CS17" t="b">
        <v>1</v>
      </c>
      <c r="CT17" t="b">
        <v>1</v>
      </c>
      <c r="CV17">
        <v>1975</v>
      </c>
      <c r="CW17">
        <v>1532.71</v>
      </c>
      <c r="CX17">
        <v>332.85699999999997</v>
      </c>
      <c r="CY17">
        <v>1865.567</v>
      </c>
      <c r="CZ17">
        <v>0.82157864070279973</v>
      </c>
      <c r="DD17">
        <v>1975</v>
      </c>
      <c r="DE17" s="47">
        <v>104394</v>
      </c>
      <c r="DF17" s="47">
        <v>687</v>
      </c>
      <c r="DG17" s="47">
        <v>19023</v>
      </c>
      <c r="DH17" s="47">
        <v>447</v>
      </c>
      <c r="DI17" s="47">
        <v>686</v>
      </c>
      <c r="DJ17" s="47">
        <v>94443</v>
      </c>
      <c r="DK17" s="47">
        <v>2130</v>
      </c>
      <c r="DL17" s="47">
        <v>70674</v>
      </c>
      <c r="DM17" s="130" t="s">
        <v>728</v>
      </c>
      <c r="DN17" s="130" t="s">
        <v>728</v>
      </c>
      <c r="DO17" s="47">
        <v>198837</v>
      </c>
      <c r="DP17" s="47">
        <v>2817</v>
      </c>
      <c r="DQ17" s="47">
        <v>89697</v>
      </c>
      <c r="DR17" s="47">
        <v>447</v>
      </c>
      <c r="DS17" s="47">
        <v>686</v>
      </c>
      <c r="DT17" s="47">
        <v>292484</v>
      </c>
      <c r="DV17" s="47">
        <f t="shared" si="30"/>
        <v>124104</v>
      </c>
      <c r="DW17" s="47">
        <f t="shared" si="27"/>
        <v>167247</v>
      </c>
      <c r="DX17" s="47">
        <f t="shared" si="28"/>
        <v>291351</v>
      </c>
      <c r="DY17" s="242">
        <f t="shared" si="31"/>
        <v>0.57403956053008232</v>
      </c>
      <c r="DZ17" s="276">
        <v>1975</v>
      </c>
      <c r="EA17" s="47">
        <f t="shared" si="29"/>
        <v>1133</v>
      </c>
      <c r="EC17" s="47"/>
      <c r="EF17" s="276">
        <v>1975</v>
      </c>
      <c r="EK17">
        <v>1993</v>
      </c>
      <c r="EL17">
        <v>1000</v>
      </c>
      <c r="EM17">
        <v>11788</v>
      </c>
      <c r="EN17">
        <v>6838</v>
      </c>
      <c r="EO17">
        <v>15984</v>
      </c>
      <c r="EP17">
        <v>30180</v>
      </c>
      <c r="EQ17">
        <v>65790</v>
      </c>
      <c r="ER17">
        <v>1322</v>
      </c>
      <c r="ES17">
        <v>6408</v>
      </c>
      <c r="ET17">
        <v>2778</v>
      </c>
      <c r="EU17">
        <v>17506</v>
      </c>
      <c r="EV17">
        <v>1159</v>
      </c>
      <c r="EW17">
        <v>29173</v>
      </c>
      <c r="EX17">
        <v>2322</v>
      </c>
      <c r="EY17">
        <v>18196</v>
      </c>
      <c r="EZ17">
        <v>9616</v>
      </c>
      <c r="FA17">
        <v>33490</v>
      </c>
      <c r="FB17">
        <v>31339</v>
      </c>
      <c r="FC17">
        <v>94963</v>
      </c>
      <c r="FD17">
        <v>98142</v>
      </c>
      <c r="FE17">
        <v>80689</v>
      </c>
      <c r="FG17">
        <v>1993</v>
      </c>
      <c r="FH17" s="47">
        <f t="shared" si="0"/>
        <v>8038</v>
      </c>
      <c r="FI17" s="47">
        <f t="shared" si="1"/>
        <v>39232</v>
      </c>
      <c r="FJ17" s="47">
        <f t="shared" si="2"/>
        <v>15772</v>
      </c>
      <c r="FK17" s="47">
        <f t="shared" si="18"/>
        <v>63042</v>
      </c>
      <c r="FL17" s="47">
        <f t="shared" si="19"/>
        <v>55004</v>
      </c>
      <c r="FM17" s="47"/>
      <c r="FN17" s="47">
        <f t="shared" si="3"/>
        <v>674</v>
      </c>
      <c r="FO17" s="47">
        <f t="shared" si="4"/>
        <v>2864</v>
      </c>
      <c r="FP17" s="47">
        <f t="shared" si="5"/>
        <v>1006</v>
      </c>
      <c r="FQ17" s="47">
        <f t="shared" si="20"/>
        <v>4544</v>
      </c>
      <c r="FR17" s="47">
        <f t="shared" si="21"/>
        <v>3870</v>
      </c>
      <c r="FS17" s="47"/>
      <c r="FT17" s="47">
        <f t="shared" si="6"/>
        <v>167734</v>
      </c>
      <c r="FU17" s="47">
        <f t="shared" si="7"/>
        <v>11097</v>
      </c>
      <c r="FV17" s="47">
        <f t="shared" si="22"/>
        <v>178831</v>
      </c>
      <c r="FX17" s="242">
        <f t="shared" si="8"/>
        <v>4.7921113191124041E-2</v>
      </c>
      <c r="FY17" s="242">
        <f t="shared" si="9"/>
        <v>0.23389414191517521</v>
      </c>
      <c r="FZ17" s="242">
        <f t="shared" si="10"/>
        <v>9.4029832949789546E-2</v>
      </c>
      <c r="GA17" s="242">
        <f t="shared" si="11"/>
        <v>0.37584508805608879</v>
      </c>
      <c r="GB17" s="242">
        <f t="shared" si="12"/>
        <v>0.32792397486496477</v>
      </c>
      <c r="GC17" s="47"/>
      <c r="GD17" s="242">
        <f t="shared" si="13"/>
        <v>6.0737136162926919E-2</v>
      </c>
      <c r="GE17" s="242">
        <f t="shared" si="14"/>
        <v>0.25808777146976658</v>
      </c>
      <c r="GF17" s="242">
        <f t="shared" si="15"/>
        <v>9.0655132017662426E-2</v>
      </c>
      <c r="GG17" s="600">
        <f t="shared" si="16"/>
        <v>0.40948003965035595</v>
      </c>
      <c r="GH17" s="242">
        <f t="shared" si="17"/>
        <v>0.34874290348742903</v>
      </c>
      <c r="GJ17" s="683" t="s">
        <v>685</v>
      </c>
      <c r="GK17" s="684"/>
      <c r="GL17" s="684"/>
      <c r="GM17" s="684"/>
      <c r="GN17" s="684"/>
      <c r="GO17" s="684"/>
      <c r="GP17" s="685"/>
      <c r="GV17">
        <v>1993</v>
      </c>
      <c r="GX17" s="47">
        <f t="shared" si="23"/>
        <v>167734</v>
      </c>
      <c r="HB17" s="47">
        <f t="shared" si="24"/>
        <v>11097</v>
      </c>
      <c r="HK17" s="242">
        <f t="shared" si="25"/>
        <v>0.32792397486496477</v>
      </c>
      <c r="HO17" s="242">
        <f t="shared" si="26"/>
        <v>0.34874290348742903</v>
      </c>
      <c r="HW17">
        <v>1993</v>
      </c>
    </row>
    <row r="18" spans="2:231" ht="15.75" customHeight="1" thickBot="1" x14ac:dyDescent="0.3">
      <c r="B18" s="658"/>
      <c r="C18" s="4" t="s">
        <v>39</v>
      </c>
      <c r="D18" s="8" t="s">
        <v>31</v>
      </c>
      <c r="E18" s="15">
        <v>1E-3</v>
      </c>
      <c r="F18" s="4"/>
      <c r="G18" s="5"/>
      <c r="H18" s="4"/>
      <c r="I18" s="4"/>
      <c r="J18" s="4"/>
      <c r="K18" s="4"/>
      <c r="L18" s="4"/>
      <c r="M18" s="4"/>
      <c r="AP18">
        <v>1976</v>
      </c>
      <c r="AQ18" s="47">
        <v>185.26400000000001</v>
      </c>
      <c r="AR18" s="47">
        <v>151.69299999999998</v>
      </c>
      <c r="AS18" s="47">
        <v>336.95699999999999</v>
      </c>
      <c r="AT18" s="596">
        <v>0.90015453932650857</v>
      </c>
      <c r="AU18" s="47">
        <v>1855.5074887764715</v>
      </c>
      <c r="AV18" s="47">
        <v>1519.2778818063371</v>
      </c>
      <c r="AW18" s="47">
        <v>3374.7853705828084</v>
      </c>
      <c r="AX18" s="47">
        <v>55.854999999999997</v>
      </c>
      <c r="AY18" s="460">
        <v>0.90015453932650857</v>
      </c>
      <c r="AZ18">
        <v>559.41451542452819</v>
      </c>
      <c r="BB18">
        <v>1976</v>
      </c>
      <c r="BC18">
        <v>0</v>
      </c>
      <c r="BD18">
        <v>0</v>
      </c>
      <c r="BE18">
        <v>0</v>
      </c>
      <c r="BF18">
        <v>0.214</v>
      </c>
      <c r="BG18">
        <v>0.996</v>
      </c>
      <c r="BH18">
        <v>1.21</v>
      </c>
      <c r="BI18">
        <v>0.214</v>
      </c>
      <c r="BJ18">
        <v>0.996</v>
      </c>
      <c r="BK18">
        <v>1.21</v>
      </c>
      <c r="BL18">
        <v>214</v>
      </c>
      <c r="BM18">
        <v>996</v>
      </c>
      <c r="BN18">
        <v>1.21</v>
      </c>
      <c r="BP18">
        <v>2005</v>
      </c>
      <c r="BQ18">
        <v>30.283999999999999</v>
      </c>
      <c r="BR18">
        <v>7.4639999999999995</v>
      </c>
      <c r="BS18">
        <v>354.71660598949177</v>
      </c>
      <c r="BT18" s="460">
        <v>8.5375196674319614E-2</v>
      </c>
      <c r="BU18" s="460">
        <v>2.1042149913390623E-2</v>
      </c>
      <c r="BV18" s="460">
        <v>0.10641734658771024</v>
      </c>
      <c r="BX18">
        <v>1976</v>
      </c>
      <c r="BY18">
        <v>104546.00000000001</v>
      </c>
      <c r="BZ18">
        <v>2343</v>
      </c>
      <c r="CA18">
        <v>49369.999999999993</v>
      </c>
      <c r="CB18">
        <v>214</v>
      </c>
      <c r="CC18">
        <v>996</v>
      </c>
      <c r="CD18">
        <v>72998</v>
      </c>
      <c r="CE18">
        <v>5163</v>
      </c>
      <c r="CF18">
        <v>101327</v>
      </c>
      <c r="CG18">
        <v>0</v>
      </c>
      <c r="CH18">
        <v>0</v>
      </c>
      <c r="CI18">
        <v>177544</v>
      </c>
      <c r="CJ18">
        <v>7506</v>
      </c>
      <c r="CK18">
        <v>150697</v>
      </c>
      <c r="CL18">
        <v>214</v>
      </c>
      <c r="CM18">
        <v>996</v>
      </c>
      <c r="CN18">
        <v>336957</v>
      </c>
      <c r="CO18">
        <v>1976</v>
      </c>
      <c r="CP18">
        <v>185264</v>
      </c>
      <c r="CQ18">
        <v>151693</v>
      </c>
      <c r="CS18" t="b">
        <v>1</v>
      </c>
      <c r="CT18" t="b">
        <v>1</v>
      </c>
      <c r="CV18">
        <v>1976</v>
      </c>
      <c r="CW18">
        <v>3888.6099999999997</v>
      </c>
      <c r="CX18">
        <v>431.32600000000002</v>
      </c>
      <c r="CY18">
        <v>4319.9359999999997</v>
      </c>
      <c r="CZ18">
        <v>0.90015453932650857</v>
      </c>
      <c r="DD18">
        <v>1976</v>
      </c>
      <c r="DE18" s="47">
        <v>104546.00000000001</v>
      </c>
      <c r="DF18" s="47">
        <v>2343</v>
      </c>
      <c r="DG18" s="47">
        <v>49369.999999999993</v>
      </c>
      <c r="DH18" s="47">
        <v>214</v>
      </c>
      <c r="DI18" s="47">
        <v>996</v>
      </c>
      <c r="DJ18" s="47">
        <v>72998</v>
      </c>
      <c r="DK18" s="47">
        <v>5163</v>
      </c>
      <c r="DL18" s="47">
        <v>101327</v>
      </c>
      <c r="DM18" s="130" t="s">
        <v>728</v>
      </c>
      <c r="DN18" s="130" t="s">
        <v>728</v>
      </c>
      <c r="DO18" s="47">
        <v>177544</v>
      </c>
      <c r="DP18" s="47">
        <v>7506</v>
      </c>
      <c r="DQ18" s="47">
        <v>150697</v>
      </c>
      <c r="DR18" s="47">
        <v>214</v>
      </c>
      <c r="DS18" s="47">
        <v>996</v>
      </c>
      <c r="DT18" s="47">
        <v>336957</v>
      </c>
      <c r="DV18" s="47">
        <f t="shared" si="30"/>
        <v>156259</v>
      </c>
      <c r="DW18" s="47">
        <f t="shared" si="27"/>
        <v>179488</v>
      </c>
      <c r="DX18" s="47">
        <f t="shared" si="28"/>
        <v>335747</v>
      </c>
      <c r="DY18" s="242">
        <f t="shared" si="31"/>
        <v>0.53459301200010723</v>
      </c>
      <c r="DZ18" s="276">
        <v>1976</v>
      </c>
      <c r="EA18" s="47">
        <f t="shared" si="29"/>
        <v>1210</v>
      </c>
      <c r="EC18" s="47"/>
      <c r="EF18" s="276">
        <v>1976</v>
      </c>
      <c r="EK18">
        <v>1994</v>
      </c>
      <c r="EL18">
        <v>994</v>
      </c>
      <c r="EM18">
        <v>0</v>
      </c>
      <c r="EN18">
        <v>0</v>
      </c>
      <c r="EO18">
        <v>7490</v>
      </c>
      <c r="EP18">
        <v>70620</v>
      </c>
      <c r="EQ18">
        <v>79104</v>
      </c>
      <c r="ER18">
        <v>2050</v>
      </c>
      <c r="ES18">
        <v>0</v>
      </c>
      <c r="ET18">
        <v>0</v>
      </c>
      <c r="EU18">
        <v>56680</v>
      </c>
      <c r="EV18">
        <v>2257</v>
      </c>
      <c r="EW18">
        <v>60987</v>
      </c>
      <c r="EX18">
        <v>3044</v>
      </c>
      <c r="EY18">
        <v>0</v>
      </c>
      <c r="EZ18">
        <v>0</v>
      </c>
      <c r="FA18">
        <v>64170</v>
      </c>
      <c r="FB18">
        <v>72877</v>
      </c>
      <c r="FC18">
        <v>140091</v>
      </c>
      <c r="FD18">
        <v>145372</v>
      </c>
      <c r="FE18">
        <v>39007</v>
      </c>
      <c r="FG18">
        <v>1994</v>
      </c>
      <c r="FH18" s="47">
        <f t="shared" si="0"/>
        <v>8398</v>
      </c>
      <c r="FI18" s="47">
        <f t="shared" si="1"/>
        <v>166</v>
      </c>
      <c r="FJ18" s="47">
        <f t="shared" si="2"/>
        <v>0</v>
      </c>
      <c r="FK18" s="47">
        <f t="shared" si="18"/>
        <v>8564</v>
      </c>
      <c r="FL18" s="47">
        <f t="shared" si="19"/>
        <v>166</v>
      </c>
      <c r="FM18" s="47"/>
      <c r="FN18" s="47">
        <f t="shared" si="3"/>
        <v>602</v>
      </c>
      <c r="FO18" s="47">
        <f t="shared" si="4"/>
        <v>16</v>
      </c>
      <c r="FP18" s="47">
        <f t="shared" si="5"/>
        <v>0</v>
      </c>
      <c r="FQ18" s="47">
        <f t="shared" si="20"/>
        <v>618</v>
      </c>
      <c r="FR18" s="47">
        <f t="shared" si="21"/>
        <v>16</v>
      </c>
      <c r="FS18" s="47"/>
      <c r="FT18" s="47">
        <f t="shared" si="6"/>
        <v>175555</v>
      </c>
      <c r="FU18" s="47">
        <f t="shared" si="7"/>
        <v>8824</v>
      </c>
      <c r="FV18" s="47">
        <f t="shared" si="22"/>
        <v>184379</v>
      </c>
      <c r="FX18" s="242">
        <f t="shared" si="8"/>
        <v>4.783686024322862E-2</v>
      </c>
      <c r="FY18" s="242">
        <f t="shared" si="9"/>
        <v>9.4557261257155879E-4</v>
      </c>
      <c r="FZ18" s="242">
        <f t="shared" si="10"/>
        <v>0</v>
      </c>
      <c r="GA18" s="242">
        <f t="shared" si="11"/>
        <v>4.8782432855800174E-2</v>
      </c>
      <c r="GB18" s="242">
        <f t="shared" si="12"/>
        <v>9.4557261257155879E-4</v>
      </c>
      <c r="GC18" s="47"/>
      <c r="GD18" s="242">
        <f t="shared" si="13"/>
        <v>6.8223028105167727E-2</v>
      </c>
      <c r="GE18" s="242">
        <f t="shared" si="14"/>
        <v>1.8132366273798731E-3</v>
      </c>
      <c r="GF18" s="242">
        <f t="shared" si="15"/>
        <v>0</v>
      </c>
      <c r="GG18" s="600">
        <f t="shared" si="16"/>
        <v>7.0036264732547593E-2</v>
      </c>
      <c r="GH18" s="242">
        <f t="shared" si="17"/>
        <v>1.8132366273798731E-3</v>
      </c>
      <c r="GJ18" s="686"/>
      <c r="GK18" s="687"/>
      <c r="GL18" s="687"/>
      <c r="GM18" s="687"/>
      <c r="GN18" s="687"/>
      <c r="GO18" s="687"/>
      <c r="GP18" s="688"/>
      <c r="GV18">
        <v>1994</v>
      </c>
      <c r="GX18" s="47">
        <f t="shared" si="23"/>
        <v>175555</v>
      </c>
      <c r="HB18" s="47">
        <f t="shared" si="24"/>
        <v>8824</v>
      </c>
      <c r="HK18" s="242">
        <f t="shared" si="25"/>
        <v>9.4557261257155879E-4</v>
      </c>
      <c r="HO18" s="242">
        <f t="shared" si="26"/>
        <v>1.8132366273798731E-3</v>
      </c>
      <c r="HW18">
        <v>1994</v>
      </c>
    </row>
    <row r="19" spans="2:231" ht="15.75" customHeight="1" thickBot="1" x14ac:dyDescent="0.3">
      <c r="B19" s="658"/>
      <c r="C19" s="4"/>
      <c r="D19" s="9" t="s">
        <v>32</v>
      </c>
      <c r="E19" s="4"/>
      <c r="F19" s="4"/>
      <c r="G19" s="5"/>
      <c r="H19" s="4"/>
      <c r="I19" s="4"/>
      <c r="J19" s="4"/>
      <c r="K19" s="4"/>
      <c r="L19" s="4"/>
      <c r="M19" s="4"/>
      <c r="AP19">
        <v>1977</v>
      </c>
      <c r="AQ19" s="47">
        <v>54.166999999999987</v>
      </c>
      <c r="AR19" s="47">
        <v>39.664999999999999</v>
      </c>
      <c r="AS19" s="47">
        <v>93.831999999999994</v>
      </c>
      <c r="AT19" s="596">
        <v>0.89123267226359115</v>
      </c>
      <c r="AU19" s="47">
        <v>498.00800596361523</v>
      </c>
      <c r="AV19" s="47">
        <v>364.67752610531875</v>
      </c>
      <c r="AW19" s="47">
        <v>862.68553206893398</v>
      </c>
      <c r="AX19" s="47">
        <v>16.773</v>
      </c>
      <c r="AY19" s="460">
        <v>0.89123267226359115</v>
      </c>
      <c r="AZ19">
        <v>154.2099116441324</v>
      </c>
      <c r="BB19">
        <v>1977</v>
      </c>
      <c r="BC19">
        <v>0</v>
      </c>
      <c r="BD19">
        <v>0</v>
      </c>
      <c r="BE19">
        <v>0</v>
      </c>
      <c r="BF19">
        <v>0.34499999999999997</v>
      </c>
      <c r="BG19">
        <v>0.83399999999999996</v>
      </c>
      <c r="BH19">
        <v>1.1789999999999998</v>
      </c>
      <c r="BI19">
        <v>0.34499999999999997</v>
      </c>
      <c r="BJ19">
        <v>0.83399999999999996</v>
      </c>
      <c r="BK19">
        <v>1.1789999999999998</v>
      </c>
      <c r="BL19">
        <v>345</v>
      </c>
      <c r="BM19">
        <v>834</v>
      </c>
      <c r="BN19">
        <v>1.179</v>
      </c>
      <c r="BP19">
        <v>2006</v>
      </c>
      <c r="BQ19">
        <v>27.216999999999999</v>
      </c>
      <c r="BR19">
        <v>4.8559999999999999</v>
      </c>
      <c r="BS19">
        <v>409.69202117427329</v>
      </c>
      <c r="BT19" s="460">
        <v>6.6432829035795476E-2</v>
      </c>
      <c r="BU19" s="460">
        <v>1.1852805885947124E-2</v>
      </c>
      <c r="BV19" s="460">
        <v>7.8285634921742606E-2</v>
      </c>
      <c r="BX19">
        <v>1977</v>
      </c>
      <c r="BY19">
        <v>31704.999999999996</v>
      </c>
      <c r="BZ19">
        <v>499</v>
      </c>
      <c r="CA19">
        <v>15191</v>
      </c>
      <c r="CB19">
        <v>345</v>
      </c>
      <c r="CC19">
        <v>834</v>
      </c>
      <c r="CD19">
        <v>19993</v>
      </c>
      <c r="CE19">
        <v>1625</v>
      </c>
      <c r="CF19">
        <v>23640</v>
      </c>
      <c r="CG19">
        <v>0</v>
      </c>
      <c r="CH19">
        <v>0</v>
      </c>
      <c r="CI19">
        <v>51698</v>
      </c>
      <c r="CJ19">
        <v>2124</v>
      </c>
      <c r="CK19">
        <v>38831</v>
      </c>
      <c r="CL19">
        <v>345</v>
      </c>
      <c r="CM19">
        <v>834</v>
      </c>
      <c r="CN19">
        <v>93832</v>
      </c>
      <c r="CO19">
        <v>1977</v>
      </c>
      <c r="CP19">
        <v>54167</v>
      </c>
      <c r="CQ19">
        <v>39665</v>
      </c>
      <c r="CS19" t="b">
        <v>1</v>
      </c>
      <c r="CT19" t="b">
        <v>1</v>
      </c>
      <c r="CV19">
        <v>1977</v>
      </c>
      <c r="CW19">
        <v>1059.345</v>
      </c>
      <c r="CX19">
        <v>129.28399999999999</v>
      </c>
      <c r="CY19">
        <v>1188.6289999999999</v>
      </c>
      <c r="CZ19">
        <v>0.89123267226359115</v>
      </c>
      <c r="DD19">
        <v>1977</v>
      </c>
      <c r="DE19" s="47">
        <v>31704.999999999996</v>
      </c>
      <c r="DF19" s="47">
        <v>499</v>
      </c>
      <c r="DG19" s="47">
        <v>15191</v>
      </c>
      <c r="DH19" s="47">
        <v>345</v>
      </c>
      <c r="DI19" s="47">
        <v>834</v>
      </c>
      <c r="DJ19" s="47">
        <v>19993</v>
      </c>
      <c r="DK19" s="47">
        <v>1625</v>
      </c>
      <c r="DL19" s="47">
        <v>23640</v>
      </c>
      <c r="DM19" s="130" t="s">
        <v>728</v>
      </c>
      <c r="DN19" s="130" t="s">
        <v>728</v>
      </c>
      <c r="DO19" s="47">
        <v>51698</v>
      </c>
      <c r="DP19" s="47">
        <v>2124</v>
      </c>
      <c r="DQ19" s="47">
        <v>38831</v>
      </c>
      <c r="DR19" s="47">
        <v>345</v>
      </c>
      <c r="DS19" s="47">
        <v>834</v>
      </c>
      <c r="DT19" s="47">
        <v>93832</v>
      </c>
      <c r="DV19" s="47">
        <f t="shared" si="30"/>
        <v>47395</v>
      </c>
      <c r="DW19" s="47">
        <f t="shared" si="27"/>
        <v>45258</v>
      </c>
      <c r="DX19" s="47">
        <f t="shared" si="28"/>
        <v>92653</v>
      </c>
      <c r="DY19" s="242">
        <f t="shared" si="31"/>
        <v>0.48846772365708613</v>
      </c>
      <c r="DZ19" s="276">
        <v>1977</v>
      </c>
      <c r="EA19" s="47">
        <f t="shared" si="29"/>
        <v>1179</v>
      </c>
      <c r="EC19" s="47"/>
      <c r="EF19" s="276">
        <v>1977</v>
      </c>
      <c r="EK19">
        <v>1995</v>
      </c>
      <c r="EL19">
        <v>1052</v>
      </c>
      <c r="EM19">
        <v>5618</v>
      </c>
      <c r="EN19">
        <v>0</v>
      </c>
      <c r="EO19">
        <v>4104</v>
      </c>
      <c r="EP19">
        <v>27432</v>
      </c>
      <c r="EQ19">
        <v>38206</v>
      </c>
      <c r="ER19">
        <v>540</v>
      </c>
      <c r="ES19">
        <v>8674</v>
      </c>
      <c r="ET19">
        <v>156</v>
      </c>
      <c r="EU19">
        <v>23928</v>
      </c>
      <c r="EV19">
        <v>527</v>
      </c>
      <c r="EW19">
        <v>33825</v>
      </c>
      <c r="EX19">
        <v>1592</v>
      </c>
      <c r="EY19">
        <v>14292</v>
      </c>
      <c r="EZ19">
        <v>156</v>
      </c>
      <c r="FA19">
        <v>28032</v>
      </c>
      <c r="FB19">
        <v>27959</v>
      </c>
      <c r="FC19">
        <v>72031</v>
      </c>
      <c r="FD19">
        <v>76723</v>
      </c>
      <c r="FE19">
        <v>26175</v>
      </c>
      <c r="FG19">
        <v>1995</v>
      </c>
      <c r="FH19" s="47">
        <f t="shared" si="0"/>
        <v>4756</v>
      </c>
      <c r="FI19" s="47">
        <f t="shared" si="1"/>
        <v>18556</v>
      </c>
      <c r="FJ19" s="47">
        <f t="shared" si="2"/>
        <v>192</v>
      </c>
      <c r="FK19" s="47">
        <f t="shared" si="18"/>
        <v>23504</v>
      </c>
      <c r="FL19" s="47">
        <f t="shared" si="19"/>
        <v>18748</v>
      </c>
      <c r="FM19" s="47"/>
      <c r="FN19" s="47">
        <f t="shared" si="3"/>
        <v>468</v>
      </c>
      <c r="FO19" s="47">
        <f t="shared" si="4"/>
        <v>1146</v>
      </c>
      <c r="FP19" s="47">
        <f t="shared" si="5"/>
        <v>4</v>
      </c>
      <c r="FQ19" s="47">
        <f t="shared" si="20"/>
        <v>1618</v>
      </c>
      <c r="FR19" s="47">
        <f t="shared" si="21"/>
        <v>1150</v>
      </c>
      <c r="FS19" s="47"/>
      <c r="FT19" s="47">
        <f t="shared" si="6"/>
        <v>95698</v>
      </c>
      <c r="FU19" s="47">
        <f t="shared" si="7"/>
        <v>7200</v>
      </c>
      <c r="FV19" s="47">
        <f t="shared" si="22"/>
        <v>102898</v>
      </c>
      <c r="FX19" s="242">
        <f t="shared" si="8"/>
        <v>4.9698008317833185E-2</v>
      </c>
      <c r="FY19" s="242">
        <f t="shared" si="9"/>
        <v>0.19390164893728187</v>
      </c>
      <c r="FZ19" s="242">
        <f t="shared" si="10"/>
        <v>2.0063115216618949E-3</v>
      </c>
      <c r="GA19" s="242">
        <f t="shared" si="11"/>
        <v>0.24560596877677696</v>
      </c>
      <c r="GB19" s="242">
        <f t="shared" si="12"/>
        <v>0.19590796045894376</v>
      </c>
      <c r="GC19" s="47"/>
      <c r="GD19" s="242">
        <f t="shared" si="13"/>
        <v>6.5000000000000002E-2</v>
      </c>
      <c r="GE19" s="242">
        <f t="shared" si="14"/>
        <v>0.15916666666666668</v>
      </c>
      <c r="GF19" s="242">
        <f t="shared" si="15"/>
        <v>5.5555555555555556E-4</v>
      </c>
      <c r="GG19" s="600">
        <f t="shared" si="16"/>
        <v>0.22472222222222221</v>
      </c>
      <c r="GH19" s="242">
        <f t="shared" si="17"/>
        <v>0.15972222222222221</v>
      </c>
      <c r="GJ19" s="689"/>
      <c r="GK19" s="690"/>
      <c r="GL19" s="690"/>
      <c r="GM19" s="690"/>
      <c r="GN19" s="690"/>
      <c r="GO19" s="690"/>
      <c r="GP19" s="691"/>
      <c r="GV19">
        <v>1995</v>
      </c>
      <c r="GX19" s="47">
        <f t="shared" si="23"/>
        <v>95698</v>
      </c>
      <c r="HB19" s="47">
        <f t="shared" si="24"/>
        <v>7200</v>
      </c>
      <c r="HK19" s="242">
        <f t="shared" si="25"/>
        <v>0.19590796045894376</v>
      </c>
      <c r="HO19" s="242">
        <f t="shared" si="26"/>
        <v>0.15972222222222221</v>
      </c>
      <c r="HW19">
        <v>1995</v>
      </c>
    </row>
    <row r="20" spans="2:231" ht="15.75" customHeight="1" thickBot="1" x14ac:dyDescent="0.3">
      <c r="B20" s="658"/>
      <c r="C20" s="4" t="s">
        <v>40</v>
      </c>
      <c r="D20" s="8" t="s">
        <v>31</v>
      </c>
      <c r="E20" s="5">
        <v>0.16</v>
      </c>
      <c r="F20" s="4"/>
      <c r="G20" s="5"/>
      <c r="H20" s="4"/>
      <c r="I20" s="4"/>
      <c r="J20" s="4"/>
      <c r="K20" s="4"/>
      <c r="L20" s="4"/>
      <c r="M20" s="4"/>
      <c r="AP20">
        <v>1978</v>
      </c>
      <c r="AQ20" s="47">
        <v>198.44800000000001</v>
      </c>
      <c r="AR20" s="47">
        <v>109.051</v>
      </c>
      <c r="AS20" s="47">
        <v>307.49900000000002</v>
      </c>
      <c r="AT20" s="596">
        <v>0.82830403830501753</v>
      </c>
      <c r="AU20" s="47">
        <v>1155.8105271721095</v>
      </c>
      <c r="AV20" s="47">
        <v>635.14015660851055</v>
      </c>
      <c r="AW20" s="47">
        <v>1790.95068378062</v>
      </c>
      <c r="AX20" s="47">
        <v>11.139000000000001</v>
      </c>
      <c r="AY20" s="460">
        <v>0.82830403830501753</v>
      </c>
      <c r="AZ20">
        <v>64.876307456714756</v>
      </c>
      <c r="BB20">
        <v>1978</v>
      </c>
      <c r="BC20">
        <v>0</v>
      </c>
      <c r="BD20">
        <v>0</v>
      </c>
      <c r="BE20">
        <v>0</v>
      </c>
      <c r="BF20">
        <v>0.73599999999999999</v>
      </c>
      <c r="BG20">
        <v>0.47299999999999998</v>
      </c>
      <c r="BH20">
        <v>1.2090000000000001</v>
      </c>
      <c r="BI20">
        <v>0.73599999999999999</v>
      </c>
      <c r="BJ20">
        <v>0.47299999999999998</v>
      </c>
      <c r="BK20">
        <v>1.2090000000000001</v>
      </c>
      <c r="BL20">
        <v>736</v>
      </c>
      <c r="BM20">
        <v>473</v>
      </c>
      <c r="BN20">
        <v>1.2090000000000001</v>
      </c>
      <c r="BP20">
        <v>2007</v>
      </c>
      <c r="BQ20">
        <v>30.193000000000001</v>
      </c>
      <c r="BR20">
        <v>9.2370000000000001</v>
      </c>
      <c r="BS20">
        <v>349.02227530538073</v>
      </c>
      <c r="BT20" s="460">
        <v>8.6507372555468892E-2</v>
      </c>
      <c r="BU20" s="460">
        <v>2.6465359530184682E-2</v>
      </c>
      <c r="BV20" s="460">
        <v>0.11297273208565357</v>
      </c>
      <c r="BX20">
        <v>1978</v>
      </c>
      <c r="BY20">
        <v>126373</v>
      </c>
      <c r="BZ20">
        <v>1942</v>
      </c>
      <c r="CA20">
        <v>35500</v>
      </c>
      <c r="CB20">
        <v>736</v>
      </c>
      <c r="CC20">
        <v>473</v>
      </c>
      <c r="CD20">
        <v>66044</v>
      </c>
      <c r="CE20">
        <v>3353</v>
      </c>
      <c r="CF20">
        <v>73078</v>
      </c>
      <c r="CG20">
        <v>0</v>
      </c>
      <c r="CH20">
        <v>0</v>
      </c>
      <c r="CI20">
        <v>192417</v>
      </c>
      <c r="CJ20">
        <v>5295</v>
      </c>
      <c r="CK20">
        <v>108578</v>
      </c>
      <c r="CL20">
        <v>736</v>
      </c>
      <c r="CM20">
        <v>473</v>
      </c>
      <c r="CN20">
        <v>307499</v>
      </c>
      <c r="CO20">
        <v>1978</v>
      </c>
      <c r="CP20">
        <v>198448</v>
      </c>
      <c r="CQ20">
        <v>109051</v>
      </c>
      <c r="CS20" t="b">
        <v>1</v>
      </c>
      <c r="CT20" t="b">
        <v>1</v>
      </c>
      <c r="CV20">
        <v>1978</v>
      </c>
      <c r="CW20">
        <v>1598.7850000000001</v>
      </c>
      <c r="CX20">
        <v>331.40600000000001</v>
      </c>
      <c r="CY20">
        <v>1930.191</v>
      </c>
      <c r="CZ20">
        <v>0.82830403830501753</v>
      </c>
      <c r="DD20">
        <v>1978</v>
      </c>
      <c r="DE20" s="47">
        <v>126373</v>
      </c>
      <c r="DF20" s="47">
        <v>1942</v>
      </c>
      <c r="DG20" s="47">
        <v>35500</v>
      </c>
      <c r="DH20" s="47">
        <v>736</v>
      </c>
      <c r="DI20" s="47">
        <v>473</v>
      </c>
      <c r="DJ20" s="47">
        <v>66044</v>
      </c>
      <c r="DK20" s="47">
        <v>3353</v>
      </c>
      <c r="DL20" s="47">
        <v>73078</v>
      </c>
      <c r="DM20" s="130" t="s">
        <v>728</v>
      </c>
      <c r="DN20" s="130" t="s">
        <v>728</v>
      </c>
      <c r="DO20" s="47">
        <v>192417</v>
      </c>
      <c r="DP20" s="47">
        <v>5295</v>
      </c>
      <c r="DQ20" s="47">
        <v>108578</v>
      </c>
      <c r="DR20" s="47">
        <v>736</v>
      </c>
      <c r="DS20" s="47">
        <v>473</v>
      </c>
      <c r="DT20" s="47">
        <v>307499</v>
      </c>
      <c r="DV20" s="47">
        <f t="shared" si="30"/>
        <v>163815</v>
      </c>
      <c r="DW20" s="47">
        <f t="shared" si="27"/>
        <v>142475</v>
      </c>
      <c r="DX20" s="47">
        <f t="shared" si="28"/>
        <v>306290</v>
      </c>
      <c r="DY20" s="242">
        <f t="shared" si="31"/>
        <v>0.46516373371641256</v>
      </c>
      <c r="DZ20" s="276">
        <v>1978</v>
      </c>
      <c r="EA20" s="47">
        <f t="shared" si="29"/>
        <v>1209</v>
      </c>
      <c r="EC20" s="47"/>
      <c r="EF20" s="276">
        <v>1978</v>
      </c>
      <c r="EK20">
        <v>1996</v>
      </c>
      <c r="EL20">
        <v>634</v>
      </c>
      <c r="EM20">
        <v>3466</v>
      </c>
      <c r="EN20">
        <v>100</v>
      </c>
      <c r="EO20">
        <v>13872</v>
      </c>
      <c r="EP20">
        <v>52115</v>
      </c>
      <c r="EQ20">
        <v>70187</v>
      </c>
      <c r="ER20">
        <v>276</v>
      </c>
      <c r="ES20">
        <v>1042</v>
      </c>
      <c r="ET20">
        <v>0</v>
      </c>
      <c r="EU20">
        <v>15030</v>
      </c>
      <c r="EV20">
        <v>1412</v>
      </c>
      <c r="EW20">
        <v>17760</v>
      </c>
      <c r="EX20">
        <v>910</v>
      </c>
      <c r="EY20">
        <v>4508</v>
      </c>
      <c r="EZ20">
        <v>100</v>
      </c>
      <c r="FA20">
        <v>28902</v>
      </c>
      <c r="FB20">
        <v>53527</v>
      </c>
      <c r="FC20">
        <v>87947</v>
      </c>
      <c r="FD20">
        <v>89886</v>
      </c>
      <c r="FE20">
        <v>45694</v>
      </c>
      <c r="FG20">
        <v>1996</v>
      </c>
      <c r="FH20" s="47">
        <f t="shared" si="0"/>
        <v>3216</v>
      </c>
      <c r="FI20" s="47">
        <f t="shared" si="1"/>
        <v>12856</v>
      </c>
      <c r="FJ20" s="47">
        <f t="shared" si="2"/>
        <v>100</v>
      </c>
      <c r="FK20" s="47">
        <f t="shared" si="18"/>
        <v>16172</v>
      </c>
      <c r="FL20" s="47">
        <f t="shared" si="19"/>
        <v>12956</v>
      </c>
      <c r="FM20" s="47"/>
      <c r="FN20" s="47">
        <f t="shared" si="3"/>
        <v>252</v>
      </c>
      <c r="FO20" s="47">
        <f t="shared" si="4"/>
        <v>954</v>
      </c>
      <c r="FP20" s="47">
        <f t="shared" si="5"/>
        <v>2</v>
      </c>
      <c r="FQ20" s="47">
        <f t="shared" si="20"/>
        <v>1208</v>
      </c>
      <c r="FR20" s="47">
        <f t="shared" si="21"/>
        <v>956</v>
      </c>
      <c r="FS20" s="47"/>
      <c r="FT20" s="47">
        <f t="shared" si="6"/>
        <v>129397</v>
      </c>
      <c r="FU20" s="47">
        <f t="shared" si="7"/>
        <v>6183</v>
      </c>
      <c r="FV20" s="47">
        <f t="shared" si="22"/>
        <v>135580</v>
      </c>
      <c r="FX20" s="242">
        <f t="shared" si="8"/>
        <v>2.4853744677233631E-2</v>
      </c>
      <c r="FY20" s="242">
        <f t="shared" si="9"/>
        <v>9.9353153473419012E-2</v>
      </c>
      <c r="FZ20" s="242">
        <f t="shared" si="10"/>
        <v>7.7281544394383172E-4</v>
      </c>
      <c r="GA20" s="242">
        <f t="shared" si="11"/>
        <v>0.12497971359459648</v>
      </c>
      <c r="GB20" s="242">
        <f t="shared" si="12"/>
        <v>0.10012596891736285</v>
      </c>
      <c r="GC20" s="47"/>
      <c r="GD20" s="242">
        <f t="shared" si="13"/>
        <v>4.0756914119359534E-2</v>
      </c>
      <c r="GE20" s="242">
        <f t="shared" si="14"/>
        <v>0.15429403202328967</v>
      </c>
      <c r="GF20" s="242">
        <f t="shared" si="15"/>
        <v>3.2346757237586933E-4</v>
      </c>
      <c r="GG20" s="600">
        <f t="shared" si="16"/>
        <v>0.19537441371502506</v>
      </c>
      <c r="GH20" s="242">
        <f t="shared" si="17"/>
        <v>0.15461749959566554</v>
      </c>
      <c r="GV20">
        <v>1996</v>
      </c>
      <c r="GX20" s="47">
        <f t="shared" si="23"/>
        <v>129397</v>
      </c>
      <c r="HB20" s="47">
        <f t="shared" si="24"/>
        <v>6183</v>
      </c>
      <c r="HK20" s="242">
        <f t="shared" si="25"/>
        <v>0.10012596891736285</v>
      </c>
      <c r="HO20" s="242">
        <f t="shared" si="26"/>
        <v>0.15461749959566554</v>
      </c>
      <c r="HW20">
        <v>1996</v>
      </c>
    </row>
    <row r="21" spans="2:231" ht="15.75" customHeight="1" thickBot="1" x14ac:dyDescent="0.3">
      <c r="B21" s="658"/>
      <c r="C21" s="7"/>
      <c r="D21" s="9" t="s">
        <v>32</v>
      </c>
      <c r="E21" s="4"/>
      <c r="F21" s="4"/>
      <c r="G21" s="5"/>
      <c r="H21" s="4"/>
      <c r="I21" s="4"/>
      <c r="J21" s="4"/>
      <c r="K21" s="4"/>
      <c r="L21" s="4"/>
      <c r="M21" s="4"/>
      <c r="AP21">
        <v>1979</v>
      </c>
      <c r="AQ21" s="47">
        <v>186.21099999999998</v>
      </c>
      <c r="AR21" s="47">
        <v>90.269000000000005</v>
      </c>
      <c r="AS21" s="47">
        <v>276.48</v>
      </c>
      <c r="AT21" s="596">
        <v>0.79910794646486683</v>
      </c>
      <c r="AU21" s="47">
        <v>926.92068562798738</v>
      </c>
      <c r="AV21" s="47">
        <v>449.3408196666835</v>
      </c>
      <c r="AW21" s="47">
        <v>1376.2615052946708</v>
      </c>
      <c r="AX21" s="47">
        <v>27.003</v>
      </c>
      <c r="AY21" s="460">
        <v>0.79910794646486683</v>
      </c>
      <c r="AZ21">
        <v>134.41547101950232</v>
      </c>
      <c r="BB21">
        <v>1979</v>
      </c>
      <c r="BC21">
        <v>0</v>
      </c>
      <c r="BD21">
        <v>0</v>
      </c>
      <c r="BE21">
        <v>0</v>
      </c>
      <c r="BF21">
        <v>1.33</v>
      </c>
      <c r="BG21">
        <v>1.32</v>
      </c>
      <c r="BH21">
        <v>2.6500000000000004</v>
      </c>
      <c r="BI21">
        <v>1.33</v>
      </c>
      <c r="BJ21">
        <v>1.32</v>
      </c>
      <c r="BK21">
        <v>2.6500000000000004</v>
      </c>
      <c r="BL21">
        <v>1330</v>
      </c>
      <c r="BM21">
        <v>1320</v>
      </c>
      <c r="BN21">
        <v>2.65</v>
      </c>
      <c r="BP21">
        <v>2008</v>
      </c>
      <c r="BQ21">
        <v>13.107000000000001</v>
      </c>
      <c r="BR21">
        <v>10.821000000000002</v>
      </c>
      <c r="BS21">
        <v>520.76386864967367</v>
      </c>
      <c r="BT21" s="460">
        <v>2.5168796817617339E-2</v>
      </c>
      <c r="BU21" s="460">
        <v>2.0779091352974538E-2</v>
      </c>
      <c r="BV21" s="460">
        <v>4.594788817059188E-2</v>
      </c>
      <c r="BX21">
        <v>1979</v>
      </c>
      <c r="BY21">
        <v>101324.99999999999</v>
      </c>
      <c r="BZ21">
        <v>5487</v>
      </c>
      <c r="CA21">
        <v>27195.999999999996</v>
      </c>
      <c r="CB21">
        <v>1330</v>
      </c>
      <c r="CC21">
        <v>1320</v>
      </c>
      <c r="CD21">
        <v>55527</v>
      </c>
      <c r="CE21">
        <v>22542</v>
      </c>
      <c r="CF21">
        <v>61753</v>
      </c>
      <c r="CG21">
        <v>0</v>
      </c>
      <c r="CH21">
        <v>0</v>
      </c>
      <c r="CI21">
        <v>156852</v>
      </c>
      <c r="CJ21">
        <v>28029</v>
      </c>
      <c r="CK21">
        <v>88949</v>
      </c>
      <c r="CL21">
        <v>1330</v>
      </c>
      <c r="CM21">
        <v>1320</v>
      </c>
      <c r="CN21">
        <v>276480</v>
      </c>
      <c r="CO21">
        <v>1979</v>
      </c>
      <c r="CP21">
        <v>186211</v>
      </c>
      <c r="CQ21">
        <v>90269</v>
      </c>
      <c r="CS21" t="b">
        <v>1</v>
      </c>
      <c r="CT21" t="b">
        <v>1</v>
      </c>
      <c r="CV21">
        <v>1979</v>
      </c>
      <c r="CW21">
        <v>1340.665</v>
      </c>
      <c r="CX21">
        <v>337.03700000000003</v>
      </c>
      <c r="CY21">
        <v>1677.702</v>
      </c>
      <c r="CZ21">
        <v>0.79910794646486683</v>
      </c>
      <c r="DD21">
        <v>1979</v>
      </c>
      <c r="DE21" s="47">
        <v>101324.99999999999</v>
      </c>
      <c r="DF21" s="47">
        <v>5487</v>
      </c>
      <c r="DG21" s="47">
        <v>27195.999999999996</v>
      </c>
      <c r="DH21" s="47">
        <v>1330</v>
      </c>
      <c r="DI21" s="47">
        <v>1320</v>
      </c>
      <c r="DJ21" s="47">
        <v>55527</v>
      </c>
      <c r="DK21" s="47">
        <v>22542</v>
      </c>
      <c r="DL21" s="47">
        <v>61753</v>
      </c>
      <c r="DM21" s="130" t="s">
        <v>728</v>
      </c>
      <c r="DN21" s="130" t="s">
        <v>728</v>
      </c>
      <c r="DO21" s="47">
        <v>156852</v>
      </c>
      <c r="DP21" s="47">
        <v>28029</v>
      </c>
      <c r="DQ21" s="47">
        <v>88949</v>
      </c>
      <c r="DR21" s="47">
        <v>1330</v>
      </c>
      <c r="DS21" s="47">
        <v>1320</v>
      </c>
      <c r="DT21" s="47">
        <v>276480</v>
      </c>
      <c r="DV21" s="47">
        <f t="shared" si="30"/>
        <v>134007.99999999997</v>
      </c>
      <c r="DW21" s="47">
        <f t="shared" si="27"/>
        <v>139822</v>
      </c>
      <c r="DX21" s="47">
        <f t="shared" si="28"/>
        <v>273830</v>
      </c>
      <c r="DY21" s="242">
        <f t="shared" si="31"/>
        <v>0.51061607566738487</v>
      </c>
      <c r="DZ21" s="276">
        <v>1979</v>
      </c>
      <c r="EA21" s="47">
        <f t="shared" si="29"/>
        <v>2650</v>
      </c>
      <c r="EC21" s="47"/>
      <c r="EF21" s="276">
        <v>1979</v>
      </c>
      <c r="EK21">
        <v>1997</v>
      </c>
      <c r="EL21">
        <v>0</v>
      </c>
      <c r="EM21">
        <v>1082</v>
      </c>
      <c r="EN21">
        <v>26</v>
      </c>
      <c r="EO21">
        <v>20496</v>
      </c>
      <c r="EP21">
        <v>58149</v>
      </c>
      <c r="EQ21">
        <v>79753</v>
      </c>
      <c r="ER21">
        <v>0</v>
      </c>
      <c r="ES21">
        <v>218</v>
      </c>
      <c r="ET21">
        <v>4</v>
      </c>
      <c r="EU21">
        <v>17852</v>
      </c>
      <c r="EV21">
        <v>915</v>
      </c>
      <c r="EW21">
        <v>18989</v>
      </c>
      <c r="EX21">
        <v>0</v>
      </c>
      <c r="EY21">
        <v>1300</v>
      </c>
      <c r="EZ21">
        <v>30</v>
      </c>
      <c r="FA21">
        <v>38348</v>
      </c>
      <c r="FB21">
        <v>59064</v>
      </c>
      <c r="FC21">
        <v>98742</v>
      </c>
      <c r="FD21">
        <v>103992</v>
      </c>
      <c r="FE21">
        <v>68968</v>
      </c>
      <c r="FG21">
        <v>1997</v>
      </c>
      <c r="FH21" s="47">
        <f t="shared" si="0"/>
        <v>70</v>
      </c>
      <c r="FI21" s="47">
        <f t="shared" si="1"/>
        <v>13342</v>
      </c>
      <c r="FJ21" s="47">
        <f t="shared" si="2"/>
        <v>30</v>
      </c>
      <c r="FK21" s="47">
        <f t="shared" si="18"/>
        <v>13442</v>
      </c>
      <c r="FL21" s="47">
        <f t="shared" si="19"/>
        <v>13372</v>
      </c>
      <c r="FM21" s="47"/>
      <c r="FN21" s="47">
        <f t="shared" si="3"/>
        <v>8</v>
      </c>
      <c r="FO21" s="47">
        <f t="shared" si="4"/>
        <v>1426</v>
      </c>
      <c r="FP21" s="47">
        <f t="shared" si="5"/>
        <v>0</v>
      </c>
      <c r="FQ21" s="47">
        <f t="shared" si="20"/>
        <v>1434</v>
      </c>
      <c r="FR21" s="47">
        <f t="shared" si="21"/>
        <v>1426</v>
      </c>
      <c r="FS21" s="47"/>
      <c r="FT21" s="47">
        <f t="shared" si="6"/>
        <v>160762</v>
      </c>
      <c r="FU21" s="47">
        <f t="shared" si="7"/>
        <v>12198</v>
      </c>
      <c r="FV21" s="47">
        <f t="shared" si="22"/>
        <v>172960</v>
      </c>
      <c r="FX21" s="242">
        <f t="shared" si="8"/>
        <v>4.3542628233040145E-4</v>
      </c>
      <c r="FY21" s="242">
        <f t="shared" si="9"/>
        <v>8.2992249412174521E-2</v>
      </c>
      <c r="FZ21" s="242">
        <f t="shared" si="10"/>
        <v>1.8661126385588635E-4</v>
      </c>
      <c r="GA21" s="242">
        <f t="shared" si="11"/>
        <v>8.3614286958360803E-2</v>
      </c>
      <c r="GB21" s="242">
        <f t="shared" si="12"/>
        <v>8.3178860676030406E-2</v>
      </c>
      <c r="GC21" s="47"/>
      <c r="GD21" s="242">
        <f t="shared" si="13"/>
        <v>6.5584522052795544E-4</v>
      </c>
      <c r="GE21" s="242">
        <f t="shared" si="14"/>
        <v>0.11690441055910805</v>
      </c>
      <c r="GF21" s="242">
        <f t="shared" si="15"/>
        <v>0</v>
      </c>
      <c r="GG21" s="600">
        <f t="shared" si="16"/>
        <v>0.11756025577963601</v>
      </c>
      <c r="GH21" s="242">
        <f t="shared" si="17"/>
        <v>0.11690441055910805</v>
      </c>
      <c r="GJ21" s="692" t="s">
        <v>687</v>
      </c>
      <c r="GK21" s="693"/>
      <c r="GL21" s="693"/>
      <c r="GM21" s="693"/>
      <c r="GN21" s="693"/>
      <c r="GO21" s="693"/>
      <c r="GP21" s="694"/>
      <c r="GV21">
        <v>1997</v>
      </c>
      <c r="GX21" s="47">
        <f t="shared" si="23"/>
        <v>160762</v>
      </c>
      <c r="HB21" s="47">
        <f t="shared" si="24"/>
        <v>12198</v>
      </c>
      <c r="HK21" s="242">
        <f t="shared" si="25"/>
        <v>8.3178860676030406E-2</v>
      </c>
      <c r="HO21" s="242">
        <f t="shared" si="26"/>
        <v>0.11690441055910805</v>
      </c>
      <c r="HW21">
        <v>1997</v>
      </c>
    </row>
    <row r="22" spans="2:231" ht="15.75" customHeight="1" thickBot="1" x14ac:dyDescent="0.3">
      <c r="B22" s="658"/>
      <c r="C22" s="7" t="s">
        <v>41</v>
      </c>
      <c r="D22" s="8" t="s">
        <v>31</v>
      </c>
      <c r="E22" s="15">
        <v>1E-3</v>
      </c>
      <c r="F22" s="4"/>
      <c r="G22" s="5"/>
      <c r="H22" s="4"/>
      <c r="I22" s="4"/>
      <c r="J22" s="4"/>
      <c r="K22" s="4"/>
      <c r="L22" s="4"/>
      <c r="M22" s="4"/>
      <c r="AP22">
        <v>1980</v>
      </c>
      <c r="AQ22" s="47">
        <v>160.30000000000001</v>
      </c>
      <c r="AR22" s="47">
        <v>141.29300000000001</v>
      </c>
      <c r="AS22" s="47">
        <v>301.59300000000002</v>
      </c>
      <c r="AT22" s="596">
        <v>0.73721479626474229</v>
      </c>
      <c r="AU22" s="47">
        <v>610.00390326958382</v>
      </c>
      <c r="AV22" s="47">
        <v>537.67486902476173</v>
      </c>
      <c r="AW22" s="47">
        <v>1147.6787722943454</v>
      </c>
      <c r="AX22" s="47">
        <v>28.169</v>
      </c>
      <c r="AY22" s="460">
        <v>0.73721479626474229</v>
      </c>
      <c r="AZ22">
        <v>107.19401092452217</v>
      </c>
      <c r="BB22">
        <v>1980</v>
      </c>
      <c r="BC22">
        <v>0</v>
      </c>
      <c r="BD22">
        <v>0</v>
      </c>
      <c r="BE22">
        <v>0</v>
      </c>
      <c r="BF22">
        <v>0.77</v>
      </c>
      <c r="BG22">
        <v>3.0670000000000002</v>
      </c>
      <c r="BH22">
        <v>3.8370000000000002</v>
      </c>
      <c r="BI22">
        <v>0.77</v>
      </c>
      <c r="BJ22">
        <v>3.0670000000000002</v>
      </c>
      <c r="BK22">
        <v>3.8370000000000002</v>
      </c>
      <c r="BL22">
        <v>770</v>
      </c>
      <c r="BM22">
        <v>3067</v>
      </c>
      <c r="BN22">
        <v>3.8370000000000002</v>
      </c>
      <c r="BP22">
        <v>2009</v>
      </c>
      <c r="BQ22">
        <v>43.817</v>
      </c>
      <c r="BR22">
        <v>52.115000000000009</v>
      </c>
      <c r="BS22">
        <v>760.16100000000006</v>
      </c>
      <c r="BT22" s="460">
        <v>5.7641736421626469E-2</v>
      </c>
      <c r="BU22" s="460">
        <v>6.8557844982839164E-2</v>
      </c>
      <c r="BV22" s="460">
        <v>0.12619958140446563</v>
      </c>
      <c r="BX22">
        <v>1980</v>
      </c>
      <c r="BY22">
        <v>83323</v>
      </c>
      <c r="BZ22">
        <v>1127</v>
      </c>
      <c r="CA22">
        <v>52005</v>
      </c>
      <c r="CB22">
        <v>770</v>
      </c>
      <c r="CC22">
        <v>3067</v>
      </c>
      <c r="CD22">
        <v>62554</v>
      </c>
      <c r="CE22">
        <v>12526</v>
      </c>
      <c r="CF22">
        <v>86221</v>
      </c>
      <c r="CG22">
        <v>0</v>
      </c>
      <c r="CH22">
        <v>0</v>
      </c>
      <c r="CI22">
        <v>145877</v>
      </c>
      <c r="CJ22">
        <v>13653</v>
      </c>
      <c r="CK22">
        <v>138226</v>
      </c>
      <c r="CL22">
        <v>770</v>
      </c>
      <c r="CM22">
        <v>3067</v>
      </c>
      <c r="CN22">
        <v>301593</v>
      </c>
      <c r="CO22">
        <v>1980</v>
      </c>
      <c r="CP22">
        <v>160300</v>
      </c>
      <c r="CQ22">
        <v>141293</v>
      </c>
      <c r="CS22" t="b">
        <v>1</v>
      </c>
      <c r="CT22" t="b">
        <v>1</v>
      </c>
      <c r="CV22">
        <v>1980</v>
      </c>
      <c r="CW22">
        <v>982.95510499999989</v>
      </c>
      <c r="CX22">
        <v>350.38100000000003</v>
      </c>
      <c r="CY22">
        <v>1333.3361049999999</v>
      </c>
      <c r="CZ22">
        <v>0.73721479626474229</v>
      </c>
      <c r="DD22">
        <v>1980</v>
      </c>
      <c r="DE22" s="47">
        <v>83323</v>
      </c>
      <c r="DF22" s="47">
        <v>1127</v>
      </c>
      <c r="DG22" s="47">
        <v>52005</v>
      </c>
      <c r="DH22" s="47">
        <v>770</v>
      </c>
      <c r="DI22" s="47">
        <v>3067</v>
      </c>
      <c r="DJ22" s="47">
        <v>62554</v>
      </c>
      <c r="DK22" s="47">
        <v>12526</v>
      </c>
      <c r="DL22" s="47">
        <v>86221</v>
      </c>
      <c r="DM22" s="130" t="s">
        <v>728</v>
      </c>
      <c r="DN22" s="130" t="s">
        <v>728</v>
      </c>
      <c r="DO22" s="47">
        <v>145877</v>
      </c>
      <c r="DP22" s="47">
        <v>13653</v>
      </c>
      <c r="DQ22" s="47">
        <v>138226</v>
      </c>
      <c r="DR22" s="47">
        <v>770</v>
      </c>
      <c r="DS22" s="47">
        <v>3067</v>
      </c>
      <c r="DT22" s="47">
        <v>301593</v>
      </c>
      <c r="DV22" s="47">
        <f t="shared" si="30"/>
        <v>136455</v>
      </c>
      <c r="DW22" s="47">
        <f t="shared" si="27"/>
        <v>161301</v>
      </c>
      <c r="DX22" s="47">
        <f t="shared" si="28"/>
        <v>297756</v>
      </c>
      <c r="DY22" s="242">
        <f t="shared" si="31"/>
        <v>0.54172208116713017</v>
      </c>
      <c r="DZ22" s="276">
        <v>1980</v>
      </c>
      <c r="EA22" s="47">
        <f t="shared" si="29"/>
        <v>3837</v>
      </c>
      <c r="EC22" s="47"/>
      <c r="EF22" s="276">
        <v>1980</v>
      </c>
      <c r="EK22">
        <v>1998</v>
      </c>
      <c r="EL22">
        <v>5</v>
      </c>
      <c r="EM22">
        <v>6265</v>
      </c>
      <c r="EN22">
        <v>1988</v>
      </c>
      <c r="EO22">
        <v>15746</v>
      </c>
      <c r="EP22">
        <v>89247</v>
      </c>
      <c r="EQ22">
        <v>113251</v>
      </c>
      <c r="ER22">
        <v>0</v>
      </c>
      <c r="ES22">
        <v>982</v>
      </c>
      <c r="ET22">
        <v>503</v>
      </c>
      <c r="EU22">
        <v>16818</v>
      </c>
      <c r="EV22">
        <v>904</v>
      </c>
      <c r="EW22">
        <v>19207</v>
      </c>
      <c r="EX22">
        <v>5</v>
      </c>
      <c r="EY22">
        <v>7247</v>
      </c>
      <c r="EZ22">
        <v>2491</v>
      </c>
      <c r="FA22">
        <v>32564</v>
      </c>
      <c r="FB22">
        <v>90151</v>
      </c>
      <c r="FC22">
        <v>132458</v>
      </c>
      <c r="FD22">
        <v>136331</v>
      </c>
      <c r="FE22">
        <v>59927</v>
      </c>
      <c r="FG22">
        <v>1998</v>
      </c>
      <c r="FH22" s="47">
        <f t="shared" si="0"/>
        <v>6</v>
      </c>
      <c r="FI22" s="47">
        <f t="shared" si="1"/>
        <v>11618</v>
      </c>
      <c r="FJ22" s="47">
        <f t="shared" si="2"/>
        <v>2938</v>
      </c>
      <c r="FK22" s="47">
        <f t="shared" si="18"/>
        <v>14562</v>
      </c>
      <c r="FL22" s="47">
        <f t="shared" si="19"/>
        <v>14556</v>
      </c>
      <c r="FM22" s="47"/>
      <c r="FN22" s="47">
        <f t="shared" si="3"/>
        <v>0</v>
      </c>
      <c r="FO22" s="47">
        <f t="shared" si="4"/>
        <v>393</v>
      </c>
      <c r="FP22" s="47">
        <f t="shared" si="5"/>
        <v>111</v>
      </c>
      <c r="FQ22" s="47">
        <f t="shared" si="20"/>
        <v>504</v>
      </c>
      <c r="FR22" s="47">
        <f t="shared" si="21"/>
        <v>504</v>
      </c>
      <c r="FS22" s="47"/>
      <c r="FT22" s="47">
        <f t="shared" si="6"/>
        <v>186734</v>
      </c>
      <c r="FU22" s="47">
        <f t="shared" si="7"/>
        <v>9524</v>
      </c>
      <c r="FV22" s="47">
        <f t="shared" si="22"/>
        <v>196258</v>
      </c>
      <c r="FX22" s="242">
        <f t="shared" si="8"/>
        <v>3.2131266935855284E-5</v>
      </c>
      <c r="FY22" s="242">
        <f t="shared" si="9"/>
        <v>6.2216843210127777E-2</v>
      </c>
      <c r="FZ22" s="242">
        <f t="shared" si="10"/>
        <v>1.5733610376257135E-2</v>
      </c>
      <c r="GA22" s="242">
        <f t="shared" si="11"/>
        <v>7.7982584853320769E-2</v>
      </c>
      <c r="GB22" s="242">
        <f t="shared" si="12"/>
        <v>7.7950453586384916E-2</v>
      </c>
      <c r="GC22" s="47"/>
      <c r="GD22" s="242">
        <f t="shared" si="13"/>
        <v>0</v>
      </c>
      <c r="GE22" s="242">
        <f t="shared" si="14"/>
        <v>4.1264174716505668E-2</v>
      </c>
      <c r="GF22" s="242">
        <f t="shared" si="15"/>
        <v>1.1654766904661907E-2</v>
      </c>
      <c r="GG22" s="600">
        <f t="shared" si="16"/>
        <v>5.291894162116758E-2</v>
      </c>
      <c r="GH22" s="242">
        <f t="shared" si="17"/>
        <v>5.291894162116758E-2</v>
      </c>
      <c r="GJ22" s="695"/>
      <c r="GK22" s="696"/>
      <c r="GL22" s="696"/>
      <c r="GM22" s="696"/>
      <c r="GN22" s="696"/>
      <c r="GO22" s="696"/>
      <c r="GP22" s="697"/>
      <c r="GV22">
        <v>1998</v>
      </c>
      <c r="GX22" s="47">
        <f t="shared" si="23"/>
        <v>186734</v>
      </c>
      <c r="HB22" s="47">
        <f t="shared" si="24"/>
        <v>9524</v>
      </c>
      <c r="HK22" s="242">
        <f t="shared" si="25"/>
        <v>7.7950453586384916E-2</v>
      </c>
      <c r="HO22" s="242">
        <f t="shared" si="26"/>
        <v>5.291894162116758E-2</v>
      </c>
      <c r="HW22">
        <v>1998</v>
      </c>
    </row>
    <row r="23" spans="2:231" ht="15.75" customHeight="1" thickBot="1" x14ac:dyDescent="0.3">
      <c r="B23" s="659"/>
      <c r="C23" s="7"/>
      <c r="D23" s="9" t="s">
        <v>32</v>
      </c>
      <c r="E23" s="4"/>
      <c r="F23" s="4"/>
      <c r="G23" s="5"/>
      <c r="H23" s="4"/>
      <c r="I23" s="4"/>
      <c r="J23" s="4"/>
      <c r="K23" s="4"/>
      <c r="L23" s="4"/>
      <c r="M23" s="4"/>
      <c r="AP23">
        <v>1981</v>
      </c>
      <c r="AQ23" s="47">
        <v>100.22200000000001</v>
      </c>
      <c r="AR23" s="47">
        <v>70.024000000000001</v>
      </c>
      <c r="AS23" s="47">
        <v>170.24600000000001</v>
      </c>
      <c r="AT23" s="596">
        <v>0.8162683035340087</v>
      </c>
      <c r="AU23" s="47">
        <v>545.48018620483958</v>
      </c>
      <c r="AV23" s="47">
        <v>381.12095706339613</v>
      </c>
      <c r="AW23" s="47">
        <v>926.60114326823577</v>
      </c>
      <c r="AX23" s="47">
        <v>30.562000000000001</v>
      </c>
      <c r="AY23" s="460">
        <v>0.8162683035340087</v>
      </c>
      <c r="AZ23">
        <v>166.34037886683871</v>
      </c>
      <c r="BB23">
        <v>1981</v>
      </c>
      <c r="BC23">
        <v>0</v>
      </c>
      <c r="BD23">
        <v>0</v>
      </c>
      <c r="BE23">
        <v>0</v>
      </c>
      <c r="BF23">
        <v>1.3919999999999999</v>
      </c>
      <c r="BG23">
        <v>0.39800000000000002</v>
      </c>
      <c r="BH23">
        <v>1.79</v>
      </c>
      <c r="BI23">
        <v>1.3919999999999999</v>
      </c>
      <c r="BJ23">
        <v>0.39800000000000002</v>
      </c>
      <c r="BK23">
        <v>1.79</v>
      </c>
      <c r="BL23">
        <v>1392</v>
      </c>
      <c r="BM23">
        <v>398</v>
      </c>
      <c r="BN23">
        <v>1.79</v>
      </c>
      <c r="BP23">
        <v>2010</v>
      </c>
      <c r="BQ23">
        <v>18.919999999999998</v>
      </c>
      <c r="BR23">
        <v>9.5640000000000001</v>
      </c>
      <c r="BS23">
        <v>466.53000000000009</v>
      </c>
      <c r="BT23" s="460">
        <v>4.0554733886352418E-2</v>
      </c>
      <c r="BU23" s="460">
        <v>2.0500289370458488E-2</v>
      </c>
      <c r="BV23" s="460">
        <v>6.1055023256810906E-2</v>
      </c>
      <c r="BX23">
        <v>1981</v>
      </c>
      <c r="BY23">
        <v>71463</v>
      </c>
      <c r="BZ23">
        <v>916</v>
      </c>
      <c r="CA23">
        <v>28399</v>
      </c>
      <c r="CB23">
        <v>1392</v>
      </c>
      <c r="CC23">
        <v>398</v>
      </c>
      <c r="CD23">
        <v>18341</v>
      </c>
      <c r="CE23">
        <v>8109.9999999999991</v>
      </c>
      <c r="CF23">
        <v>41227</v>
      </c>
      <c r="CG23">
        <v>0</v>
      </c>
      <c r="CH23">
        <v>0</v>
      </c>
      <c r="CI23">
        <v>89804</v>
      </c>
      <c r="CJ23">
        <v>9026</v>
      </c>
      <c r="CK23">
        <v>69626</v>
      </c>
      <c r="CL23">
        <v>1392</v>
      </c>
      <c r="CM23">
        <v>398</v>
      </c>
      <c r="CN23">
        <v>170246</v>
      </c>
      <c r="CO23">
        <v>1981</v>
      </c>
      <c r="CP23">
        <v>100222</v>
      </c>
      <c r="CQ23">
        <v>70024</v>
      </c>
      <c r="CS23" t="b">
        <v>1</v>
      </c>
      <c r="CT23" t="b">
        <v>1</v>
      </c>
      <c r="CV23">
        <v>1981</v>
      </c>
      <c r="CW23">
        <v>1012.78</v>
      </c>
      <c r="CX23">
        <v>227.964</v>
      </c>
      <c r="CY23">
        <v>1240.7439999999999</v>
      </c>
      <c r="CZ23">
        <v>0.8162683035340087</v>
      </c>
      <c r="DD23">
        <v>1981</v>
      </c>
      <c r="DE23" s="47">
        <v>71463</v>
      </c>
      <c r="DF23" s="47">
        <v>916</v>
      </c>
      <c r="DG23" s="47">
        <v>28399</v>
      </c>
      <c r="DH23" s="47">
        <v>1392</v>
      </c>
      <c r="DI23" s="47">
        <v>398</v>
      </c>
      <c r="DJ23" s="47">
        <v>18341</v>
      </c>
      <c r="DK23" s="47">
        <v>8109.9999999999991</v>
      </c>
      <c r="DL23" s="47">
        <v>41227</v>
      </c>
      <c r="DM23" s="130" t="s">
        <v>728</v>
      </c>
      <c r="DN23" s="130" t="s">
        <v>728</v>
      </c>
      <c r="DO23" s="47">
        <v>89804</v>
      </c>
      <c r="DP23" s="47">
        <v>9026</v>
      </c>
      <c r="DQ23" s="47">
        <v>69626</v>
      </c>
      <c r="DR23" s="47">
        <v>1392</v>
      </c>
      <c r="DS23" s="47">
        <v>398</v>
      </c>
      <c r="DT23" s="47">
        <v>170246</v>
      </c>
      <c r="DV23" s="47">
        <f t="shared" si="30"/>
        <v>100778</v>
      </c>
      <c r="DW23" s="47">
        <f t="shared" si="27"/>
        <v>67678</v>
      </c>
      <c r="DX23" s="47">
        <f t="shared" si="28"/>
        <v>168456</v>
      </c>
      <c r="DY23" s="242">
        <f t="shared" si="31"/>
        <v>0.40175476088711592</v>
      </c>
      <c r="DZ23" s="276">
        <v>1981</v>
      </c>
      <c r="EA23" s="47">
        <f t="shared" si="29"/>
        <v>1790</v>
      </c>
      <c r="EC23" s="47"/>
      <c r="EF23" s="276">
        <v>1981</v>
      </c>
      <c r="EK23">
        <v>1999</v>
      </c>
      <c r="EL23">
        <v>56</v>
      </c>
      <c r="EM23">
        <v>14803</v>
      </c>
      <c r="EN23">
        <v>6240</v>
      </c>
      <c r="EO23">
        <v>36925</v>
      </c>
      <c r="EP23">
        <v>93086</v>
      </c>
      <c r="EQ23">
        <v>151110</v>
      </c>
      <c r="ER23">
        <v>19</v>
      </c>
      <c r="ES23">
        <v>1999</v>
      </c>
      <c r="ET23">
        <v>1179</v>
      </c>
      <c r="EU23">
        <v>16965</v>
      </c>
      <c r="EV23">
        <v>452</v>
      </c>
      <c r="EW23">
        <v>20614</v>
      </c>
      <c r="EX23">
        <v>75</v>
      </c>
      <c r="EY23">
        <v>16802</v>
      </c>
      <c r="EZ23">
        <v>7419</v>
      </c>
      <c r="FA23">
        <v>53890</v>
      </c>
      <c r="FB23">
        <v>93538</v>
      </c>
      <c r="FC23">
        <v>171724</v>
      </c>
      <c r="FD23">
        <v>179445</v>
      </c>
      <c r="FE23">
        <v>165048</v>
      </c>
      <c r="FG23">
        <v>1999</v>
      </c>
      <c r="FH23" s="47">
        <f t="shared" si="0"/>
        <v>103</v>
      </c>
      <c r="FI23" s="47">
        <f t="shared" si="1"/>
        <v>43015</v>
      </c>
      <c r="FJ23" s="47">
        <f t="shared" si="2"/>
        <v>10699</v>
      </c>
      <c r="FK23" s="47">
        <f t="shared" si="18"/>
        <v>53817</v>
      </c>
      <c r="FL23" s="47">
        <f t="shared" si="19"/>
        <v>53714</v>
      </c>
      <c r="FM23" s="47"/>
      <c r="FN23" s="47">
        <f t="shared" si="3"/>
        <v>6</v>
      </c>
      <c r="FO23" s="47">
        <f t="shared" si="4"/>
        <v>853</v>
      </c>
      <c r="FP23" s="47">
        <f t="shared" si="5"/>
        <v>394</v>
      </c>
      <c r="FQ23" s="47">
        <f t="shared" si="20"/>
        <v>1253</v>
      </c>
      <c r="FR23" s="47">
        <f t="shared" si="21"/>
        <v>1247</v>
      </c>
      <c r="FS23" s="47"/>
      <c r="FT23" s="47">
        <f t="shared" si="6"/>
        <v>320498</v>
      </c>
      <c r="FU23" s="47">
        <f t="shared" si="7"/>
        <v>23995</v>
      </c>
      <c r="FV23" s="47">
        <f t="shared" si="22"/>
        <v>344493</v>
      </c>
      <c r="FX23" s="242">
        <f t="shared" si="8"/>
        <v>3.2137486037354365E-4</v>
      </c>
      <c r="FY23" s="242">
        <f t="shared" si="9"/>
        <v>0.13421300600939787</v>
      </c>
      <c r="FZ23" s="242">
        <f t="shared" si="10"/>
        <v>3.3382423603267417E-2</v>
      </c>
      <c r="GA23" s="242">
        <f t="shared" si="11"/>
        <v>0.16791680447303883</v>
      </c>
      <c r="GB23" s="242">
        <f t="shared" si="12"/>
        <v>0.1675954296126653</v>
      </c>
      <c r="GC23" s="47"/>
      <c r="GD23" s="242">
        <f t="shared" si="13"/>
        <v>2.5005209418628882E-4</v>
      </c>
      <c r="GE23" s="242">
        <f t="shared" si="14"/>
        <v>3.5549072723484058E-2</v>
      </c>
      <c r="GF23" s="242">
        <f t="shared" si="15"/>
        <v>1.6420087518232967E-2</v>
      </c>
      <c r="GG23" s="600">
        <f t="shared" si="16"/>
        <v>5.2219212335903313E-2</v>
      </c>
      <c r="GH23" s="242">
        <f t="shared" si="17"/>
        <v>5.1969160241717022E-2</v>
      </c>
      <c r="GV23">
        <v>1999</v>
      </c>
      <c r="GX23" s="47">
        <f t="shared" si="23"/>
        <v>320498</v>
      </c>
      <c r="HB23" s="47">
        <f t="shared" si="24"/>
        <v>23995</v>
      </c>
      <c r="HK23" s="242">
        <f t="shared" si="25"/>
        <v>0.1675954296126653</v>
      </c>
      <c r="HO23" s="242">
        <f t="shared" si="26"/>
        <v>5.1969160241717022E-2</v>
      </c>
      <c r="HW23">
        <v>1999</v>
      </c>
    </row>
    <row r="24" spans="2:231" x14ac:dyDescent="0.25">
      <c r="AP24">
        <v>1982</v>
      </c>
      <c r="AQ24" s="47">
        <v>229.44200000000001</v>
      </c>
      <c r="AR24" s="47">
        <v>223.68</v>
      </c>
      <c r="AS24" s="47">
        <v>453.12200000000001</v>
      </c>
      <c r="AT24" s="596">
        <v>0.61970651376192976</v>
      </c>
      <c r="AU24" s="47">
        <v>603.32876660518286</v>
      </c>
      <c r="AV24" s="47">
        <v>588.17731066782585</v>
      </c>
      <c r="AW24" s="47">
        <v>1191.5060772730087</v>
      </c>
      <c r="AX24" s="47">
        <v>33.618000000000002</v>
      </c>
      <c r="AY24" s="460">
        <v>0.61970651376192976</v>
      </c>
      <c r="AZ24">
        <v>88.400146772312993</v>
      </c>
      <c r="BB24">
        <v>1982</v>
      </c>
      <c r="BC24">
        <v>0</v>
      </c>
      <c r="BD24">
        <v>0</v>
      </c>
      <c r="BE24">
        <v>0</v>
      </c>
      <c r="BF24">
        <v>2.161</v>
      </c>
      <c r="BG24">
        <v>1.105</v>
      </c>
      <c r="BH24">
        <v>3.266</v>
      </c>
      <c r="BI24">
        <v>2.161</v>
      </c>
      <c r="BJ24">
        <v>1.105</v>
      </c>
      <c r="BK24">
        <v>3.266</v>
      </c>
      <c r="BL24">
        <v>2161</v>
      </c>
      <c r="BM24">
        <v>1105</v>
      </c>
      <c r="BN24">
        <v>3.266</v>
      </c>
      <c r="BP24">
        <v>2011</v>
      </c>
      <c r="BQ24">
        <v>13.481999999999999</v>
      </c>
      <c r="BR24">
        <v>9.2809999999999988</v>
      </c>
      <c r="BS24">
        <v>378.05</v>
      </c>
      <c r="BT24" s="460">
        <v>3.5661949477582326E-2</v>
      </c>
      <c r="BU24" s="460">
        <v>2.4549662743023407E-2</v>
      </c>
      <c r="BV24" s="460">
        <v>6.0211612220605733E-2</v>
      </c>
      <c r="BX24">
        <v>1982</v>
      </c>
      <c r="BY24">
        <v>159319</v>
      </c>
      <c r="BZ24">
        <v>1771</v>
      </c>
      <c r="CA24">
        <v>50541</v>
      </c>
      <c r="CB24">
        <v>2161</v>
      </c>
      <c r="CC24">
        <v>1105</v>
      </c>
      <c r="CD24">
        <v>53933</v>
      </c>
      <c r="CE24">
        <v>12258</v>
      </c>
      <c r="CF24">
        <v>172034</v>
      </c>
      <c r="CG24">
        <v>0</v>
      </c>
      <c r="CH24">
        <v>0</v>
      </c>
      <c r="CI24">
        <v>213252</v>
      </c>
      <c r="CJ24">
        <v>14029</v>
      </c>
      <c r="CK24">
        <v>222575</v>
      </c>
      <c r="CL24">
        <v>2161</v>
      </c>
      <c r="CM24">
        <v>1105</v>
      </c>
      <c r="CN24">
        <v>453122</v>
      </c>
      <c r="CO24">
        <v>1982</v>
      </c>
      <c r="CP24">
        <v>229442</v>
      </c>
      <c r="CQ24">
        <v>223680</v>
      </c>
      <c r="CS24" t="b">
        <v>1</v>
      </c>
      <c r="CT24" t="b">
        <v>1</v>
      </c>
      <c r="CV24">
        <v>1982</v>
      </c>
      <c r="CW24">
        <v>904.14985395257122</v>
      </c>
      <c r="CX24">
        <v>554.84699999999975</v>
      </c>
      <c r="CY24">
        <v>1458.996853952571</v>
      </c>
      <c r="CZ24">
        <v>0.61970651376192976</v>
      </c>
      <c r="DD24">
        <v>1982</v>
      </c>
      <c r="DE24" s="47">
        <v>159319</v>
      </c>
      <c r="DF24" s="47">
        <v>1771</v>
      </c>
      <c r="DG24" s="47">
        <v>50541</v>
      </c>
      <c r="DH24" s="47">
        <v>2161</v>
      </c>
      <c r="DI24" s="47">
        <v>1105</v>
      </c>
      <c r="DJ24" s="47">
        <v>53933</v>
      </c>
      <c r="DK24" s="47">
        <v>12258</v>
      </c>
      <c r="DL24" s="47">
        <v>172034</v>
      </c>
      <c r="DM24" s="130" t="s">
        <v>728</v>
      </c>
      <c r="DN24" s="130" t="s">
        <v>728</v>
      </c>
      <c r="DO24" s="47">
        <v>213252</v>
      </c>
      <c r="DP24" s="47">
        <v>14029</v>
      </c>
      <c r="DQ24" s="47">
        <v>222575</v>
      </c>
      <c r="DR24" s="47">
        <v>2161</v>
      </c>
      <c r="DS24" s="47">
        <v>1105</v>
      </c>
      <c r="DT24" s="47">
        <v>453122</v>
      </c>
      <c r="DV24" s="47">
        <f t="shared" si="30"/>
        <v>211631</v>
      </c>
      <c r="DW24" s="47">
        <f t="shared" si="27"/>
        <v>238225</v>
      </c>
      <c r="DX24" s="47">
        <f t="shared" si="28"/>
        <v>449856</v>
      </c>
      <c r="DY24" s="242">
        <f t="shared" si="31"/>
        <v>0.52955834756010811</v>
      </c>
      <c r="DZ24" s="276">
        <v>1982</v>
      </c>
      <c r="EA24" s="47">
        <f t="shared" si="29"/>
        <v>3266</v>
      </c>
      <c r="EC24" s="47"/>
      <c r="EF24" s="276">
        <v>1982</v>
      </c>
      <c r="EK24">
        <v>2000</v>
      </c>
      <c r="EL24">
        <v>26</v>
      </c>
      <c r="EM24">
        <v>25692</v>
      </c>
      <c r="EN24">
        <v>11957</v>
      </c>
      <c r="EO24">
        <v>90908</v>
      </c>
      <c r="EP24">
        <v>166055</v>
      </c>
      <c r="EQ24">
        <v>294638</v>
      </c>
      <c r="ER24">
        <v>37</v>
      </c>
      <c r="ES24">
        <v>3552</v>
      </c>
      <c r="ET24">
        <v>2369</v>
      </c>
      <c r="EU24">
        <v>38399</v>
      </c>
      <c r="EV24">
        <v>360</v>
      </c>
      <c r="EW24">
        <v>44717</v>
      </c>
      <c r="EX24">
        <v>63</v>
      </c>
      <c r="EY24">
        <v>29244</v>
      </c>
      <c r="EZ24">
        <v>14326</v>
      </c>
      <c r="FA24">
        <v>129307</v>
      </c>
      <c r="FB24">
        <v>166415</v>
      </c>
      <c r="FC24">
        <v>339355</v>
      </c>
      <c r="FD24">
        <v>350779</v>
      </c>
      <c r="FE24">
        <v>284801</v>
      </c>
      <c r="FG24">
        <v>2000</v>
      </c>
      <c r="FH24" s="47">
        <f t="shared" si="0"/>
        <v>112</v>
      </c>
      <c r="FI24" s="47">
        <f t="shared" si="1"/>
        <v>76855</v>
      </c>
      <c r="FJ24" s="47">
        <f t="shared" si="2"/>
        <v>20775</v>
      </c>
      <c r="FK24" s="47">
        <f t="shared" si="18"/>
        <v>97742</v>
      </c>
      <c r="FL24" s="47">
        <f t="shared" si="19"/>
        <v>97630</v>
      </c>
      <c r="FM24" s="47"/>
      <c r="FN24" s="47">
        <f t="shared" si="3"/>
        <v>3</v>
      </c>
      <c r="FO24" s="47">
        <f t="shared" si="4"/>
        <v>2767</v>
      </c>
      <c r="FP24" s="47">
        <f t="shared" si="5"/>
        <v>286</v>
      </c>
      <c r="FQ24" s="47">
        <f t="shared" si="20"/>
        <v>3056</v>
      </c>
      <c r="FR24" s="47">
        <f t="shared" si="21"/>
        <v>3053</v>
      </c>
      <c r="FS24" s="47"/>
      <c r="FT24" s="47">
        <f t="shared" si="6"/>
        <v>610769</v>
      </c>
      <c r="FU24" s="47">
        <f t="shared" si="7"/>
        <v>24811</v>
      </c>
      <c r="FV24" s="47">
        <f t="shared" si="22"/>
        <v>635580</v>
      </c>
      <c r="FX24" s="242">
        <f t="shared" si="8"/>
        <v>1.8337538414687059E-4</v>
      </c>
      <c r="FY24" s="242">
        <f t="shared" si="9"/>
        <v>0.12583317096971194</v>
      </c>
      <c r="FZ24" s="242">
        <f t="shared" si="10"/>
        <v>3.4014496479028898E-2</v>
      </c>
      <c r="GA24" s="242">
        <f t="shared" si="11"/>
        <v>0.16003104283288772</v>
      </c>
      <c r="GB24" s="242">
        <f t="shared" si="12"/>
        <v>0.15984766744874085</v>
      </c>
      <c r="GC24" s="47"/>
      <c r="GD24" s="242">
        <f t="shared" si="13"/>
        <v>1.2091411067671598E-4</v>
      </c>
      <c r="GE24" s="242">
        <f t="shared" si="14"/>
        <v>0.11152311474749103</v>
      </c>
      <c r="GF24" s="242">
        <f t="shared" si="15"/>
        <v>1.1527145217846924E-2</v>
      </c>
      <c r="GG24" s="600">
        <f t="shared" si="16"/>
        <v>0.12317117407601468</v>
      </c>
      <c r="GH24" s="242">
        <f t="shared" si="17"/>
        <v>0.12305025996533796</v>
      </c>
      <c r="GV24">
        <v>2000</v>
      </c>
      <c r="GX24" s="47">
        <f t="shared" si="23"/>
        <v>610769</v>
      </c>
      <c r="HB24" s="47">
        <f t="shared" si="24"/>
        <v>24811</v>
      </c>
      <c r="HK24" s="242">
        <f t="shared" si="25"/>
        <v>0.15984766744874085</v>
      </c>
      <c r="HO24" s="242">
        <f t="shared" si="26"/>
        <v>0.12305025996533796</v>
      </c>
      <c r="HW24">
        <v>2000</v>
      </c>
    </row>
    <row r="25" spans="2:231" x14ac:dyDescent="0.25">
      <c r="AP25">
        <v>1983</v>
      </c>
      <c r="AQ25" s="47">
        <v>49.933</v>
      </c>
      <c r="AR25" s="47">
        <v>60.028872999999997</v>
      </c>
      <c r="AS25" s="47">
        <v>109.961873</v>
      </c>
      <c r="AT25" s="596">
        <v>0.79019693641368838</v>
      </c>
      <c r="AU25" s="47">
        <v>237.99938450116048</v>
      </c>
      <c r="AV25" s="47">
        <v>286.12009745655837</v>
      </c>
      <c r="AW25" s="47">
        <v>524.11948195771879</v>
      </c>
      <c r="AX25" s="47">
        <v>16.696999999999999</v>
      </c>
      <c r="AY25" s="460">
        <v>0.79019693641368838</v>
      </c>
      <c r="AZ25">
        <v>79.584157231007069</v>
      </c>
      <c r="BB25">
        <v>1983</v>
      </c>
      <c r="BC25">
        <v>0</v>
      </c>
      <c r="BD25">
        <v>0</v>
      </c>
      <c r="BE25">
        <v>0</v>
      </c>
      <c r="BF25">
        <v>8.5000000000000006E-2</v>
      </c>
      <c r="BG25">
        <v>1.514</v>
      </c>
      <c r="BH25">
        <v>1.599</v>
      </c>
      <c r="BI25">
        <v>8.5000000000000006E-2</v>
      </c>
      <c r="BJ25">
        <v>1.514</v>
      </c>
      <c r="BK25">
        <v>1.599</v>
      </c>
      <c r="BL25">
        <v>85</v>
      </c>
      <c r="BM25">
        <v>1514</v>
      </c>
      <c r="BN25">
        <v>1.599</v>
      </c>
      <c r="BP25">
        <v>2012</v>
      </c>
      <c r="BQ25">
        <v>2.6150000000000002</v>
      </c>
      <c r="BR25">
        <v>8.2690000000000001</v>
      </c>
      <c r="BS25">
        <v>152.376</v>
      </c>
      <c r="BT25" s="460">
        <v>1.716149524859558E-2</v>
      </c>
      <c r="BU25" s="460">
        <v>5.4267076179975851E-2</v>
      </c>
      <c r="BV25" s="460">
        <v>7.1428571428571425E-2</v>
      </c>
      <c r="BX25">
        <v>1983</v>
      </c>
      <c r="BY25">
        <v>38859</v>
      </c>
      <c r="BZ25">
        <v>1489</v>
      </c>
      <c r="CA25">
        <v>52051.873</v>
      </c>
      <c r="CB25">
        <v>85</v>
      </c>
      <c r="CC25">
        <v>1514</v>
      </c>
      <c r="CD25">
        <v>5950</v>
      </c>
      <c r="CE25">
        <v>3550</v>
      </c>
      <c r="CF25">
        <v>6463</v>
      </c>
      <c r="CG25">
        <v>0</v>
      </c>
      <c r="CH25">
        <v>0</v>
      </c>
      <c r="CI25">
        <v>44809</v>
      </c>
      <c r="CJ25">
        <v>5039</v>
      </c>
      <c r="CK25">
        <v>58514.873</v>
      </c>
      <c r="CL25">
        <v>85</v>
      </c>
      <c r="CM25">
        <v>1514</v>
      </c>
      <c r="CN25">
        <v>109961.87299999999</v>
      </c>
      <c r="CO25">
        <v>1983</v>
      </c>
      <c r="CP25">
        <v>49933</v>
      </c>
      <c r="CQ25">
        <v>60028.873</v>
      </c>
      <c r="CS25" t="b">
        <v>1</v>
      </c>
      <c r="CT25" t="b">
        <v>1</v>
      </c>
      <c r="CV25">
        <v>1983</v>
      </c>
      <c r="CW25">
        <v>559.67525924083509</v>
      </c>
      <c r="CX25">
        <v>148.59787300000002</v>
      </c>
      <c r="CY25">
        <v>708.27313224083514</v>
      </c>
      <c r="CZ25">
        <v>0.79019693641368838</v>
      </c>
      <c r="DD25">
        <v>1983</v>
      </c>
      <c r="DE25" s="47">
        <v>38859</v>
      </c>
      <c r="DF25" s="47">
        <v>1489</v>
      </c>
      <c r="DG25" s="47">
        <v>52051.873</v>
      </c>
      <c r="DH25" s="47">
        <v>85</v>
      </c>
      <c r="DI25" s="47">
        <v>1514</v>
      </c>
      <c r="DJ25" s="47">
        <v>5950</v>
      </c>
      <c r="DK25" s="47">
        <v>3550</v>
      </c>
      <c r="DL25" s="47">
        <v>6463</v>
      </c>
      <c r="DM25" s="130" t="s">
        <v>728</v>
      </c>
      <c r="DN25" s="130" t="s">
        <v>728</v>
      </c>
      <c r="DO25" s="47">
        <v>44809</v>
      </c>
      <c r="DP25" s="47">
        <v>5039</v>
      </c>
      <c r="DQ25" s="47">
        <v>58514.873</v>
      </c>
      <c r="DR25" s="47">
        <v>85</v>
      </c>
      <c r="DS25" s="47">
        <v>1514</v>
      </c>
      <c r="DT25" s="47">
        <v>109961.87299999999</v>
      </c>
      <c r="DV25" s="47">
        <f t="shared" si="30"/>
        <v>92399.872999999992</v>
      </c>
      <c r="DW25" s="47">
        <f t="shared" si="27"/>
        <v>15963</v>
      </c>
      <c r="DX25" s="47">
        <f t="shared" si="28"/>
        <v>108362.87299999999</v>
      </c>
      <c r="DY25" s="242">
        <f t="shared" si="31"/>
        <v>0.14731060148248379</v>
      </c>
      <c r="DZ25" s="276">
        <v>1983</v>
      </c>
      <c r="EA25" s="47">
        <f t="shared" si="29"/>
        <v>1599</v>
      </c>
      <c r="EC25" s="47"/>
      <c r="EF25" s="276">
        <v>1983</v>
      </c>
      <c r="EK25">
        <v>2001</v>
      </c>
      <c r="EL25">
        <v>716</v>
      </c>
      <c r="EM25">
        <v>93674</v>
      </c>
      <c r="EN25">
        <v>37277</v>
      </c>
      <c r="EO25">
        <v>232502</v>
      </c>
      <c r="EP25">
        <v>424638</v>
      </c>
      <c r="EQ25">
        <v>788807</v>
      </c>
      <c r="ER25">
        <v>148</v>
      </c>
      <c r="ES25">
        <v>5012</v>
      </c>
      <c r="ET25">
        <v>2562</v>
      </c>
      <c r="EU25">
        <v>32944</v>
      </c>
      <c r="EV25">
        <v>3322</v>
      </c>
      <c r="EW25">
        <v>43988</v>
      </c>
      <c r="EX25">
        <v>864</v>
      </c>
      <c r="EY25">
        <v>98686</v>
      </c>
      <c r="EZ25">
        <v>39839</v>
      </c>
      <c r="FA25">
        <v>265446</v>
      </c>
      <c r="FB25">
        <v>427960</v>
      </c>
      <c r="FC25">
        <v>832795</v>
      </c>
      <c r="FD25">
        <v>853481</v>
      </c>
      <c r="FE25">
        <v>549354</v>
      </c>
      <c r="FG25">
        <v>2001</v>
      </c>
      <c r="FH25" s="47">
        <f t="shared" si="0"/>
        <v>1139</v>
      </c>
      <c r="FI25" s="47">
        <f t="shared" si="1"/>
        <v>214371</v>
      </c>
      <c r="FJ25" s="47">
        <f t="shared" si="2"/>
        <v>57059</v>
      </c>
      <c r="FK25" s="47">
        <f t="shared" si="18"/>
        <v>272569</v>
      </c>
      <c r="FL25" s="47">
        <f t="shared" si="19"/>
        <v>271430</v>
      </c>
      <c r="FM25" s="47"/>
      <c r="FN25" s="47">
        <f t="shared" si="3"/>
        <v>34</v>
      </c>
      <c r="FO25" s="47">
        <f t="shared" si="4"/>
        <v>2045</v>
      </c>
      <c r="FP25" s="47">
        <f t="shared" si="5"/>
        <v>502</v>
      </c>
      <c r="FQ25" s="47">
        <f t="shared" si="20"/>
        <v>2581</v>
      </c>
      <c r="FR25" s="47">
        <f t="shared" si="21"/>
        <v>2547</v>
      </c>
      <c r="FS25" s="47"/>
      <c r="FT25" s="47">
        <f t="shared" si="6"/>
        <v>1358243</v>
      </c>
      <c r="FU25" s="47">
        <f t="shared" si="7"/>
        <v>44592</v>
      </c>
      <c r="FV25" s="47">
        <f t="shared" si="22"/>
        <v>1402835</v>
      </c>
      <c r="FX25" s="242">
        <f t="shared" si="8"/>
        <v>8.385833757287908E-4</v>
      </c>
      <c r="FY25" s="242">
        <f t="shared" si="9"/>
        <v>0.15782963725931221</v>
      </c>
      <c r="FZ25" s="242">
        <f t="shared" si="10"/>
        <v>4.2009419522132635E-2</v>
      </c>
      <c r="GA25" s="242">
        <f t="shared" si="11"/>
        <v>0.20067764015717365</v>
      </c>
      <c r="GB25" s="242">
        <f t="shared" si="12"/>
        <v>0.19983905678144484</v>
      </c>
      <c r="GC25" s="47"/>
      <c r="GD25" s="242">
        <f t="shared" si="13"/>
        <v>7.6246860423394335E-4</v>
      </c>
      <c r="GE25" s="242">
        <f t="shared" si="14"/>
        <v>4.5860243989953357E-2</v>
      </c>
      <c r="GF25" s="242">
        <f t="shared" si="15"/>
        <v>1.125762468604234E-2</v>
      </c>
      <c r="GG25" s="600">
        <f t="shared" si="16"/>
        <v>5.7880337280229635E-2</v>
      </c>
      <c r="GH25" s="242">
        <f t="shared" si="17"/>
        <v>5.7117868675995692E-2</v>
      </c>
      <c r="GV25">
        <v>2001</v>
      </c>
      <c r="GX25" s="47">
        <f t="shared" si="23"/>
        <v>1358243</v>
      </c>
      <c r="HB25" s="47">
        <f t="shared" si="24"/>
        <v>44592</v>
      </c>
      <c r="HK25" s="242">
        <f t="shared" si="25"/>
        <v>0.19983905678144484</v>
      </c>
      <c r="HO25" s="242">
        <f t="shared" si="26"/>
        <v>5.7117868675995692E-2</v>
      </c>
      <c r="HW25">
        <v>2001</v>
      </c>
    </row>
    <row r="26" spans="2:231" x14ac:dyDescent="0.25">
      <c r="AP26">
        <v>1984</v>
      </c>
      <c r="AQ26" s="47">
        <v>247.93699999999998</v>
      </c>
      <c r="AR26" s="47">
        <v>177.96576199999998</v>
      </c>
      <c r="AS26" s="47">
        <v>425.90276199999994</v>
      </c>
      <c r="AT26" s="596">
        <v>0.32079711171646591</v>
      </c>
      <c r="AU26" s="47">
        <v>365.04114496123634</v>
      </c>
      <c r="AV26" s="47">
        <v>262.02150354476692</v>
      </c>
      <c r="AW26" s="47">
        <v>627.06264850600326</v>
      </c>
      <c r="AX26" s="47">
        <v>44.948</v>
      </c>
      <c r="AY26" s="460">
        <v>0.32079711171646591</v>
      </c>
      <c r="AZ26">
        <v>66.177574882803498</v>
      </c>
      <c r="BB26">
        <v>1984</v>
      </c>
      <c r="BC26">
        <v>0</v>
      </c>
      <c r="BD26">
        <v>0</v>
      </c>
      <c r="BE26">
        <v>0</v>
      </c>
      <c r="BF26">
        <v>1.083</v>
      </c>
      <c r="BG26">
        <v>0.39800000000000002</v>
      </c>
      <c r="BH26">
        <v>1.4809999999999999</v>
      </c>
      <c r="BI26">
        <v>1.083</v>
      </c>
      <c r="BJ26">
        <v>0.39800000000000002</v>
      </c>
      <c r="BK26">
        <v>1.4809999999999999</v>
      </c>
      <c r="BL26">
        <v>1083</v>
      </c>
      <c r="BM26">
        <v>398</v>
      </c>
      <c r="BN26">
        <v>1.4810000000000001</v>
      </c>
      <c r="BP26">
        <v>2013</v>
      </c>
      <c r="BQ26">
        <v>9.7669999999999995</v>
      </c>
      <c r="BR26">
        <v>8.5709999999999997</v>
      </c>
      <c r="BS26">
        <v>252.76385901027078</v>
      </c>
      <c r="BT26" s="460">
        <v>3.864080900744251E-2</v>
      </c>
      <c r="BU26" s="460">
        <v>3.3909119893804622E-2</v>
      </c>
      <c r="BV26" s="460">
        <v>7.2549928901247132E-2</v>
      </c>
      <c r="BX26">
        <v>1984</v>
      </c>
      <c r="BY26">
        <v>73593</v>
      </c>
      <c r="BZ26">
        <v>4404.9999999999991</v>
      </c>
      <c r="CA26">
        <v>54885.761999999995</v>
      </c>
      <c r="CB26">
        <v>1083</v>
      </c>
      <c r="CC26">
        <v>398</v>
      </c>
      <c r="CD26">
        <v>128236</v>
      </c>
      <c r="CE26">
        <v>40620</v>
      </c>
      <c r="CF26">
        <v>122682</v>
      </c>
      <c r="CG26">
        <v>0</v>
      </c>
      <c r="CH26">
        <v>0</v>
      </c>
      <c r="CI26">
        <v>201829</v>
      </c>
      <c r="CJ26">
        <v>45025</v>
      </c>
      <c r="CK26">
        <v>177567.76199999999</v>
      </c>
      <c r="CL26">
        <v>1083</v>
      </c>
      <c r="CM26">
        <v>398</v>
      </c>
      <c r="CN26">
        <v>425902.76199999999</v>
      </c>
      <c r="CO26">
        <v>1984</v>
      </c>
      <c r="CP26">
        <v>247937</v>
      </c>
      <c r="CQ26">
        <v>177965.76199999999</v>
      </c>
      <c r="CS26" t="b">
        <v>1</v>
      </c>
      <c r="CT26" t="b">
        <v>1</v>
      </c>
      <c r="CV26">
        <v>1984</v>
      </c>
      <c r="CW26">
        <v>257.28969604307656</v>
      </c>
      <c r="CX26">
        <v>544.74276199999997</v>
      </c>
      <c r="CY26">
        <v>802.03245804307653</v>
      </c>
      <c r="CZ26">
        <v>0.32079711171646591</v>
      </c>
      <c r="DD26">
        <v>1984</v>
      </c>
      <c r="DE26" s="47">
        <v>73593</v>
      </c>
      <c r="DF26" s="47">
        <v>4404.9999999999991</v>
      </c>
      <c r="DG26" s="47">
        <v>54885.761999999995</v>
      </c>
      <c r="DH26" s="47">
        <v>1083</v>
      </c>
      <c r="DI26" s="47">
        <v>398</v>
      </c>
      <c r="DJ26" s="47">
        <v>128236</v>
      </c>
      <c r="DK26" s="47">
        <v>40620</v>
      </c>
      <c r="DL26" s="47">
        <v>122682</v>
      </c>
      <c r="DM26" s="130" t="s">
        <v>728</v>
      </c>
      <c r="DN26" s="130" t="s">
        <v>728</v>
      </c>
      <c r="DO26" s="47">
        <v>201829</v>
      </c>
      <c r="DP26" s="47">
        <v>45025</v>
      </c>
      <c r="DQ26" s="47">
        <v>177567.76199999999</v>
      </c>
      <c r="DR26" s="47">
        <v>1083</v>
      </c>
      <c r="DS26" s="47">
        <v>398</v>
      </c>
      <c r="DT26" s="47">
        <v>425902.76199999999</v>
      </c>
      <c r="DV26" s="47">
        <f t="shared" si="30"/>
        <v>132883.76199999999</v>
      </c>
      <c r="DW26" s="47">
        <f t="shared" si="27"/>
        <v>291538</v>
      </c>
      <c r="DX26" s="47">
        <f t="shared" si="28"/>
        <v>424421.76199999999</v>
      </c>
      <c r="DY26" s="242">
        <f t="shared" si="31"/>
        <v>0.68690634199855194</v>
      </c>
      <c r="DZ26" s="276">
        <v>1984</v>
      </c>
      <c r="EA26" s="47">
        <f t="shared" si="29"/>
        <v>1481</v>
      </c>
      <c r="EC26" s="47"/>
      <c r="EF26" s="276">
        <v>1984</v>
      </c>
      <c r="EK26">
        <v>2002</v>
      </c>
      <c r="EL26">
        <v>55</v>
      </c>
      <c r="EM26">
        <v>23910</v>
      </c>
      <c r="EN26">
        <v>10453</v>
      </c>
      <c r="EO26">
        <v>28750</v>
      </c>
      <c r="EP26">
        <v>152556</v>
      </c>
      <c r="EQ26">
        <v>215724</v>
      </c>
      <c r="ER26">
        <v>160</v>
      </c>
      <c r="ES26">
        <v>6300</v>
      </c>
      <c r="ET26">
        <v>3923</v>
      </c>
      <c r="EU26">
        <v>52092</v>
      </c>
      <c r="EV26">
        <v>1326</v>
      </c>
      <c r="EW26">
        <v>63801</v>
      </c>
      <c r="EX26">
        <v>215</v>
      </c>
      <c r="EY26">
        <v>30210</v>
      </c>
      <c r="EZ26">
        <v>14376</v>
      </c>
      <c r="FA26">
        <v>80842</v>
      </c>
      <c r="FB26">
        <v>153882</v>
      </c>
      <c r="FC26">
        <v>279525</v>
      </c>
      <c r="FD26">
        <v>297413</v>
      </c>
      <c r="FE26">
        <v>334596</v>
      </c>
      <c r="FG26">
        <v>2002</v>
      </c>
      <c r="FH26" s="47">
        <f t="shared" si="0"/>
        <v>453</v>
      </c>
      <c r="FI26" s="47">
        <f t="shared" si="1"/>
        <v>88704</v>
      </c>
      <c r="FJ26" s="47">
        <f t="shared" si="2"/>
        <v>23022</v>
      </c>
      <c r="FK26" s="47">
        <f t="shared" si="18"/>
        <v>112179</v>
      </c>
      <c r="FL26" s="47">
        <f t="shared" si="19"/>
        <v>111726</v>
      </c>
      <c r="FM26" s="47"/>
      <c r="FN26" s="47">
        <f t="shared" si="3"/>
        <v>38</v>
      </c>
      <c r="FO26" s="47">
        <f t="shared" si="4"/>
        <v>3105</v>
      </c>
      <c r="FP26" s="47">
        <f t="shared" si="5"/>
        <v>763</v>
      </c>
      <c r="FQ26" s="47">
        <f t="shared" si="20"/>
        <v>3906</v>
      </c>
      <c r="FR26" s="47">
        <f t="shared" si="21"/>
        <v>3868</v>
      </c>
      <c r="FS26" s="47"/>
      <c r="FT26" s="47">
        <f t="shared" si="6"/>
        <v>576235</v>
      </c>
      <c r="FU26" s="47">
        <f t="shared" si="7"/>
        <v>55774</v>
      </c>
      <c r="FV26" s="47">
        <f t="shared" si="22"/>
        <v>632009</v>
      </c>
      <c r="FX26" s="242">
        <f t="shared" si="8"/>
        <v>7.8613760011106578E-4</v>
      </c>
      <c r="FY26" s="242">
        <f t="shared" si="9"/>
        <v>0.15393719576214565</v>
      </c>
      <c r="FZ26" s="242">
        <f t="shared" si="10"/>
        <v>3.9952449955313371E-2</v>
      </c>
      <c r="GA26" s="242">
        <f t="shared" si="11"/>
        <v>0.1946757833175701</v>
      </c>
      <c r="GB26" s="242">
        <f t="shared" si="12"/>
        <v>0.19388964571745904</v>
      </c>
      <c r="GC26" s="47"/>
      <c r="GD26" s="242">
        <f t="shared" si="13"/>
        <v>6.8132104564851007E-4</v>
      </c>
      <c r="GE26" s="242">
        <f t="shared" si="14"/>
        <v>5.5671101229963785E-2</v>
      </c>
      <c r="GF26" s="242">
        <f t="shared" si="15"/>
        <v>1.3680209416574031E-2</v>
      </c>
      <c r="GG26" s="600">
        <f t="shared" si="16"/>
        <v>7.003263169218632E-2</v>
      </c>
      <c r="GH26" s="242">
        <f t="shared" si="17"/>
        <v>6.9351310646537809E-2</v>
      </c>
      <c r="GV26">
        <v>2002</v>
      </c>
      <c r="GX26" s="47">
        <f t="shared" si="23"/>
        <v>576235</v>
      </c>
      <c r="HB26" s="47">
        <f t="shared" si="24"/>
        <v>55774</v>
      </c>
      <c r="HK26" s="242">
        <f t="shared" si="25"/>
        <v>0.19388964571745904</v>
      </c>
      <c r="HO26" s="242">
        <f t="shared" si="26"/>
        <v>6.9351310646537809E-2</v>
      </c>
      <c r="HW26">
        <v>2002</v>
      </c>
    </row>
    <row r="27" spans="2:231" x14ac:dyDescent="0.25">
      <c r="AP27">
        <v>1985</v>
      </c>
      <c r="AQ27" s="47">
        <v>228.62099871999999</v>
      </c>
      <c r="AR27" s="47">
        <v>138.590968</v>
      </c>
      <c r="AS27" s="47">
        <v>367.21196671999996</v>
      </c>
      <c r="AT27" s="596">
        <v>0.43396793495121039</v>
      </c>
      <c r="AU27" s="47">
        <v>403.90114418746549</v>
      </c>
      <c r="AV27" s="47">
        <v>244.84649644018674</v>
      </c>
      <c r="AW27" s="47">
        <v>648.74764062765223</v>
      </c>
      <c r="AX27" s="47">
        <v>40.395000000000003</v>
      </c>
      <c r="AY27" s="460">
        <v>0.43396793495121039</v>
      </c>
      <c r="AZ27">
        <v>71.365214966254825</v>
      </c>
      <c r="BB27">
        <v>1985</v>
      </c>
      <c r="BC27">
        <v>0</v>
      </c>
      <c r="BD27">
        <v>0</v>
      </c>
      <c r="BE27">
        <v>0</v>
      </c>
      <c r="BF27">
        <v>3.75</v>
      </c>
      <c r="BG27">
        <v>1.01</v>
      </c>
      <c r="BH27">
        <v>4.76</v>
      </c>
      <c r="BI27">
        <v>3.75</v>
      </c>
      <c r="BJ27">
        <v>1.01</v>
      </c>
      <c r="BK27">
        <v>4.76</v>
      </c>
      <c r="BL27">
        <v>3750</v>
      </c>
      <c r="BM27">
        <v>1010</v>
      </c>
      <c r="BN27">
        <v>4.76</v>
      </c>
      <c r="BP27">
        <v>2014</v>
      </c>
      <c r="BQ27">
        <v>70.442999999999998</v>
      </c>
      <c r="BR27">
        <v>63.505000000000003</v>
      </c>
      <c r="BS27">
        <v>1020.52</v>
      </c>
      <c r="BT27" s="460">
        <v>6.9026574687414258E-2</v>
      </c>
      <c r="BU27" s="460">
        <v>6.2228079802453658E-2</v>
      </c>
      <c r="BV27" s="460">
        <v>0.13125465448986792</v>
      </c>
      <c r="BX27">
        <v>1985</v>
      </c>
      <c r="BY27">
        <v>91351.998720000003</v>
      </c>
      <c r="BZ27">
        <v>4172</v>
      </c>
      <c r="CA27">
        <v>41069.968000000001</v>
      </c>
      <c r="CB27">
        <v>3750</v>
      </c>
      <c r="CC27">
        <v>1010</v>
      </c>
      <c r="CD27">
        <v>78145</v>
      </c>
      <c r="CE27">
        <v>51202</v>
      </c>
      <c r="CF27">
        <v>96511</v>
      </c>
      <c r="CG27">
        <v>0</v>
      </c>
      <c r="CH27">
        <v>0</v>
      </c>
      <c r="CI27">
        <v>169496.99872</v>
      </c>
      <c r="CJ27">
        <v>55374</v>
      </c>
      <c r="CK27">
        <v>137580.96799999999</v>
      </c>
      <c r="CL27">
        <v>3750</v>
      </c>
      <c r="CM27">
        <v>1010</v>
      </c>
      <c r="CN27">
        <v>367211.96672000003</v>
      </c>
      <c r="CO27">
        <v>1985</v>
      </c>
      <c r="CP27">
        <v>228620.99872</v>
      </c>
      <c r="CQ27">
        <v>138590.96799999999</v>
      </c>
      <c r="CS27" t="b">
        <v>1</v>
      </c>
      <c r="CT27" t="b">
        <v>1</v>
      </c>
      <c r="CV27">
        <v>1985</v>
      </c>
      <c r="CW27">
        <v>368.17407400782935</v>
      </c>
      <c r="CX27">
        <v>480.21596671999998</v>
      </c>
      <c r="CY27">
        <v>848.39004072782927</v>
      </c>
      <c r="CZ27">
        <v>0.43396793495121039</v>
      </c>
      <c r="DD27">
        <v>1985</v>
      </c>
      <c r="DE27" s="47">
        <v>91351.998720000003</v>
      </c>
      <c r="DF27" s="47">
        <v>4172</v>
      </c>
      <c r="DG27" s="47">
        <v>41069.968000000001</v>
      </c>
      <c r="DH27" s="47">
        <v>3750</v>
      </c>
      <c r="DI27" s="47">
        <v>1010</v>
      </c>
      <c r="DJ27" s="47">
        <v>78145</v>
      </c>
      <c r="DK27" s="47">
        <v>51202</v>
      </c>
      <c r="DL27" s="47">
        <v>96511</v>
      </c>
      <c r="DM27" s="130" t="s">
        <v>728</v>
      </c>
      <c r="DN27" s="130" t="s">
        <v>728</v>
      </c>
      <c r="DO27" s="47">
        <v>169496.99872</v>
      </c>
      <c r="DP27" s="47">
        <v>55374</v>
      </c>
      <c r="DQ27" s="47">
        <v>137580.96799999999</v>
      </c>
      <c r="DR27" s="47">
        <v>3750</v>
      </c>
      <c r="DS27" s="47">
        <v>1010</v>
      </c>
      <c r="DT27" s="47">
        <v>367211.96672000003</v>
      </c>
      <c r="DV27" s="47">
        <f t="shared" si="30"/>
        <v>136593.96672</v>
      </c>
      <c r="DW27" s="47">
        <f t="shared" si="27"/>
        <v>225858</v>
      </c>
      <c r="DX27" s="47">
        <f t="shared" si="28"/>
        <v>362451.96672000003</v>
      </c>
      <c r="DY27" s="242">
        <f t="shared" si="31"/>
        <v>0.62313912114726899</v>
      </c>
      <c r="DZ27" s="276">
        <v>1985</v>
      </c>
      <c r="EA27" s="47">
        <f t="shared" si="29"/>
        <v>4760</v>
      </c>
      <c r="EC27" s="47"/>
      <c r="EF27" s="276">
        <v>1985</v>
      </c>
      <c r="EK27">
        <v>2003</v>
      </c>
      <c r="EL27">
        <v>791</v>
      </c>
      <c r="EM27">
        <v>66208</v>
      </c>
      <c r="EN27">
        <v>48886</v>
      </c>
      <c r="EO27">
        <v>89272</v>
      </c>
      <c r="EP27">
        <v>241048</v>
      </c>
      <c r="EQ27">
        <v>446205</v>
      </c>
      <c r="ER27">
        <v>1732</v>
      </c>
      <c r="ES27">
        <v>19402</v>
      </c>
      <c r="ET27">
        <v>19975</v>
      </c>
      <c r="EU27">
        <v>101678</v>
      </c>
      <c r="EV27">
        <v>1998</v>
      </c>
      <c r="EW27">
        <v>144785</v>
      </c>
      <c r="EX27">
        <v>2523</v>
      </c>
      <c r="EY27">
        <v>85610</v>
      </c>
      <c r="EZ27">
        <v>68861</v>
      </c>
      <c r="FA27">
        <v>190950</v>
      </c>
      <c r="FB27">
        <v>243046</v>
      </c>
      <c r="FC27">
        <v>590990</v>
      </c>
      <c r="FD27">
        <v>613206</v>
      </c>
      <c r="FE27">
        <v>347121</v>
      </c>
      <c r="FG27">
        <v>2003</v>
      </c>
      <c r="FH27" s="47">
        <f t="shared" si="0"/>
        <v>3465</v>
      </c>
      <c r="FI27" s="47">
        <f t="shared" si="1"/>
        <v>164594</v>
      </c>
      <c r="FJ27" s="47">
        <f t="shared" si="2"/>
        <v>88075</v>
      </c>
      <c r="FK27" s="47">
        <f t="shared" si="18"/>
        <v>256134</v>
      </c>
      <c r="FL27" s="47">
        <f t="shared" si="19"/>
        <v>252669</v>
      </c>
      <c r="FM27" s="47"/>
      <c r="FN27" s="47">
        <f t="shared" si="3"/>
        <v>40</v>
      </c>
      <c r="FO27" s="47">
        <f t="shared" si="4"/>
        <v>4320</v>
      </c>
      <c r="FP27" s="47">
        <f t="shared" si="5"/>
        <v>1806</v>
      </c>
      <c r="FQ27" s="47">
        <f t="shared" si="20"/>
        <v>6166</v>
      </c>
      <c r="FR27" s="47">
        <f t="shared" si="21"/>
        <v>6126</v>
      </c>
      <c r="FS27" s="47"/>
      <c r="FT27" s="47">
        <f t="shared" si="6"/>
        <v>890943</v>
      </c>
      <c r="FU27" s="47">
        <f t="shared" si="7"/>
        <v>69384</v>
      </c>
      <c r="FV27" s="47">
        <f t="shared" si="22"/>
        <v>960327</v>
      </c>
      <c r="FX27" s="242">
        <f t="shared" si="8"/>
        <v>3.8891376889430636E-3</v>
      </c>
      <c r="FY27" s="242">
        <f t="shared" si="9"/>
        <v>0.18474133586548186</v>
      </c>
      <c r="FZ27" s="242">
        <f t="shared" si="10"/>
        <v>9.8855931299757671E-2</v>
      </c>
      <c r="GA27" s="242">
        <f t="shared" si="11"/>
        <v>0.28748640485418259</v>
      </c>
      <c r="GB27" s="242">
        <f t="shared" si="12"/>
        <v>0.28359726716523953</v>
      </c>
      <c r="GC27" s="47"/>
      <c r="GD27" s="242">
        <f t="shared" si="13"/>
        <v>5.7650178715554017E-4</v>
      </c>
      <c r="GE27" s="242">
        <f t="shared" si="14"/>
        <v>6.2262193012798339E-2</v>
      </c>
      <c r="GF27" s="242">
        <f t="shared" si="15"/>
        <v>2.602905569007264E-2</v>
      </c>
      <c r="GG27" s="600">
        <f t="shared" si="16"/>
        <v>8.8867750490026515E-2</v>
      </c>
      <c r="GH27" s="242">
        <f t="shared" si="17"/>
        <v>8.8291248702870972E-2</v>
      </c>
      <c r="GV27">
        <v>2003</v>
      </c>
      <c r="GX27" s="47">
        <f t="shared" si="23"/>
        <v>890943</v>
      </c>
      <c r="HB27" s="47">
        <f t="shared" si="24"/>
        <v>69384</v>
      </c>
      <c r="HK27" s="242">
        <f t="shared" si="25"/>
        <v>0.28359726716523953</v>
      </c>
      <c r="HO27" s="242">
        <f t="shared" si="26"/>
        <v>8.8291248702870972E-2</v>
      </c>
      <c r="HW27">
        <v>2003</v>
      </c>
    </row>
    <row r="28" spans="2:231" ht="15.75" thickBot="1" x14ac:dyDescent="0.3">
      <c r="AP28">
        <v>1986</v>
      </c>
      <c r="AQ28" s="47">
        <v>760.02659930191635</v>
      </c>
      <c r="AR28" s="47">
        <v>818.02638986590159</v>
      </c>
      <c r="AS28" s="47">
        <v>1578.0529891678179</v>
      </c>
      <c r="AT28" s="596">
        <v>0.31430589309187773</v>
      </c>
      <c r="AU28" s="47">
        <v>1029.568</v>
      </c>
      <c r="AV28" s="47">
        <v>1271.827</v>
      </c>
      <c r="AW28" s="47">
        <v>2301.395</v>
      </c>
      <c r="AX28" s="47">
        <v>71.809999999999988</v>
      </c>
      <c r="AY28" s="460">
        <v>0.33458278071083541</v>
      </c>
      <c r="AZ28">
        <v>110.58799999999999</v>
      </c>
      <c r="BB28">
        <v>1986</v>
      </c>
      <c r="BC28">
        <v>10.123113791916287</v>
      </c>
      <c r="BD28">
        <v>18.800068470701678</v>
      </c>
      <c r="BE28">
        <v>28.923182262617964</v>
      </c>
      <c r="BF28">
        <v>2.9580000000000002</v>
      </c>
      <c r="BG28">
        <v>2.964</v>
      </c>
      <c r="BH28">
        <v>5.9220000000000006</v>
      </c>
      <c r="BI28">
        <v>13.081113791916287</v>
      </c>
      <c r="BJ28">
        <v>21.764068470701677</v>
      </c>
      <c r="BK28">
        <v>34.845182262617968</v>
      </c>
      <c r="BL28">
        <v>13081.113791916287</v>
      </c>
      <c r="BM28">
        <v>21764.068470701677</v>
      </c>
      <c r="BN28">
        <v>34.845182262617961</v>
      </c>
      <c r="BP28">
        <v>2015</v>
      </c>
      <c r="BQ28">
        <v>4.4559999999999995</v>
      </c>
      <c r="BR28">
        <v>37.915000000000006</v>
      </c>
      <c r="BS28">
        <v>169.57999999999998</v>
      </c>
      <c r="BT28" s="460">
        <v>2.6276683571175845E-2</v>
      </c>
      <c r="BU28" s="460">
        <v>0.2235817903054606</v>
      </c>
      <c r="BV28" s="460">
        <v>0.24985847387663648</v>
      </c>
      <c r="BX28">
        <v>1986</v>
      </c>
      <c r="BY28">
        <v>260459.48551000003</v>
      </c>
      <c r="BZ28">
        <v>19809</v>
      </c>
      <c r="CA28">
        <v>136782.32139519998</v>
      </c>
      <c r="CB28">
        <v>13081.113791916287</v>
      </c>
      <c r="CC28">
        <v>21764.068470701677</v>
      </c>
      <c r="CD28">
        <v>411102</v>
      </c>
      <c r="CE28">
        <v>55575</v>
      </c>
      <c r="CF28">
        <v>659480</v>
      </c>
      <c r="CG28">
        <v>0</v>
      </c>
      <c r="CH28">
        <v>0</v>
      </c>
      <c r="CI28">
        <v>671561.48551000003</v>
      </c>
      <c r="CJ28">
        <v>75384</v>
      </c>
      <c r="CK28">
        <v>796262.32139519998</v>
      </c>
      <c r="CL28">
        <v>13081.113791916287</v>
      </c>
      <c r="CM28">
        <v>21764.068470701677</v>
      </c>
      <c r="CN28">
        <v>1578052.9891678179</v>
      </c>
      <c r="CO28">
        <v>1986</v>
      </c>
      <c r="CP28">
        <v>760026.59930191631</v>
      </c>
      <c r="CQ28">
        <v>818026.38986590167</v>
      </c>
      <c r="CS28" t="b">
        <v>1</v>
      </c>
      <c r="CT28" t="b">
        <v>1</v>
      </c>
      <c r="CV28">
        <v>1986</v>
      </c>
      <c r="CW28">
        <v>850.47585825836825</v>
      </c>
      <c r="CX28">
        <v>1691.4238069052001</v>
      </c>
      <c r="CY28">
        <v>2541.8996651635684</v>
      </c>
      <c r="CZ28">
        <v>0.33458278071083541</v>
      </c>
      <c r="DD28">
        <v>1986</v>
      </c>
      <c r="DE28" s="47">
        <v>260459.48551000003</v>
      </c>
      <c r="DF28" s="47">
        <v>19809</v>
      </c>
      <c r="DG28" s="47">
        <v>136782.32139519998</v>
      </c>
      <c r="DH28" s="47">
        <v>13081.113791916287</v>
      </c>
      <c r="DI28" s="47">
        <v>21764.068470701677</v>
      </c>
      <c r="DJ28" s="47">
        <v>411102</v>
      </c>
      <c r="DK28" s="47">
        <v>55575</v>
      </c>
      <c r="DL28" s="47">
        <v>659480</v>
      </c>
      <c r="DM28" s="130" t="s">
        <v>728</v>
      </c>
      <c r="DN28" s="130" t="s">
        <v>728</v>
      </c>
      <c r="DO28" s="47">
        <v>671561.48551000003</v>
      </c>
      <c r="DP28" s="47">
        <v>75384</v>
      </c>
      <c r="DQ28" s="47">
        <v>796262.32139519998</v>
      </c>
      <c r="DR28" s="47">
        <v>13081.113791916287</v>
      </c>
      <c r="DS28" s="47">
        <v>21764.068470701677</v>
      </c>
      <c r="DT28" s="47">
        <v>1578052.9891678179</v>
      </c>
      <c r="DV28" s="47">
        <f t="shared" si="30"/>
        <v>417050.80690520001</v>
      </c>
      <c r="DW28" s="47">
        <f t="shared" si="27"/>
        <v>1126157</v>
      </c>
      <c r="DX28" s="47">
        <f t="shared" si="28"/>
        <v>1543207.8069052</v>
      </c>
      <c r="DY28" s="242">
        <f t="shared" si="31"/>
        <v>0.72975071468724129</v>
      </c>
      <c r="DZ28" s="276">
        <v>1986</v>
      </c>
      <c r="EA28" s="47">
        <f t="shared" si="29"/>
        <v>34845.182262617964</v>
      </c>
      <c r="EC28" s="47"/>
      <c r="EF28" s="276">
        <v>1986</v>
      </c>
      <c r="EK28">
        <v>2004</v>
      </c>
      <c r="EL28">
        <v>443</v>
      </c>
      <c r="EM28">
        <v>60380</v>
      </c>
      <c r="EN28">
        <v>33228</v>
      </c>
      <c r="EO28">
        <v>41583</v>
      </c>
      <c r="EP28">
        <v>197964</v>
      </c>
      <c r="EQ28">
        <v>333598</v>
      </c>
      <c r="ER28">
        <v>1011</v>
      </c>
      <c r="ES28">
        <v>10360</v>
      </c>
      <c r="ET28">
        <v>8156</v>
      </c>
      <c r="EU28">
        <v>42138</v>
      </c>
      <c r="EV28">
        <v>1266</v>
      </c>
      <c r="EW28">
        <v>62931</v>
      </c>
      <c r="EX28">
        <v>1454</v>
      </c>
      <c r="EY28">
        <v>70740</v>
      </c>
      <c r="EZ28">
        <v>41384</v>
      </c>
      <c r="FA28">
        <v>83721</v>
      </c>
      <c r="FB28">
        <v>199230</v>
      </c>
      <c r="FC28">
        <v>396529</v>
      </c>
      <c r="FD28">
        <v>410723</v>
      </c>
      <c r="FE28">
        <v>243427</v>
      </c>
      <c r="FG28">
        <v>2004</v>
      </c>
      <c r="FH28" s="47">
        <f t="shared" si="0"/>
        <v>2368</v>
      </c>
      <c r="FI28" s="47">
        <f t="shared" si="1"/>
        <v>132636</v>
      </c>
      <c r="FJ28" s="47">
        <f t="shared" si="2"/>
        <v>55164</v>
      </c>
      <c r="FK28" s="47">
        <f t="shared" si="18"/>
        <v>190168</v>
      </c>
      <c r="FL28" s="47">
        <f t="shared" si="19"/>
        <v>187800</v>
      </c>
      <c r="FM28" s="47"/>
      <c r="FN28" s="47">
        <f t="shared" si="3"/>
        <v>21</v>
      </c>
      <c r="FO28" s="47">
        <f t="shared" si="4"/>
        <v>2602</v>
      </c>
      <c r="FP28" s="47">
        <f t="shared" si="5"/>
        <v>1001</v>
      </c>
      <c r="FQ28" s="47">
        <f t="shared" si="20"/>
        <v>3624</v>
      </c>
      <c r="FR28" s="47">
        <f t="shared" si="21"/>
        <v>3603</v>
      </c>
      <c r="FS28" s="47"/>
      <c r="FT28" s="47">
        <f t="shared" si="6"/>
        <v>618683</v>
      </c>
      <c r="FU28" s="47">
        <f t="shared" si="7"/>
        <v>35467</v>
      </c>
      <c r="FV28" s="47">
        <f t="shared" si="22"/>
        <v>654150</v>
      </c>
      <c r="FX28" s="242">
        <f t="shared" si="8"/>
        <v>3.8274851579888245E-3</v>
      </c>
      <c r="FY28" s="242">
        <f t="shared" si="9"/>
        <v>0.21438442627322879</v>
      </c>
      <c r="FZ28" s="242">
        <f t="shared" si="10"/>
        <v>8.9163594280107908E-2</v>
      </c>
      <c r="GA28" s="242">
        <f t="shared" si="11"/>
        <v>0.30737550571132549</v>
      </c>
      <c r="GB28" s="242">
        <f t="shared" si="12"/>
        <v>0.30354802055333668</v>
      </c>
      <c r="GC28" s="47"/>
      <c r="GD28" s="242">
        <f t="shared" si="13"/>
        <v>5.9209969831110611E-4</v>
      </c>
      <c r="GE28" s="242">
        <f t="shared" si="14"/>
        <v>7.3363972143118961E-2</v>
      </c>
      <c r="GF28" s="242">
        <f t="shared" si="15"/>
        <v>2.8223418952829392E-2</v>
      </c>
      <c r="GG28" s="601">
        <f t="shared" si="16"/>
        <v>0.10217949079425945</v>
      </c>
      <c r="GH28" s="242">
        <f t="shared" si="17"/>
        <v>0.10158739109594835</v>
      </c>
      <c r="GV28">
        <v>2004</v>
      </c>
      <c r="GX28" s="47">
        <f t="shared" si="23"/>
        <v>618683</v>
      </c>
      <c r="HB28" s="47">
        <f t="shared" si="24"/>
        <v>35467</v>
      </c>
      <c r="HK28" s="242">
        <f t="shared" si="25"/>
        <v>0.30354802055333668</v>
      </c>
      <c r="HO28" s="242">
        <f t="shared" si="26"/>
        <v>0.10158739109594835</v>
      </c>
      <c r="HW28">
        <v>2004</v>
      </c>
    </row>
    <row r="29" spans="2:231" x14ac:dyDescent="0.25">
      <c r="AP29">
        <v>1987</v>
      </c>
      <c r="AQ29" s="47">
        <v>196.11931475771564</v>
      </c>
      <c r="AR29" s="47">
        <v>128.08022169290044</v>
      </c>
      <c r="AS29" s="47">
        <v>324.19953645061605</v>
      </c>
      <c r="AT29" s="596">
        <v>0.52083592752726737</v>
      </c>
      <c r="AU29" s="47">
        <v>433.40499999999997</v>
      </c>
      <c r="AV29" s="47">
        <v>243.18899999999999</v>
      </c>
      <c r="AW29" s="47">
        <v>676.59399999999994</v>
      </c>
      <c r="AX29" s="47">
        <v>42.489000000000004</v>
      </c>
      <c r="AY29" s="460">
        <v>0.59746107333104459</v>
      </c>
      <c r="AZ29">
        <v>102.797</v>
      </c>
      <c r="BB29">
        <v>1987</v>
      </c>
      <c r="BC29">
        <v>2.6963147577156197</v>
      </c>
      <c r="BD29">
        <v>5.0074416929004375</v>
      </c>
      <c r="BE29">
        <v>7.7037564506160567</v>
      </c>
      <c r="BF29">
        <v>1.7729999999999999</v>
      </c>
      <c r="BG29">
        <v>0.85199999999999998</v>
      </c>
      <c r="BH29">
        <v>2.625</v>
      </c>
      <c r="BI29">
        <v>4.4693147577156198</v>
      </c>
      <c r="BJ29">
        <v>5.8594416929004378</v>
      </c>
      <c r="BK29">
        <v>10.328756450616059</v>
      </c>
      <c r="BL29">
        <v>4469.3147577156196</v>
      </c>
      <c r="BM29">
        <v>5859.4416929004374</v>
      </c>
      <c r="BN29">
        <v>10.328756450616057</v>
      </c>
      <c r="BP29">
        <v>2016</v>
      </c>
      <c r="BQ29">
        <v>1.147</v>
      </c>
      <c r="BR29">
        <v>10.530999999999999</v>
      </c>
      <c r="BS29">
        <v>204.94699999999995</v>
      </c>
      <c r="BT29" s="460">
        <v>5.5965688690246766E-3</v>
      </c>
      <c r="BU29" s="460">
        <v>5.1384016355448002E-2</v>
      </c>
      <c r="BV29" s="460">
        <v>5.6980585224472677E-2</v>
      </c>
      <c r="BX29">
        <v>1987</v>
      </c>
      <c r="BY29">
        <v>56830</v>
      </c>
      <c r="BZ29">
        <v>988</v>
      </c>
      <c r="CA29">
        <v>36657.78</v>
      </c>
      <c r="CB29">
        <v>4469.3147577156196</v>
      </c>
      <c r="CC29">
        <v>5859.4416929004374</v>
      </c>
      <c r="CD29">
        <v>120287</v>
      </c>
      <c r="CE29">
        <v>13545</v>
      </c>
      <c r="CF29">
        <v>85563</v>
      </c>
      <c r="CG29">
        <v>0</v>
      </c>
      <c r="CH29">
        <v>0</v>
      </c>
      <c r="CI29">
        <v>177117</v>
      </c>
      <c r="CJ29">
        <v>14533</v>
      </c>
      <c r="CK29">
        <v>122220.78</v>
      </c>
      <c r="CL29">
        <v>4469.3147577156196</v>
      </c>
      <c r="CM29">
        <v>5859.4416929004374</v>
      </c>
      <c r="CN29">
        <v>324199.53645061608</v>
      </c>
      <c r="CO29">
        <v>1987</v>
      </c>
      <c r="CP29">
        <v>196119.31475771562</v>
      </c>
      <c r="CQ29">
        <v>128080.22169290044</v>
      </c>
      <c r="CS29" t="b">
        <v>1</v>
      </c>
      <c r="CT29" t="b">
        <v>1</v>
      </c>
      <c r="CV29">
        <v>1987</v>
      </c>
      <c r="CW29">
        <v>575.57882629967821</v>
      </c>
      <c r="CX29">
        <v>387.79577999999998</v>
      </c>
      <c r="CY29">
        <v>963.37460629967813</v>
      </c>
      <c r="CZ29">
        <v>0.59746107333104459</v>
      </c>
      <c r="DD29">
        <v>1987</v>
      </c>
      <c r="DE29" s="47">
        <v>56830</v>
      </c>
      <c r="DF29" s="47">
        <v>988</v>
      </c>
      <c r="DG29" s="47">
        <v>36657.78</v>
      </c>
      <c r="DH29" s="47">
        <v>4469.3147577156196</v>
      </c>
      <c r="DI29" s="47">
        <v>5859.4416929004374</v>
      </c>
      <c r="DJ29" s="47">
        <v>120287</v>
      </c>
      <c r="DK29" s="47">
        <v>13545</v>
      </c>
      <c r="DL29" s="47">
        <v>85563</v>
      </c>
      <c r="DM29" s="130" t="s">
        <v>728</v>
      </c>
      <c r="DN29" s="130" t="s">
        <v>728</v>
      </c>
      <c r="DO29" s="47">
        <v>177117</v>
      </c>
      <c r="DP29" s="47">
        <v>14533</v>
      </c>
      <c r="DQ29" s="47">
        <v>122220.78</v>
      </c>
      <c r="DR29" s="47">
        <v>4469.3147577156196</v>
      </c>
      <c r="DS29" s="47">
        <v>5859.4416929004374</v>
      </c>
      <c r="DT29" s="47">
        <v>324199.53645061608</v>
      </c>
      <c r="DV29" s="47">
        <f t="shared" si="30"/>
        <v>94475.78</v>
      </c>
      <c r="DW29" s="47">
        <f t="shared" si="27"/>
        <v>219395</v>
      </c>
      <c r="DX29" s="47">
        <f t="shared" si="28"/>
        <v>313870.78000000003</v>
      </c>
      <c r="DY29" s="242">
        <f t="shared" si="31"/>
        <v>0.69899784873252613</v>
      </c>
      <c r="DZ29" s="276">
        <v>1987</v>
      </c>
      <c r="EA29" s="47">
        <f t="shared" si="29"/>
        <v>10328.756450616056</v>
      </c>
      <c r="EC29" s="47"/>
      <c r="EF29" s="276">
        <v>1987</v>
      </c>
      <c r="EK29">
        <v>2005</v>
      </c>
      <c r="EL29">
        <v>712</v>
      </c>
      <c r="EM29">
        <v>29915</v>
      </c>
      <c r="EN29">
        <v>4707</v>
      </c>
      <c r="EO29">
        <v>16700</v>
      </c>
      <c r="EP29">
        <v>184774</v>
      </c>
      <c r="EQ29">
        <v>236808</v>
      </c>
      <c r="ER29">
        <v>978</v>
      </c>
      <c r="ES29">
        <v>4605</v>
      </c>
      <c r="ET29">
        <v>1007</v>
      </c>
      <c r="EU29">
        <v>41425</v>
      </c>
      <c r="EV29">
        <v>940</v>
      </c>
      <c r="EW29">
        <v>48955</v>
      </c>
      <c r="EX29">
        <v>1690</v>
      </c>
      <c r="EY29">
        <v>34520</v>
      </c>
      <c r="EZ29">
        <v>5714</v>
      </c>
      <c r="FA29">
        <v>58125</v>
      </c>
      <c r="FB29">
        <v>185714</v>
      </c>
      <c r="FC29">
        <v>285763</v>
      </c>
      <c r="FD29">
        <v>294098</v>
      </c>
      <c r="FE29">
        <v>126719</v>
      </c>
      <c r="FG29">
        <v>2005</v>
      </c>
      <c r="FH29" s="47">
        <f t="shared" si="0"/>
        <v>2311</v>
      </c>
      <c r="FI29" s="47">
        <f t="shared" si="1"/>
        <v>55724</v>
      </c>
      <c r="FJ29" s="47">
        <f t="shared" si="2"/>
        <v>6999</v>
      </c>
      <c r="FK29" s="47">
        <f t="shared" si="18"/>
        <v>65034</v>
      </c>
      <c r="FL29" s="47">
        <f t="shared" si="19"/>
        <v>62723</v>
      </c>
      <c r="FM29" s="47"/>
      <c r="FN29" s="47">
        <f t="shared" si="3"/>
        <v>29</v>
      </c>
      <c r="FO29" s="47">
        <f t="shared" si="4"/>
        <v>1159</v>
      </c>
      <c r="FP29" s="47">
        <f t="shared" si="5"/>
        <v>192</v>
      </c>
      <c r="FQ29" s="47">
        <f t="shared" si="20"/>
        <v>1380</v>
      </c>
      <c r="FR29" s="47">
        <f t="shared" si="21"/>
        <v>1351</v>
      </c>
      <c r="FS29" s="47"/>
      <c r="FT29" s="47">
        <f t="shared" si="6"/>
        <v>396254</v>
      </c>
      <c r="FU29" s="47">
        <f t="shared" si="7"/>
        <v>24563</v>
      </c>
      <c r="FV29" s="47">
        <f t="shared" si="22"/>
        <v>420817</v>
      </c>
      <c r="FX29" s="242">
        <f t="shared" si="8"/>
        <v>5.8321177830381521E-3</v>
      </c>
      <c r="FY29" s="242">
        <f t="shared" si="9"/>
        <v>0.14062697158893034</v>
      </c>
      <c r="FZ29" s="242">
        <f t="shared" si="10"/>
        <v>1.7662913181948951E-2</v>
      </c>
      <c r="GA29" s="242">
        <f t="shared" si="11"/>
        <v>0.16412200255391743</v>
      </c>
      <c r="GB29" s="242">
        <f t="shared" si="12"/>
        <v>0.1582898847708793</v>
      </c>
      <c r="GC29" s="47"/>
      <c r="GD29" s="242">
        <f t="shared" si="13"/>
        <v>1.1806375442739079E-3</v>
      </c>
      <c r="GE29" s="242">
        <f t="shared" si="14"/>
        <v>4.7184790131498594E-2</v>
      </c>
      <c r="GF29" s="242">
        <f t="shared" si="15"/>
        <v>7.8166347758824254E-3</v>
      </c>
      <c r="GG29" s="367">
        <f t="shared" si="16"/>
        <v>5.6182062451654927E-2</v>
      </c>
      <c r="GH29" s="242">
        <f t="shared" si="17"/>
        <v>5.5001424907381018E-2</v>
      </c>
      <c r="GV29">
        <v>2005</v>
      </c>
      <c r="GX29" s="47">
        <f t="shared" si="23"/>
        <v>396254</v>
      </c>
      <c r="GY29" s="47">
        <f t="shared" ref="GY29:GY41" si="32">CT81</f>
        <v>384339.96588971006</v>
      </c>
      <c r="GZ29" s="47">
        <f t="shared" ref="GZ29:GZ31" si="33">GX29-GY29</f>
        <v>11914.03411028994</v>
      </c>
      <c r="HB29" s="47">
        <f t="shared" si="24"/>
        <v>24563</v>
      </c>
      <c r="HC29" s="47">
        <f t="shared" ref="HC29:HC41" si="34">CK81</f>
        <v>17628.770774709868</v>
      </c>
      <c r="HD29" s="47">
        <f t="shared" ref="HD29:HD31" si="35">HB29-HC29</f>
        <v>6934.2292252901316</v>
      </c>
      <c r="HE29" s="242">
        <f t="shared" ref="HE29:HE31" si="36">HC29/HB29</f>
        <v>0.71769615986279645</v>
      </c>
      <c r="HF29" s="47"/>
      <c r="HG29" s="47">
        <f t="shared" ref="HG29:HH31" si="37">GX29+HB29</f>
        <v>420817</v>
      </c>
      <c r="HH29" s="47">
        <f t="shared" si="37"/>
        <v>401968.73666441994</v>
      </c>
      <c r="HI29" s="47">
        <f t="shared" ref="HI29:HI31" si="38">HG29-HH29</f>
        <v>18848.263335580064</v>
      </c>
      <c r="HK29" s="242">
        <f t="shared" si="25"/>
        <v>0.1582898847708793</v>
      </c>
      <c r="HL29" s="242">
        <f t="shared" ref="HL29:HL41" si="39">CS81</f>
        <v>0.1205</v>
      </c>
      <c r="HM29" s="242">
        <f t="shared" ref="HM29:HM31" si="40">HK29-HL29</f>
        <v>3.7789884770879301E-2</v>
      </c>
      <c r="HO29" s="242">
        <f t="shared" si="26"/>
        <v>5.5001424907381018E-2</v>
      </c>
      <c r="HP29" s="242">
        <f t="shared" ref="HP29:HP41" si="41">CJ81</f>
        <v>0.11</v>
      </c>
      <c r="HQ29" s="242">
        <f t="shared" ref="HQ29:HQ31" si="42">HO29-HP29</f>
        <v>-5.4998575092618983E-2</v>
      </c>
      <c r="HR29" s="47"/>
      <c r="HS29" s="268">
        <f t="shared" ref="HS29:HT31" si="43">HK29+HO29</f>
        <v>0.21329130967826032</v>
      </c>
      <c r="HT29" s="268">
        <f t="shared" si="43"/>
        <v>0.23049999999999998</v>
      </c>
      <c r="HU29" s="268">
        <f t="shared" ref="HU29:HU31" si="44">HS29-HT29</f>
        <v>-1.7208690321739661E-2</v>
      </c>
      <c r="HW29">
        <v>2005</v>
      </c>
    </row>
    <row r="30" spans="2:231" x14ac:dyDescent="0.25">
      <c r="AP30">
        <v>1988</v>
      </c>
      <c r="AQ30" s="47">
        <v>343.01702003337596</v>
      </c>
      <c r="AR30" s="47">
        <v>343.12264309369823</v>
      </c>
      <c r="AS30" s="47">
        <v>686.13966312707419</v>
      </c>
      <c r="AT30" s="596">
        <v>0.48276537319470281</v>
      </c>
      <c r="AU30" s="47">
        <v>588.05399999999997</v>
      </c>
      <c r="AV30" s="47">
        <v>738.5</v>
      </c>
      <c r="AW30" s="47">
        <v>1326.5540000000001</v>
      </c>
      <c r="AX30" s="47">
        <v>57.410000000000004</v>
      </c>
      <c r="AY30" s="460">
        <v>0.56596257377528847</v>
      </c>
      <c r="AZ30">
        <v>141.24100000000001</v>
      </c>
      <c r="BB30">
        <v>1988</v>
      </c>
      <c r="BC30">
        <v>5.3491691788759548</v>
      </c>
      <c r="BD30">
        <v>9.9341713321982024</v>
      </c>
      <c r="BE30">
        <v>15.283340511074158</v>
      </c>
      <c r="BF30">
        <v>2.63</v>
      </c>
      <c r="BG30">
        <v>0.58699999999999997</v>
      </c>
      <c r="BH30">
        <v>3.2169999999999996</v>
      </c>
      <c r="BI30">
        <v>7.9791691788759547</v>
      </c>
      <c r="BJ30">
        <v>10.521171332198202</v>
      </c>
      <c r="BK30">
        <v>18.500340511074157</v>
      </c>
      <c r="BL30">
        <v>7979.1691788759545</v>
      </c>
      <c r="BM30">
        <v>10521.171332198202</v>
      </c>
      <c r="BN30">
        <v>18.50034051107416</v>
      </c>
      <c r="BP30">
        <v>2017</v>
      </c>
      <c r="BQ30">
        <v>0.93199999999999994</v>
      </c>
      <c r="BR30">
        <v>21.236000000000001</v>
      </c>
      <c r="BS30">
        <v>235.65600000000001</v>
      </c>
      <c r="BT30" s="460">
        <v>3.954917337135485E-3</v>
      </c>
      <c r="BU30" s="460">
        <v>9.0114404046576363E-2</v>
      </c>
      <c r="BV30" s="460">
        <v>9.4069321383711851E-2</v>
      </c>
      <c r="BX30">
        <v>1988</v>
      </c>
      <c r="BY30">
        <v>76189.850854499993</v>
      </c>
      <c r="BZ30">
        <v>3143</v>
      </c>
      <c r="CA30">
        <v>71061.471761499997</v>
      </c>
      <c r="CB30">
        <v>7979.1691788759545</v>
      </c>
      <c r="CC30">
        <v>10521.171332198202</v>
      </c>
      <c r="CD30">
        <v>205898</v>
      </c>
      <c r="CE30">
        <v>49807</v>
      </c>
      <c r="CF30">
        <v>261540</v>
      </c>
      <c r="CG30">
        <v>0</v>
      </c>
      <c r="CH30">
        <v>0</v>
      </c>
      <c r="CI30">
        <v>282087.85085449996</v>
      </c>
      <c r="CJ30">
        <v>52950</v>
      </c>
      <c r="CK30">
        <v>332601.4717615</v>
      </c>
      <c r="CL30">
        <v>7979.1691788759545</v>
      </c>
      <c r="CM30">
        <v>10521.171332198202</v>
      </c>
      <c r="CN30">
        <v>686139.66312707413</v>
      </c>
      <c r="CO30">
        <v>1988</v>
      </c>
      <c r="CP30">
        <v>343017.02003337594</v>
      </c>
      <c r="CQ30">
        <v>343122.64309369819</v>
      </c>
      <c r="CS30" t="b">
        <v>1</v>
      </c>
      <c r="CT30" t="b">
        <v>1</v>
      </c>
      <c r="CV30">
        <v>1988</v>
      </c>
      <c r="CW30">
        <v>1020.7667347561669</v>
      </c>
      <c r="CX30">
        <v>782.82732261599983</v>
      </c>
      <c r="CY30">
        <v>1803.5940573721668</v>
      </c>
      <c r="CZ30">
        <v>0.56596257377528847</v>
      </c>
      <c r="DD30">
        <v>1988</v>
      </c>
      <c r="DE30" s="47">
        <v>76189.850854499993</v>
      </c>
      <c r="DF30" s="47">
        <v>3143</v>
      </c>
      <c r="DG30" s="47">
        <v>71061.471761499997</v>
      </c>
      <c r="DH30" s="47">
        <v>7979.1691788759545</v>
      </c>
      <c r="DI30" s="47">
        <v>10521.171332198202</v>
      </c>
      <c r="DJ30" s="47">
        <v>205898</v>
      </c>
      <c r="DK30" s="47">
        <v>49807</v>
      </c>
      <c r="DL30" s="47">
        <v>261540</v>
      </c>
      <c r="DM30" s="130" t="s">
        <v>728</v>
      </c>
      <c r="DN30" s="130" t="s">
        <v>728</v>
      </c>
      <c r="DO30" s="47">
        <v>282087.85085449996</v>
      </c>
      <c r="DP30" s="47">
        <v>52950</v>
      </c>
      <c r="DQ30" s="47">
        <v>332601.4717615</v>
      </c>
      <c r="DR30" s="47">
        <v>7979.1691788759545</v>
      </c>
      <c r="DS30" s="47">
        <v>10521.171332198202</v>
      </c>
      <c r="DT30" s="47">
        <v>686139.66312707413</v>
      </c>
      <c r="DV30" s="47">
        <f t="shared" si="30"/>
        <v>150394.32261599999</v>
      </c>
      <c r="DW30" s="47">
        <f t="shared" si="27"/>
        <v>517245</v>
      </c>
      <c r="DX30" s="47">
        <f t="shared" si="28"/>
        <v>667639.32261599996</v>
      </c>
      <c r="DY30" s="242">
        <f t="shared" si="31"/>
        <v>0.77473717092229921</v>
      </c>
      <c r="DZ30" s="276">
        <v>1988</v>
      </c>
      <c r="EA30" s="47">
        <f t="shared" si="29"/>
        <v>18500.340511074159</v>
      </c>
      <c r="EC30" s="47"/>
      <c r="EF30" s="276">
        <v>1988</v>
      </c>
      <c r="EK30">
        <v>2006</v>
      </c>
      <c r="EL30">
        <v>1005</v>
      </c>
      <c r="EM30">
        <v>23687</v>
      </c>
      <c r="EN30">
        <v>8973</v>
      </c>
      <c r="EO30">
        <v>30344</v>
      </c>
      <c r="EP30">
        <v>198874</v>
      </c>
      <c r="EQ30">
        <v>262883</v>
      </c>
      <c r="ER30">
        <v>2</v>
      </c>
      <c r="ES30">
        <v>8</v>
      </c>
      <c r="ET30">
        <v>4</v>
      </c>
      <c r="EU30">
        <v>14</v>
      </c>
      <c r="EV30">
        <v>100</v>
      </c>
      <c r="EW30">
        <v>128</v>
      </c>
      <c r="EX30">
        <v>1007</v>
      </c>
      <c r="EY30">
        <v>23695</v>
      </c>
      <c r="EZ30">
        <v>8977</v>
      </c>
      <c r="FA30">
        <v>30358</v>
      </c>
      <c r="FB30">
        <v>198974</v>
      </c>
      <c r="FC30">
        <v>263011</v>
      </c>
      <c r="FD30">
        <v>278988</v>
      </c>
      <c r="FE30">
        <v>208246</v>
      </c>
      <c r="FG30">
        <v>2006</v>
      </c>
      <c r="FH30" s="47">
        <f t="shared" si="0"/>
        <v>2142</v>
      </c>
      <c r="FI30" s="47">
        <f t="shared" si="1"/>
        <v>53411</v>
      </c>
      <c r="FJ30" s="47">
        <f t="shared" si="2"/>
        <v>12648</v>
      </c>
      <c r="FK30" s="47">
        <f t="shared" si="18"/>
        <v>68201</v>
      </c>
      <c r="FL30" s="47">
        <f t="shared" si="19"/>
        <v>66059</v>
      </c>
      <c r="FM30" s="47"/>
      <c r="FN30" s="47">
        <f t="shared" si="3"/>
        <v>34</v>
      </c>
      <c r="FO30" s="47">
        <f t="shared" si="4"/>
        <v>1545</v>
      </c>
      <c r="FP30" s="47">
        <f t="shared" si="5"/>
        <v>463</v>
      </c>
      <c r="FQ30" s="47">
        <f t="shared" si="20"/>
        <v>2042</v>
      </c>
      <c r="FR30" s="47">
        <f t="shared" si="21"/>
        <v>2008</v>
      </c>
      <c r="FS30" s="47"/>
      <c r="FT30" s="47">
        <f t="shared" si="6"/>
        <v>457447</v>
      </c>
      <c r="FU30" s="47">
        <f t="shared" si="7"/>
        <v>29787</v>
      </c>
      <c r="FV30" s="47">
        <f t="shared" si="22"/>
        <v>487234</v>
      </c>
      <c r="FX30" s="242">
        <f t="shared" si="8"/>
        <v>4.6825096677866511E-3</v>
      </c>
      <c r="FY30" s="242">
        <f t="shared" si="9"/>
        <v>0.11675888135674733</v>
      </c>
      <c r="FZ30" s="242">
        <f t="shared" si="10"/>
        <v>2.7649104705025938E-2</v>
      </c>
      <c r="GA30" s="242">
        <f t="shared" si="11"/>
        <v>0.14909049572955993</v>
      </c>
      <c r="GB30" s="242">
        <f t="shared" si="12"/>
        <v>0.14440798606177327</v>
      </c>
      <c r="GC30" s="47"/>
      <c r="GD30" s="242">
        <f t="shared" si="13"/>
        <v>1.1414375398663846E-3</v>
      </c>
      <c r="GE30" s="242">
        <f t="shared" si="14"/>
        <v>5.1868264679222481E-2</v>
      </c>
      <c r="GF30" s="242">
        <f t="shared" si="15"/>
        <v>1.5543693557592239E-2</v>
      </c>
      <c r="GG30" s="242">
        <f t="shared" si="16"/>
        <v>6.8553395776681098E-2</v>
      </c>
      <c r="GH30" s="242">
        <f t="shared" si="17"/>
        <v>6.7411958236814715E-2</v>
      </c>
      <c r="GV30">
        <v>2006</v>
      </c>
      <c r="GX30" s="47">
        <f t="shared" si="23"/>
        <v>457447</v>
      </c>
      <c r="GY30" s="47">
        <f t="shared" si="32"/>
        <v>419373.85754360654</v>
      </c>
      <c r="GZ30" s="47">
        <f t="shared" si="33"/>
        <v>38073.142456393456</v>
      </c>
      <c r="HB30" s="47">
        <f t="shared" si="24"/>
        <v>29787</v>
      </c>
      <c r="HC30" s="47">
        <f t="shared" si="34"/>
        <v>29194.646423949795</v>
      </c>
      <c r="HD30" s="47">
        <f t="shared" si="35"/>
        <v>592.35357605020545</v>
      </c>
      <c r="HE30" s="242">
        <f t="shared" si="36"/>
        <v>0.9801136879830058</v>
      </c>
      <c r="HF30" s="47"/>
      <c r="HG30" s="47">
        <f t="shared" si="37"/>
        <v>487234</v>
      </c>
      <c r="HH30" s="47">
        <f t="shared" si="37"/>
        <v>448568.50396755635</v>
      </c>
      <c r="HI30" s="47">
        <f t="shared" si="38"/>
        <v>38665.496032443654</v>
      </c>
      <c r="HK30" s="242">
        <f t="shared" si="25"/>
        <v>0.14440798606177327</v>
      </c>
      <c r="HL30" s="242">
        <f t="shared" si="39"/>
        <v>8.7828215519553887E-2</v>
      </c>
      <c r="HM30" s="242">
        <f t="shared" si="40"/>
        <v>5.6579770542219382E-2</v>
      </c>
      <c r="HO30" s="242">
        <f t="shared" si="26"/>
        <v>6.7411958236814715E-2</v>
      </c>
      <c r="HP30" s="242">
        <f t="shared" si="41"/>
        <v>7.0000000000000007E-2</v>
      </c>
      <c r="HQ30" s="242">
        <f t="shared" si="42"/>
        <v>-2.588041763185292E-3</v>
      </c>
      <c r="HR30" s="47"/>
      <c r="HS30" s="268">
        <f t="shared" si="43"/>
        <v>0.21181994429858797</v>
      </c>
      <c r="HT30" s="268">
        <f t="shared" si="43"/>
        <v>0.15782821551955389</v>
      </c>
      <c r="HU30" s="268">
        <f t="shared" si="44"/>
        <v>5.3991728779034076E-2</v>
      </c>
      <c r="HW30">
        <v>2006</v>
      </c>
    </row>
    <row r="31" spans="2:231" x14ac:dyDescent="0.25">
      <c r="AP31">
        <v>1989</v>
      </c>
      <c r="AQ31" s="47">
        <v>273.70395379226426</v>
      </c>
      <c r="AR31" s="47">
        <v>454.98093189991948</v>
      </c>
      <c r="AS31" s="47">
        <v>728.6848856921838</v>
      </c>
      <c r="AT31" s="596">
        <v>0.58883211357644827</v>
      </c>
      <c r="AU31" s="47">
        <v>869.10199999999998</v>
      </c>
      <c r="AV31" s="47">
        <v>903.13</v>
      </c>
      <c r="AW31" s="47">
        <v>1772.232</v>
      </c>
      <c r="AX31" s="47">
        <v>55.722999999999999</v>
      </c>
      <c r="AY31" s="460">
        <v>0.55605460764622261</v>
      </c>
      <c r="AZ31">
        <v>149.72399999999999</v>
      </c>
      <c r="BB31">
        <v>1989</v>
      </c>
      <c r="BC31">
        <v>6.8744737922643031</v>
      </c>
      <c r="BD31">
        <v>12.766879899919422</v>
      </c>
      <c r="BE31">
        <v>19.641353692183724</v>
      </c>
      <c r="BF31">
        <v>3.0539999999999998</v>
      </c>
      <c r="BG31">
        <v>1.4059999999999999</v>
      </c>
      <c r="BH31">
        <v>4.46</v>
      </c>
      <c r="BI31">
        <v>9.9284737922643025</v>
      </c>
      <c r="BJ31">
        <v>14.172879899919423</v>
      </c>
      <c r="BK31">
        <v>24.101353692183725</v>
      </c>
      <c r="BL31">
        <v>9928.4737922643035</v>
      </c>
      <c r="BM31">
        <v>14172.879899919422</v>
      </c>
      <c r="BN31">
        <v>24.101353692183725</v>
      </c>
      <c r="BX31">
        <v>1989</v>
      </c>
      <c r="BY31">
        <v>119899.47999999998</v>
      </c>
      <c r="BZ31">
        <v>2725</v>
      </c>
      <c r="CA31">
        <v>95296.051999999996</v>
      </c>
      <c r="CB31">
        <v>9928.4737922643035</v>
      </c>
      <c r="CC31">
        <v>14172.879899919422</v>
      </c>
      <c r="CD31">
        <v>114926</v>
      </c>
      <c r="CE31">
        <v>26225</v>
      </c>
      <c r="CF31">
        <v>345512</v>
      </c>
      <c r="CG31">
        <v>0</v>
      </c>
      <c r="CH31">
        <v>0</v>
      </c>
      <c r="CI31">
        <v>234825.47999999998</v>
      </c>
      <c r="CJ31">
        <v>28950</v>
      </c>
      <c r="CK31">
        <v>440808.05200000003</v>
      </c>
      <c r="CL31">
        <v>9928.4737922643035</v>
      </c>
      <c r="CM31">
        <v>14172.879899919422</v>
      </c>
      <c r="CN31">
        <v>728684.88569218374</v>
      </c>
      <c r="CO31">
        <v>1989</v>
      </c>
      <c r="CP31">
        <v>273703.95379226428</v>
      </c>
      <c r="CQ31">
        <v>454980.93189991947</v>
      </c>
      <c r="CS31" t="b">
        <v>1</v>
      </c>
      <c r="CT31" t="b">
        <v>1</v>
      </c>
      <c r="CV31">
        <v>1989</v>
      </c>
      <c r="CW31">
        <v>1015.4674962425264</v>
      </c>
      <c r="CX31">
        <v>810.73353200000008</v>
      </c>
      <c r="CY31">
        <v>1826.2010282425265</v>
      </c>
      <c r="CZ31">
        <v>0.55605460764622261</v>
      </c>
      <c r="DD31">
        <v>1989</v>
      </c>
      <c r="DE31" s="47">
        <v>119899.47999999998</v>
      </c>
      <c r="DF31" s="47">
        <v>2725</v>
      </c>
      <c r="DG31" s="47">
        <v>95296.051999999996</v>
      </c>
      <c r="DH31" s="47">
        <v>9928.4737922643035</v>
      </c>
      <c r="DI31" s="47">
        <v>14172.879899919422</v>
      </c>
      <c r="DJ31" s="47">
        <v>114926</v>
      </c>
      <c r="DK31" s="47">
        <v>26225</v>
      </c>
      <c r="DL31" s="47">
        <v>345512</v>
      </c>
      <c r="DM31" s="130" t="s">
        <v>728</v>
      </c>
      <c r="DN31" s="130" t="s">
        <v>728</v>
      </c>
      <c r="DO31" s="47">
        <v>234825.47999999998</v>
      </c>
      <c r="DP31" s="47">
        <v>28950</v>
      </c>
      <c r="DQ31" s="47">
        <v>440808.05200000003</v>
      </c>
      <c r="DR31" s="47">
        <v>9928.4737922643035</v>
      </c>
      <c r="DS31" s="47">
        <v>14172.879899919422</v>
      </c>
      <c r="DT31" s="47">
        <v>728684.88569218374</v>
      </c>
      <c r="DV31" s="47">
        <f t="shared" si="30"/>
        <v>217920.53199999998</v>
      </c>
      <c r="DW31" s="47">
        <f t="shared" si="27"/>
        <v>486663</v>
      </c>
      <c r="DX31" s="47">
        <f t="shared" si="28"/>
        <v>704583.53200000001</v>
      </c>
      <c r="DY31" s="242">
        <f t="shared" si="31"/>
        <v>0.69071015415103398</v>
      </c>
      <c r="DZ31" s="276">
        <v>1989</v>
      </c>
      <c r="EA31" s="47">
        <f t="shared" si="29"/>
        <v>24101.353692183726</v>
      </c>
      <c r="EC31" s="47"/>
      <c r="EF31" s="276">
        <v>1989</v>
      </c>
      <c r="EK31">
        <v>2007</v>
      </c>
      <c r="EL31">
        <v>1265</v>
      </c>
      <c r="EM31">
        <v>59197</v>
      </c>
      <c r="EN31">
        <v>36700</v>
      </c>
      <c r="EO31">
        <v>59213</v>
      </c>
      <c r="EP31">
        <v>158720</v>
      </c>
      <c r="EQ31">
        <v>315095</v>
      </c>
      <c r="ER31">
        <v>26</v>
      </c>
      <c r="ES31">
        <v>161</v>
      </c>
      <c r="ET31">
        <v>137</v>
      </c>
      <c r="EU31">
        <v>76</v>
      </c>
      <c r="EV31">
        <v>509</v>
      </c>
      <c r="EW31">
        <v>909</v>
      </c>
      <c r="EX31">
        <v>1291</v>
      </c>
      <c r="EY31">
        <v>59358</v>
      </c>
      <c r="EZ31">
        <v>36837</v>
      </c>
      <c r="FA31">
        <v>59289</v>
      </c>
      <c r="FB31">
        <v>159229</v>
      </c>
      <c r="FC31">
        <v>316004</v>
      </c>
      <c r="FD31">
        <v>327094</v>
      </c>
      <c r="FE31">
        <v>204599</v>
      </c>
      <c r="FG31">
        <v>2007</v>
      </c>
      <c r="FH31" s="47">
        <f t="shared" si="0"/>
        <v>2723</v>
      </c>
      <c r="FI31" s="47">
        <f t="shared" si="1"/>
        <v>117301</v>
      </c>
      <c r="FJ31" s="47">
        <f t="shared" si="2"/>
        <v>48641</v>
      </c>
      <c r="FK31" s="47">
        <f t="shared" si="18"/>
        <v>168665</v>
      </c>
      <c r="FL31" s="47">
        <f t="shared" si="19"/>
        <v>165942</v>
      </c>
      <c r="FM31" s="47"/>
      <c r="FN31" s="47">
        <f t="shared" si="3"/>
        <v>29</v>
      </c>
      <c r="FO31" s="47">
        <f t="shared" si="4"/>
        <v>1538</v>
      </c>
      <c r="FP31" s="47">
        <f t="shared" si="5"/>
        <v>670</v>
      </c>
      <c r="FQ31" s="47">
        <f t="shared" si="20"/>
        <v>2237</v>
      </c>
      <c r="FR31" s="47">
        <f t="shared" si="21"/>
        <v>2208</v>
      </c>
      <c r="FS31" s="47"/>
      <c r="FT31" s="47">
        <f t="shared" si="6"/>
        <v>511194</v>
      </c>
      <c r="FU31" s="47">
        <f t="shared" si="7"/>
        <v>20499</v>
      </c>
      <c r="FV31" s="47">
        <f t="shared" si="22"/>
        <v>531693</v>
      </c>
      <c r="FX31" s="242">
        <f t="shared" si="8"/>
        <v>5.326744836598239E-3</v>
      </c>
      <c r="FY31" s="242">
        <f t="shared" si="9"/>
        <v>0.22946474332640837</v>
      </c>
      <c r="FZ31" s="242">
        <f t="shared" si="10"/>
        <v>9.5151742782583523E-2</v>
      </c>
      <c r="GA31" s="242">
        <f t="shared" si="11"/>
        <v>0.32994323094559014</v>
      </c>
      <c r="GB31" s="242">
        <f t="shared" si="12"/>
        <v>0.32461648610899191</v>
      </c>
      <c r="GC31" s="47"/>
      <c r="GD31" s="242">
        <f t="shared" si="13"/>
        <v>1.4147031562515245E-3</v>
      </c>
      <c r="GE31" s="242">
        <f t="shared" si="14"/>
        <v>7.5028050148787745E-2</v>
      </c>
      <c r="GF31" s="242">
        <f t="shared" si="15"/>
        <v>3.2684521196155912E-2</v>
      </c>
      <c r="GG31" s="366">
        <f t="shared" si="16"/>
        <v>0.10912727450119518</v>
      </c>
      <c r="GH31" s="242">
        <f t="shared" si="17"/>
        <v>0.10771257134494365</v>
      </c>
      <c r="GV31">
        <v>2007</v>
      </c>
      <c r="GX31" s="47">
        <f t="shared" si="23"/>
        <v>511194</v>
      </c>
      <c r="GY31" s="47">
        <f t="shared" si="32"/>
        <v>457827.62184388196</v>
      </c>
      <c r="GZ31" s="47">
        <f t="shared" si="33"/>
        <v>53366.378156118037</v>
      </c>
      <c r="HB31" s="47">
        <f t="shared" si="24"/>
        <v>20499</v>
      </c>
      <c r="HC31" s="47">
        <f t="shared" si="34"/>
        <v>21840.085574296278</v>
      </c>
      <c r="HD31" s="47">
        <f t="shared" si="35"/>
        <v>-1341.0855742962776</v>
      </c>
      <c r="HE31" s="242">
        <f t="shared" si="36"/>
        <v>1.0654219998193217</v>
      </c>
      <c r="HF31" s="47"/>
      <c r="HG31" s="47">
        <f t="shared" si="37"/>
        <v>531693</v>
      </c>
      <c r="HH31" s="47">
        <f t="shared" si="37"/>
        <v>479667.70741817827</v>
      </c>
      <c r="HI31" s="47">
        <f t="shared" si="38"/>
        <v>52025.292581821734</v>
      </c>
      <c r="HK31" s="242">
        <f t="shared" si="25"/>
        <v>0.32461648610899191</v>
      </c>
      <c r="HL31" s="242">
        <f t="shared" si="39"/>
        <v>0.27963498866291214</v>
      </c>
      <c r="HM31" s="242">
        <f t="shared" si="40"/>
        <v>4.4981497446079766E-2</v>
      </c>
      <c r="HO31" s="242">
        <f t="shared" si="26"/>
        <v>0.10771257134494365</v>
      </c>
      <c r="HP31" s="242">
        <f t="shared" si="41"/>
        <v>0.12</v>
      </c>
      <c r="HQ31" s="242">
        <f t="shared" si="42"/>
        <v>-1.2287428655056346E-2</v>
      </c>
      <c r="HR31" s="47"/>
      <c r="HS31" s="268">
        <f t="shared" si="43"/>
        <v>0.43232905745393557</v>
      </c>
      <c r="HT31" s="268">
        <f t="shared" si="43"/>
        <v>0.39963498866291214</v>
      </c>
      <c r="HU31" s="268">
        <f t="shared" si="44"/>
        <v>3.2694068791023434E-2</v>
      </c>
      <c r="HW31">
        <v>2007</v>
      </c>
    </row>
    <row r="32" spans="2:231" x14ac:dyDescent="0.25">
      <c r="AP32">
        <v>1990</v>
      </c>
      <c r="AQ32" s="47">
        <v>112.77436516861917</v>
      </c>
      <c r="AR32" s="47">
        <v>95.208277170292732</v>
      </c>
      <c r="AS32" s="47">
        <v>207.98264233891189</v>
      </c>
      <c r="AT32" s="596">
        <v>0.64926450304573113</v>
      </c>
      <c r="AU32" s="47">
        <v>399.51499999999999</v>
      </c>
      <c r="AV32" s="47">
        <v>193.47499999999999</v>
      </c>
      <c r="AW32" s="47">
        <v>592.99</v>
      </c>
      <c r="AX32" s="47">
        <v>26.05</v>
      </c>
      <c r="AY32" s="460">
        <v>0.69120571216379367</v>
      </c>
      <c r="AZ32">
        <v>120.605</v>
      </c>
      <c r="BB32">
        <v>1990</v>
      </c>
      <c r="BC32">
        <v>3.7843551686191659</v>
      </c>
      <c r="BD32">
        <v>7.0280881702927367</v>
      </c>
      <c r="BE32">
        <v>10.812443338911903</v>
      </c>
      <c r="BF32">
        <v>0.75900000000000001</v>
      </c>
      <c r="BG32">
        <v>0.34200000000000003</v>
      </c>
      <c r="BH32">
        <v>1.101</v>
      </c>
      <c r="BI32">
        <v>4.5433551686191658</v>
      </c>
      <c r="BJ32">
        <v>7.3700881702927363</v>
      </c>
      <c r="BK32">
        <v>11.913443338911902</v>
      </c>
      <c r="BL32">
        <v>4543.3551686191659</v>
      </c>
      <c r="BM32">
        <v>7370.0881702927363</v>
      </c>
      <c r="BN32">
        <v>11.913443338911902</v>
      </c>
      <c r="BX32">
        <v>1990</v>
      </c>
      <c r="BY32">
        <v>48585.844000000005</v>
      </c>
      <c r="BZ32">
        <v>2106</v>
      </c>
      <c r="CA32">
        <v>50642.355000000003</v>
      </c>
      <c r="CB32">
        <v>4543.3551686191659</v>
      </c>
      <c r="CC32">
        <v>7370.0881702927363</v>
      </c>
      <c r="CD32">
        <v>38966.165999999997</v>
      </c>
      <c r="CE32">
        <v>18573</v>
      </c>
      <c r="CF32">
        <v>37195.834000000003</v>
      </c>
      <c r="CG32">
        <v>0</v>
      </c>
      <c r="CH32">
        <v>0</v>
      </c>
      <c r="CI32">
        <v>87552.010000000009</v>
      </c>
      <c r="CJ32">
        <v>20679</v>
      </c>
      <c r="CK32">
        <v>87838.189000000013</v>
      </c>
      <c r="CL32">
        <v>4543.3551686191659</v>
      </c>
      <c r="CM32">
        <v>7370.0881702927363</v>
      </c>
      <c r="CN32">
        <v>207982.64233891192</v>
      </c>
      <c r="CO32">
        <v>1990</v>
      </c>
      <c r="CP32">
        <v>112774.36516861917</v>
      </c>
      <c r="CQ32">
        <v>95208.277170292742</v>
      </c>
      <c r="CS32" t="b">
        <v>1</v>
      </c>
      <c r="CT32" t="b">
        <v>1</v>
      </c>
      <c r="CV32">
        <v>1990</v>
      </c>
      <c r="CW32">
        <v>549.31098020194531</v>
      </c>
      <c r="CX32">
        <v>245.403199</v>
      </c>
      <c r="CY32">
        <v>794.71417920194529</v>
      </c>
      <c r="CZ32">
        <v>0.69120571216379367</v>
      </c>
      <c r="DD32">
        <v>1990</v>
      </c>
      <c r="DE32" s="47">
        <v>48585.844000000005</v>
      </c>
      <c r="DF32" s="47">
        <v>2106</v>
      </c>
      <c r="DG32" s="47">
        <v>50642.355000000003</v>
      </c>
      <c r="DH32" s="47">
        <v>4543.3551686191659</v>
      </c>
      <c r="DI32" s="47">
        <v>7370.0881702927363</v>
      </c>
      <c r="DJ32" s="47">
        <v>38966.165999999997</v>
      </c>
      <c r="DK32" s="47">
        <v>18573</v>
      </c>
      <c r="DL32" s="47">
        <v>37195.834000000003</v>
      </c>
      <c r="DM32" s="130" t="s">
        <v>728</v>
      </c>
      <c r="DN32" s="130" t="s">
        <v>728</v>
      </c>
      <c r="DO32" s="47">
        <v>87552.010000000009</v>
      </c>
      <c r="DP32" s="47">
        <v>20679</v>
      </c>
      <c r="DQ32" s="47">
        <v>87838.189000000013</v>
      </c>
      <c r="DR32" s="47">
        <v>4543.3551686191659</v>
      </c>
      <c r="DS32" s="47">
        <v>7370.0881702927363</v>
      </c>
      <c r="DT32" s="47">
        <v>207982.64233891192</v>
      </c>
      <c r="DV32" s="47">
        <f t="shared" si="30"/>
        <v>101334.19900000001</v>
      </c>
      <c r="DW32" s="47">
        <f t="shared" si="27"/>
        <v>94735</v>
      </c>
      <c r="DX32" s="47">
        <f t="shared" si="28"/>
        <v>196069.19900000002</v>
      </c>
      <c r="DY32" s="242">
        <f t="shared" si="31"/>
        <v>0.48317125016663115</v>
      </c>
      <c r="DZ32" s="276">
        <v>1990</v>
      </c>
      <c r="EA32" s="47">
        <f t="shared" si="29"/>
        <v>11913.443338911902</v>
      </c>
      <c r="EC32" s="47"/>
      <c r="EF32" s="276">
        <v>1990</v>
      </c>
      <c r="EK32">
        <v>2008</v>
      </c>
      <c r="EL32">
        <v>312</v>
      </c>
      <c r="EM32">
        <v>12335</v>
      </c>
      <c r="EN32">
        <v>5877</v>
      </c>
      <c r="EO32">
        <v>5688</v>
      </c>
      <c r="EP32">
        <v>251225</v>
      </c>
      <c r="EQ32">
        <v>275437</v>
      </c>
      <c r="ER32">
        <v>873</v>
      </c>
      <c r="ES32">
        <v>1851</v>
      </c>
      <c r="ET32">
        <v>1713</v>
      </c>
      <c r="EU32">
        <v>2064</v>
      </c>
      <c r="EV32">
        <v>49329</v>
      </c>
      <c r="EW32">
        <v>55830</v>
      </c>
      <c r="EX32">
        <v>1185</v>
      </c>
      <c r="EY32">
        <v>14186</v>
      </c>
      <c r="EZ32">
        <v>7590</v>
      </c>
      <c r="FA32">
        <v>7752</v>
      </c>
      <c r="FB32">
        <v>300554</v>
      </c>
      <c r="FC32">
        <v>331267</v>
      </c>
      <c r="FD32">
        <v>342262</v>
      </c>
      <c r="FE32">
        <v>219945</v>
      </c>
      <c r="FG32">
        <v>2008</v>
      </c>
      <c r="FH32" s="47">
        <f t="shared" si="0"/>
        <v>2564</v>
      </c>
      <c r="FI32" s="47">
        <f t="shared" si="1"/>
        <v>29391</v>
      </c>
      <c r="FJ32" s="47">
        <f t="shared" si="2"/>
        <v>9626</v>
      </c>
      <c r="FK32" s="47">
        <f t="shared" si="18"/>
        <v>41581</v>
      </c>
      <c r="FL32" s="47">
        <f t="shared" si="19"/>
        <v>39017</v>
      </c>
      <c r="FM32" s="47"/>
      <c r="FN32" s="47">
        <f t="shared" si="3"/>
        <v>24</v>
      </c>
      <c r="FO32" s="47">
        <f t="shared" si="4"/>
        <v>835</v>
      </c>
      <c r="FP32" s="47">
        <f t="shared" si="5"/>
        <v>93</v>
      </c>
      <c r="FQ32" s="47">
        <f t="shared" si="20"/>
        <v>952</v>
      </c>
      <c r="FR32" s="47">
        <f t="shared" si="21"/>
        <v>928</v>
      </c>
      <c r="FS32" s="47"/>
      <c r="FT32" s="47">
        <f t="shared" si="6"/>
        <v>533507</v>
      </c>
      <c r="FU32" s="47">
        <f t="shared" si="7"/>
        <v>28700</v>
      </c>
      <c r="FV32" s="47">
        <f t="shared" si="22"/>
        <v>562207</v>
      </c>
      <c r="FX32" s="242">
        <f t="shared" si="8"/>
        <v>4.8059350673936799E-3</v>
      </c>
      <c r="FY32" s="242">
        <f t="shared" si="9"/>
        <v>5.5090186258099708E-2</v>
      </c>
      <c r="FZ32" s="242">
        <f t="shared" si="10"/>
        <v>1.8042874788896865E-2</v>
      </c>
      <c r="GA32" s="242">
        <f t="shared" si="11"/>
        <v>7.7938996114390258E-2</v>
      </c>
      <c r="GB32" s="242">
        <f t="shared" si="12"/>
        <v>7.3133061046996573E-2</v>
      </c>
      <c r="GC32" s="47"/>
      <c r="GD32" s="242">
        <f t="shared" si="13"/>
        <v>8.3623693379790941E-4</v>
      </c>
      <c r="GE32" s="242">
        <f t="shared" si="14"/>
        <v>2.9094076655052266E-2</v>
      </c>
      <c r="GF32" s="242">
        <f t="shared" si="15"/>
        <v>3.2404181184668992E-3</v>
      </c>
      <c r="GG32" s="242">
        <f t="shared" si="16"/>
        <v>3.3170731707317075E-2</v>
      </c>
      <c r="GH32" s="242">
        <f t="shared" si="17"/>
        <v>3.2334494773519164E-2</v>
      </c>
      <c r="GV32">
        <v>2008</v>
      </c>
      <c r="GX32" s="47">
        <f t="shared" si="23"/>
        <v>533507</v>
      </c>
      <c r="GY32" s="47">
        <f t="shared" si="32"/>
        <v>512342.14485026122</v>
      </c>
      <c r="GZ32" s="47">
        <f>GX32-GY32</f>
        <v>21164.855149738782</v>
      </c>
      <c r="HB32" s="47">
        <f t="shared" si="24"/>
        <v>28700</v>
      </c>
      <c r="HC32" s="47">
        <f t="shared" si="34"/>
        <v>29489.446510076723</v>
      </c>
      <c r="HD32" s="47">
        <f t="shared" ref="HD32:HD41" si="45">HB32-HC32</f>
        <v>-789.44651007672292</v>
      </c>
      <c r="HE32" s="242">
        <f>HC32/HB32</f>
        <v>1.0275068470410007</v>
      </c>
      <c r="HF32" s="47"/>
      <c r="HG32" s="47">
        <f>GX32+HB32</f>
        <v>562207</v>
      </c>
      <c r="HH32" s="47">
        <f>GY32+HC32</f>
        <v>541831.59136033792</v>
      </c>
      <c r="HI32" s="47">
        <f>HG32-HH32</f>
        <v>20375.408639662084</v>
      </c>
      <c r="HK32" s="242">
        <f t="shared" si="25"/>
        <v>7.3133061046996573E-2</v>
      </c>
      <c r="HL32" s="242">
        <f t="shared" si="39"/>
        <v>3.8818092655785341E-2</v>
      </c>
      <c r="HM32" s="242">
        <f>HK32-HL32</f>
        <v>3.4314968391211231E-2</v>
      </c>
      <c r="HO32" s="242">
        <f t="shared" si="26"/>
        <v>3.2334494773519164E-2</v>
      </c>
      <c r="HP32" s="242">
        <f t="shared" si="41"/>
        <v>0.04</v>
      </c>
      <c r="HQ32" s="242">
        <f>HO32-HP32</f>
        <v>-7.6655052264808371E-3</v>
      </c>
      <c r="HR32" s="47"/>
      <c r="HS32" s="268">
        <f>HK32+HO32</f>
        <v>0.10546755582051573</v>
      </c>
      <c r="HT32" s="268">
        <f>HL32+HP32</f>
        <v>7.8818092655785349E-2</v>
      </c>
      <c r="HU32" s="268">
        <f>HS32-HT32</f>
        <v>2.664946316473038E-2</v>
      </c>
      <c r="HW32">
        <v>2008</v>
      </c>
    </row>
    <row r="33" spans="42:231" x14ac:dyDescent="0.25">
      <c r="AP33">
        <v>1991</v>
      </c>
      <c r="AQ33" s="47">
        <v>526.28128871740341</v>
      </c>
      <c r="AR33" s="47">
        <v>455.20105718946354</v>
      </c>
      <c r="AS33" s="47">
        <v>981.48234590686695</v>
      </c>
      <c r="AT33" s="596">
        <v>0.40875804069982435</v>
      </c>
      <c r="AU33" s="47">
        <v>748.57799999999997</v>
      </c>
      <c r="AV33" s="47">
        <v>911.45699999999999</v>
      </c>
      <c r="AW33" s="47">
        <v>1660.0349999999999</v>
      </c>
      <c r="AX33" s="47">
        <v>68.241</v>
      </c>
      <c r="AY33" s="460">
        <v>0.44575706822709771</v>
      </c>
      <c r="AZ33">
        <v>156.45400000000001</v>
      </c>
      <c r="BB33">
        <v>1991</v>
      </c>
      <c r="BC33">
        <v>9.2247991174034354</v>
      </c>
      <c r="BD33">
        <v>17.131769789463526</v>
      </c>
      <c r="BE33">
        <v>26.356568906866961</v>
      </c>
      <c r="BF33">
        <v>3.3460000000000001</v>
      </c>
      <c r="BG33">
        <v>1.268</v>
      </c>
      <c r="BH33">
        <v>4.6139999999999999</v>
      </c>
      <c r="BI33">
        <v>12.570799117403435</v>
      </c>
      <c r="BJ33">
        <v>18.399769789463527</v>
      </c>
      <c r="BK33">
        <v>30.970568906866962</v>
      </c>
      <c r="BL33">
        <v>12570.799117403436</v>
      </c>
      <c r="BM33">
        <v>18399.769789463528</v>
      </c>
      <c r="BN33">
        <v>30.970568906866962</v>
      </c>
      <c r="BP33" s="224" t="s">
        <v>398</v>
      </c>
      <c r="BQ33" s="224" t="s">
        <v>314</v>
      </c>
      <c r="BR33" s="224" t="s">
        <v>317</v>
      </c>
      <c r="BS33" s="224" t="s">
        <v>416</v>
      </c>
      <c r="BT33" s="224" t="s">
        <v>405</v>
      </c>
      <c r="BU33" s="224" t="s">
        <v>417</v>
      </c>
      <c r="BV33" s="224" t="s">
        <v>418</v>
      </c>
      <c r="BW33" s="224"/>
      <c r="BX33">
        <v>1991</v>
      </c>
      <c r="BY33">
        <v>146644</v>
      </c>
      <c r="BZ33">
        <v>4723</v>
      </c>
      <c r="CA33">
        <v>151714.777</v>
      </c>
      <c r="CB33">
        <v>12570.799117403436</v>
      </c>
      <c r="CC33">
        <v>18399.769789463528</v>
      </c>
      <c r="CD33">
        <v>281961.48959999997</v>
      </c>
      <c r="CE33">
        <v>80382</v>
      </c>
      <c r="CF33">
        <v>285086.51040000003</v>
      </c>
      <c r="CG33">
        <v>0</v>
      </c>
      <c r="CH33">
        <v>0</v>
      </c>
      <c r="CI33">
        <v>428605.48959999997</v>
      </c>
      <c r="CJ33">
        <v>85105</v>
      </c>
      <c r="CK33">
        <v>436801.28740000003</v>
      </c>
      <c r="CL33">
        <v>12570.799117403436</v>
      </c>
      <c r="CM33">
        <v>18399.769789463528</v>
      </c>
      <c r="CN33">
        <v>981482.34590686695</v>
      </c>
      <c r="CO33">
        <v>1991</v>
      </c>
      <c r="CP33">
        <v>526281.28871740343</v>
      </c>
      <c r="CQ33">
        <v>455201.05718946358</v>
      </c>
      <c r="CS33" t="b">
        <v>1</v>
      </c>
      <c r="CT33" t="b">
        <v>1</v>
      </c>
      <c r="CV33">
        <v>1991</v>
      </c>
      <c r="CW33">
        <v>891.11997799170206</v>
      </c>
      <c r="CX33">
        <v>1107.9957770000001</v>
      </c>
      <c r="CY33">
        <v>1999.115754991702</v>
      </c>
      <c r="CZ33">
        <v>0.44575706822709771</v>
      </c>
      <c r="DD33">
        <v>1991</v>
      </c>
      <c r="DE33" s="47">
        <v>146644</v>
      </c>
      <c r="DF33" s="47">
        <v>4723</v>
      </c>
      <c r="DG33" s="47">
        <v>151714.777</v>
      </c>
      <c r="DH33" s="47">
        <v>12570.799117403436</v>
      </c>
      <c r="DI33" s="47">
        <v>18399.769789463528</v>
      </c>
      <c r="DJ33" s="47">
        <v>281961.48959999997</v>
      </c>
      <c r="DK33" s="47">
        <v>80382</v>
      </c>
      <c r="DL33" s="47">
        <v>285086.51040000003</v>
      </c>
      <c r="DM33" s="130" t="s">
        <v>728</v>
      </c>
      <c r="DN33" s="130" t="s">
        <v>728</v>
      </c>
      <c r="DO33" s="47">
        <v>428605.48959999997</v>
      </c>
      <c r="DP33" s="47">
        <v>85105</v>
      </c>
      <c r="DQ33" s="47">
        <v>436801.28740000003</v>
      </c>
      <c r="DR33" s="47">
        <v>12570.799117403436</v>
      </c>
      <c r="DS33" s="47">
        <v>18399.769789463528</v>
      </c>
      <c r="DT33" s="47">
        <v>981482.34590686695</v>
      </c>
      <c r="DV33" s="47">
        <f t="shared" si="30"/>
        <v>303081.777</v>
      </c>
      <c r="DW33" s="47">
        <f t="shared" si="27"/>
        <v>647430</v>
      </c>
      <c r="DX33" s="47">
        <f t="shared" si="28"/>
        <v>950511.777</v>
      </c>
      <c r="DY33" s="242">
        <f t="shared" si="31"/>
        <v>0.68113832533818253</v>
      </c>
      <c r="DZ33" s="276">
        <v>1991</v>
      </c>
      <c r="EA33" s="47">
        <f t="shared" si="29"/>
        <v>30970.568906866964</v>
      </c>
      <c r="EC33" s="47"/>
      <c r="EF33" s="276">
        <v>1991</v>
      </c>
      <c r="EK33">
        <v>2009</v>
      </c>
      <c r="EL33">
        <v>2198</v>
      </c>
      <c r="EM33">
        <v>73627</v>
      </c>
      <c r="EN33">
        <v>42545</v>
      </c>
      <c r="EO33">
        <v>30093</v>
      </c>
      <c r="EP33">
        <v>356817</v>
      </c>
      <c r="EQ33">
        <v>505280</v>
      </c>
      <c r="ER33">
        <v>2154</v>
      </c>
      <c r="ES33">
        <v>15495</v>
      </c>
      <c r="ET33">
        <v>13004</v>
      </c>
      <c r="EU33">
        <v>81925</v>
      </c>
      <c r="EV33">
        <v>1679</v>
      </c>
      <c r="EW33">
        <v>114257</v>
      </c>
      <c r="EX33">
        <v>4352</v>
      </c>
      <c r="EY33">
        <v>89122</v>
      </c>
      <c r="EZ33">
        <v>55549</v>
      </c>
      <c r="FA33">
        <v>112018</v>
      </c>
      <c r="FB33">
        <v>358496</v>
      </c>
      <c r="FC33">
        <v>619537</v>
      </c>
      <c r="FD33">
        <v>645513</v>
      </c>
      <c r="FE33">
        <v>395954</v>
      </c>
      <c r="FG33">
        <v>2009</v>
      </c>
      <c r="FH33" s="47">
        <f t="shared" si="0"/>
        <v>6316</v>
      </c>
      <c r="FI33" s="47">
        <f t="shared" si="1"/>
        <v>189945</v>
      </c>
      <c r="FJ33" s="47">
        <f t="shared" si="2"/>
        <v>74330</v>
      </c>
      <c r="FK33" s="47">
        <f t="shared" si="18"/>
        <v>270591</v>
      </c>
      <c r="FL33" s="47">
        <f t="shared" si="19"/>
        <v>264275</v>
      </c>
      <c r="FM33" s="47"/>
      <c r="FN33" s="47">
        <f t="shared" si="3"/>
        <v>30</v>
      </c>
      <c r="FO33" s="47">
        <f t="shared" si="4"/>
        <v>2749</v>
      </c>
      <c r="FP33" s="47">
        <f t="shared" si="5"/>
        <v>784</v>
      </c>
      <c r="FQ33" s="47">
        <f t="shared" si="20"/>
        <v>3563</v>
      </c>
      <c r="FR33" s="47">
        <f t="shared" si="21"/>
        <v>3533</v>
      </c>
      <c r="FS33" s="47"/>
      <c r="FT33" s="47">
        <f t="shared" si="6"/>
        <v>1003829</v>
      </c>
      <c r="FU33" s="47">
        <f t="shared" si="7"/>
        <v>37638</v>
      </c>
      <c r="FV33" s="47">
        <f t="shared" si="22"/>
        <v>1041467</v>
      </c>
      <c r="FX33" s="242">
        <f t="shared" si="8"/>
        <v>6.2919082831836897E-3</v>
      </c>
      <c r="FY33" s="242">
        <f t="shared" si="9"/>
        <v>0.1892204748019832</v>
      </c>
      <c r="FZ33" s="242">
        <f t="shared" si="10"/>
        <v>7.4046476043230475E-2</v>
      </c>
      <c r="GA33" s="242">
        <f t="shared" si="11"/>
        <v>0.26955885912839739</v>
      </c>
      <c r="GB33" s="242">
        <f t="shared" si="12"/>
        <v>0.26326695084521368</v>
      </c>
      <c r="GC33" s="47"/>
      <c r="GD33" s="242">
        <f t="shared" si="13"/>
        <v>7.9706679419735374E-4</v>
      </c>
      <c r="GE33" s="242">
        <f t="shared" si="14"/>
        <v>7.3037887241617513E-2</v>
      </c>
      <c r="GF33" s="242">
        <f t="shared" si="15"/>
        <v>2.0830012221690845E-2</v>
      </c>
      <c r="GG33" s="366">
        <f t="shared" si="16"/>
        <v>9.4664966257505714E-2</v>
      </c>
      <c r="GH33" s="242">
        <f t="shared" si="17"/>
        <v>9.3867899463308355E-2</v>
      </c>
      <c r="GV33">
        <v>2009</v>
      </c>
      <c r="GX33" s="47">
        <f t="shared" si="23"/>
        <v>1003829</v>
      </c>
      <c r="GY33" s="47">
        <f t="shared" si="32"/>
        <v>889852.32220367005</v>
      </c>
      <c r="GZ33" s="47">
        <f t="shared" ref="GZ33:GZ41" si="46">GX33-GY33</f>
        <v>113976.67779632995</v>
      </c>
      <c r="HB33" s="47">
        <f t="shared" si="24"/>
        <v>37638</v>
      </c>
      <c r="HC33" s="47">
        <f t="shared" si="34"/>
        <v>41186.516853932582</v>
      </c>
      <c r="HD33" s="47">
        <f t="shared" si="45"/>
        <v>-3548.5168539325823</v>
      </c>
      <c r="HE33" s="242">
        <f t="shared" ref="HE33:HE41" si="47">HC33/HB33</f>
        <v>1.0942801650973109</v>
      </c>
      <c r="HF33" s="47"/>
      <c r="HG33" s="47">
        <f t="shared" ref="HG33:HH41" si="48">GX33+HB33</f>
        <v>1041467</v>
      </c>
      <c r="HH33" s="47">
        <f t="shared" si="48"/>
        <v>931038.83905760269</v>
      </c>
      <c r="HI33" s="47">
        <f t="shared" ref="HI33:HI41" si="49">HG33-HH33</f>
        <v>110428.16094239731</v>
      </c>
      <c r="HK33" s="242">
        <f t="shared" si="25"/>
        <v>0.26326695084521368</v>
      </c>
      <c r="HL33" s="242">
        <f t="shared" si="39"/>
        <v>0.18693812226248979</v>
      </c>
      <c r="HM33" s="242">
        <f t="shared" ref="HM33:HM41" si="50">HK33-HL33</f>
        <v>7.6328828582723884E-2</v>
      </c>
      <c r="HO33" s="242">
        <f t="shared" si="26"/>
        <v>9.3867899463308355E-2</v>
      </c>
      <c r="HP33" s="242">
        <f t="shared" si="41"/>
        <v>0.11</v>
      </c>
      <c r="HQ33" s="242">
        <f t="shared" ref="HQ33:HQ41" si="51">HO33-HP33</f>
        <v>-1.6132100536691646E-2</v>
      </c>
      <c r="HR33" s="47"/>
      <c r="HS33" s="268">
        <f t="shared" ref="HS33:HT41" si="52">HK33+HO33</f>
        <v>0.35713485030852204</v>
      </c>
      <c r="HT33" s="268">
        <f t="shared" si="52"/>
        <v>0.29693812226248978</v>
      </c>
      <c r="HU33" s="268">
        <f t="shared" ref="HU33:HU41" si="53">HS33-HT33</f>
        <v>6.0196728046032266E-2</v>
      </c>
      <c r="HW33">
        <v>2009</v>
      </c>
    </row>
    <row r="34" spans="42:231" x14ac:dyDescent="0.25">
      <c r="AP34">
        <v>1992</v>
      </c>
      <c r="AQ34" s="47">
        <v>115.25287678296968</v>
      </c>
      <c r="AR34" s="47">
        <v>110.18256459694368</v>
      </c>
      <c r="AS34" s="47">
        <v>225.43544137991336</v>
      </c>
      <c r="AT34" s="596">
        <v>0.46920397497618771</v>
      </c>
      <c r="AU34" s="47">
        <v>195.10400000000001</v>
      </c>
      <c r="AV34" s="47">
        <v>229.608</v>
      </c>
      <c r="AW34" s="47">
        <v>424.71199999999999</v>
      </c>
      <c r="AX34" s="47">
        <v>46.773919999999997</v>
      </c>
      <c r="AY34" s="460">
        <v>0.50855671931672097</v>
      </c>
      <c r="AZ34">
        <v>87.909000000000006</v>
      </c>
      <c r="BB34">
        <v>1992</v>
      </c>
      <c r="BC34">
        <v>3.2788767829696672</v>
      </c>
      <c r="BD34">
        <v>6.089342596943669</v>
      </c>
      <c r="BE34">
        <v>9.3682193799133362</v>
      </c>
      <c r="BF34">
        <v>2.4390000000000001</v>
      </c>
      <c r="BG34">
        <v>1.827</v>
      </c>
      <c r="BH34">
        <v>4.266</v>
      </c>
      <c r="BI34">
        <v>5.7178767829696673</v>
      </c>
      <c r="BJ34">
        <v>7.9163425969436689</v>
      </c>
      <c r="BK34">
        <v>13.634219379913336</v>
      </c>
      <c r="BL34">
        <v>5717.8767829696671</v>
      </c>
      <c r="BM34">
        <v>7916.3425969436694</v>
      </c>
      <c r="BN34">
        <v>13.634219379913336</v>
      </c>
      <c r="BP34">
        <v>1999</v>
      </c>
      <c r="BQ34">
        <v>13.975</v>
      </c>
      <c r="BR34">
        <v>8.702</v>
      </c>
      <c r="BS34">
        <v>154.36112988775255</v>
      </c>
      <c r="BT34">
        <v>9.0534450027427632E-2</v>
      </c>
      <c r="BU34">
        <v>5.6374295823876583E-2</v>
      </c>
      <c r="BV34">
        <v>0.14690874585130423</v>
      </c>
      <c r="BX34">
        <v>1992</v>
      </c>
      <c r="BY34">
        <v>53728.000000000007</v>
      </c>
      <c r="BZ34">
        <v>2602</v>
      </c>
      <c r="CA34">
        <v>49281.221999999994</v>
      </c>
      <c r="CB34">
        <v>5717.8767829696671</v>
      </c>
      <c r="CC34">
        <v>7916.3425969436694</v>
      </c>
      <c r="CD34">
        <v>37360</v>
      </c>
      <c r="CE34">
        <v>15845</v>
      </c>
      <c r="CF34">
        <v>52985</v>
      </c>
      <c r="CG34">
        <v>0</v>
      </c>
      <c r="CH34">
        <v>0</v>
      </c>
      <c r="CI34">
        <v>91088</v>
      </c>
      <c r="CJ34">
        <v>18447</v>
      </c>
      <c r="CK34">
        <v>102266.22199999999</v>
      </c>
      <c r="CL34">
        <v>5717.8767829696671</v>
      </c>
      <c r="CM34">
        <v>7916.3425969436694</v>
      </c>
      <c r="CN34">
        <v>225435.44137991333</v>
      </c>
      <c r="CO34">
        <v>1992</v>
      </c>
      <c r="CP34">
        <v>115252.87678296967</v>
      </c>
      <c r="CQ34">
        <v>110182.56459694366</v>
      </c>
      <c r="CS34" t="b">
        <v>1</v>
      </c>
      <c r="CT34" t="b">
        <v>1</v>
      </c>
      <c r="CV34">
        <v>1992</v>
      </c>
      <c r="CW34">
        <v>323.92038461538459</v>
      </c>
      <c r="CX34">
        <v>313.02014199999996</v>
      </c>
      <c r="CY34">
        <v>636.94052661538456</v>
      </c>
      <c r="CZ34">
        <v>0.50855671931672097</v>
      </c>
      <c r="DD34">
        <v>1992</v>
      </c>
      <c r="DE34" s="47">
        <v>53728.000000000007</v>
      </c>
      <c r="DF34" s="47">
        <v>2602</v>
      </c>
      <c r="DG34" s="47">
        <v>49281.221999999994</v>
      </c>
      <c r="DH34" s="47">
        <v>5717.8767829696671</v>
      </c>
      <c r="DI34" s="47">
        <v>7916.3425969436694</v>
      </c>
      <c r="DJ34" s="47">
        <v>37360</v>
      </c>
      <c r="DK34" s="47">
        <v>15845</v>
      </c>
      <c r="DL34" s="47">
        <v>52985</v>
      </c>
      <c r="DM34" s="130" t="s">
        <v>728</v>
      </c>
      <c r="DN34" s="130" t="s">
        <v>728</v>
      </c>
      <c r="DO34" s="47">
        <v>91088</v>
      </c>
      <c r="DP34" s="47">
        <v>18447</v>
      </c>
      <c r="DQ34" s="47">
        <v>102266.22199999999</v>
      </c>
      <c r="DR34" s="47">
        <v>5717.8767829696671</v>
      </c>
      <c r="DS34" s="47">
        <v>7916.3425969436694</v>
      </c>
      <c r="DT34" s="47">
        <v>225435.44137991333</v>
      </c>
      <c r="DV34" s="47">
        <f t="shared" si="30"/>
        <v>105611.22200000001</v>
      </c>
      <c r="DW34" s="47">
        <f t="shared" si="27"/>
        <v>106190</v>
      </c>
      <c r="DX34" s="47">
        <f t="shared" si="28"/>
        <v>211801.22200000001</v>
      </c>
      <c r="DY34" s="242">
        <f t="shared" si="31"/>
        <v>0.50136632356162703</v>
      </c>
      <c r="DZ34" s="276">
        <v>1992</v>
      </c>
      <c r="EA34" s="47">
        <f t="shared" si="29"/>
        <v>13634.219379913337</v>
      </c>
      <c r="EC34" s="47"/>
      <c r="EF34" s="276">
        <v>1992</v>
      </c>
      <c r="EK34">
        <v>2010</v>
      </c>
      <c r="EL34">
        <v>115</v>
      </c>
      <c r="EM34">
        <v>10914</v>
      </c>
      <c r="EN34">
        <v>5189</v>
      </c>
      <c r="EO34">
        <v>11976</v>
      </c>
      <c r="EP34">
        <v>138045</v>
      </c>
      <c r="EQ34">
        <v>166239</v>
      </c>
      <c r="ER34">
        <v>695</v>
      </c>
      <c r="ES34">
        <v>4440</v>
      </c>
      <c r="ET34">
        <v>3061</v>
      </c>
      <c r="EU34">
        <v>61464</v>
      </c>
      <c r="EV34">
        <v>1500</v>
      </c>
      <c r="EW34">
        <v>71160</v>
      </c>
      <c r="EX34">
        <v>810</v>
      </c>
      <c r="EY34">
        <v>15354</v>
      </c>
      <c r="EZ34">
        <v>8250</v>
      </c>
      <c r="FA34">
        <v>73440</v>
      </c>
      <c r="FB34">
        <v>139545</v>
      </c>
      <c r="FC34">
        <v>237399</v>
      </c>
      <c r="FD34">
        <v>272606</v>
      </c>
      <c r="FE34">
        <v>260261</v>
      </c>
      <c r="FG34">
        <v>2010</v>
      </c>
      <c r="FH34" s="47">
        <f t="shared" si="0"/>
        <v>1541</v>
      </c>
      <c r="FI34" s="47">
        <f t="shared" si="1"/>
        <v>45050</v>
      </c>
      <c r="FJ34" s="47">
        <f t="shared" si="2"/>
        <v>13015</v>
      </c>
      <c r="FK34" s="47">
        <f t="shared" si="18"/>
        <v>59606</v>
      </c>
      <c r="FL34" s="47">
        <f t="shared" si="19"/>
        <v>58065</v>
      </c>
      <c r="FM34" s="47"/>
      <c r="FN34" s="47">
        <f t="shared" si="3"/>
        <v>17</v>
      </c>
      <c r="FO34" s="47">
        <f t="shared" si="4"/>
        <v>1654</v>
      </c>
      <c r="FP34" s="47">
        <f t="shared" si="5"/>
        <v>548</v>
      </c>
      <c r="FQ34" s="47">
        <f t="shared" si="20"/>
        <v>2219</v>
      </c>
      <c r="FR34" s="47">
        <f t="shared" si="21"/>
        <v>2202</v>
      </c>
      <c r="FS34" s="47"/>
      <c r="FT34" s="47">
        <f t="shared" si="6"/>
        <v>479705</v>
      </c>
      <c r="FU34" s="47">
        <f t="shared" si="7"/>
        <v>53162</v>
      </c>
      <c r="FV34" s="47">
        <f t="shared" si="22"/>
        <v>532867</v>
      </c>
      <c r="FX34" s="242">
        <f t="shared" si="8"/>
        <v>3.2123909486038295E-3</v>
      </c>
      <c r="FY34" s="242">
        <f t="shared" si="9"/>
        <v>9.3911883344972427E-2</v>
      </c>
      <c r="FZ34" s="242">
        <f t="shared" si="10"/>
        <v>2.713125775216018E-2</v>
      </c>
      <c r="GA34" s="242">
        <f t="shared" si="11"/>
        <v>0.12425553204573644</v>
      </c>
      <c r="GB34" s="242">
        <f t="shared" si="12"/>
        <v>0.12104314109713261</v>
      </c>
      <c r="GC34" s="47"/>
      <c r="GD34" s="242">
        <f t="shared" si="13"/>
        <v>3.1977728452654153E-4</v>
      </c>
      <c r="GE34" s="242">
        <f t="shared" si="14"/>
        <v>3.1112448741582335E-2</v>
      </c>
      <c r="GF34" s="242">
        <f t="shared" si="15"/>
        <v>1.0308114818855574E-2</v>
      </c>
      <c r="GG34" s="367">
        <f t="shared" si="16"/>
        <v>4.1740340844964446E-2</v>
      </c>
      <c r="GH34" s="242">
        <f t="shared" si="17"/>
        <v>4.1420563560437905E-2</v>
      </c>
      <c r="GV34">
        <v>2010</v>
      </c>
      <c r="GX34" s="47">
        <f t="shared" si="23"/>
        <v>479705</v>
      </c>
      <c r="GY34" s="47">
        <f t="shared" si="32"/>
        <v>467952.20428757952</v>
      </c>
      <c r="GZ34" s="47">
        <f t="shared" si="46"/>
        <v>11752.795712420484</v>
      </c>
      <c r="HB34" s="47">
        <f t="shared" si="24"/>
        <v>53162</v>
      </c>
      <c r="HC34" s="47">
        <f t="shared" si="34"/>
        <v>30681.521739130432</v>
      </c>
      <c r="HD34" s="47">
        <f t="shared" si="45"/>
        <v>22480.478260869568</v>
      </c>
      <c r="HE34" s="242">
        <f t="shared" si="47"/>
        <v>0.57713257099301063</v>
      </c>
      <c r="HF34" s="47"/>
      <c r="HG34" s="47">
        <f t="shared" si="48"/>
        <v>532867</v>
      </c>
      <c r="HH34" s="47">
        <f t="shared" si="48"/>
        <v>498633.72602670995</v>
      </c>
      <c r="HI34" s="47">
        <f t="shared" si="49"/>
        <v>34233.273973290052</v>
      </c>
      <c r="HK34" s="242">
        <f t="shared" si="25"/>
        <v>0.12104314109713261</v>
      </c>
      <c r="HL34" s="242">
        <f t="shared" si="39"/>
        <v>6.3359471364640957E-2</v>
      </c>
      <c r="HM34" s="242">
        <f t="shared" si="50"/>
        <v>5.7683669732491658E-2</v>
      </c>
      <c r="HO34" s="242">
        <f t="shared" si="26"/>
        <v>4.1420563560437905E-2</v>
      </c>
      <c r="HP34" s="242">
        <f t="shared" si="41"/>
        <v>0.08</v>
      </c>
      <c r="HQ34" s="242">
        <f t="shared" si="51"/>
        <v>-3.8579436439562097E-2</v>
      </c>
      <c r="HR34" s="47"/>
      <c r="HS34" s="268">
        <f t="shared" si="52"/>
        <v>0.16246370465757051</v>
      </c>
      <c r="HT34" s="268">
        <f t="shared" si="52"/>
        <v>0.14335947136464094</v>
      </c>
      <c r="HU34" s="268">
        <f t="shared" si="53"/>
        <v>1.9104233292929568E-2</v>
      </c>
      <c r="HW34">
        <v>2010</v>
      </c>
    </row>
    <row r="35" spans="42:231" x14ac:dyDescent="0.25">
      <c r="AP35">
        <v>1993</v>
      </c>
      <c r="AQ35" s="47">
        <v>73.660036205370574</v>
      </c>
      <c r="AR35" s="47">
        <v>44.276051238545342</v>
      </c>
      <c r="AS35" s="47">
        <v>117.93608744391591</v>
      </c>
      <c r="AT35" s="596">
        <v>0.3405165354780999</v>
      </c>
      <c r="AU35" s="47">
        <v>98.141999999999996</v>
      </c>
      <c r="AV35" s="47">
        <v>80.688999999999993</v>
      </c>
      <c r="AW35" s="47">
        <v>178.83099999999999</v>
      </c>
      <c r="AX35" s="47">
        <v>35.857999999999997</v>
      </c>
      <c r="AY35" s="460">
        <v>0.4211795016514247</v>
      </c>
      <c r="AZ35">
        <v>44.484000000000002</v>
      </c>
      <c r="BB35">
        <v>1993</v>
      </c>
      <c r="BC35">
        <v>1.302036205370569</v>
      </c>
      <c r="BD35">
        <v>2.4180672385453428</v>
      </c>
      <c r="BE35">
        <v>3.720103443915912</v>
      </c>
      <c r="BF35">
        <v>0.29699999999999999</v>
      </c>
      <c r="BG35">
        <v>5.5E-2</v>
      </c>
      <c r="BH35">
        <v>0.35199999999999998</v>
      </c>
      <c r="BI35">
        <v>1.5990362053705689</v>
      </c>
      <c r="BJ35">
        <v>2.4730672385453429</v>
      </c>
      <c r="BK35">
        <v>4.0721034439159123</v>
      </c>
      <c r="BL35">
        <v>1599.036205370569</v>
      </c>
      <c r="BM35">
        <v>2473.0672385453427</v>
      </c>
      <c r="BN35">
        <v>4.0721034439159114</v>
      </c>
      <c r="BP35">
        <v>2000</v>
      </c>
      <c r="BQ35">
        <v>20.248999999999999</v>
      </c>
      <c r="BR35">
        <v>19.684999999999999</v>
      </c>
      <c r="BS35">
        <v>329.96184999999997</v>
      </c>
      <c r="BT35">
        <v>6.1367700538713793E-2</v>
      </c>
      <c r="BU35">
        <v>5.9658412025511434E-2</v>
      </c>
      <c r="BV35">
        <v>0.12102611256422523</v>
      </c>
      <c r="BX35">
        <v>1993</v>
      </c>
      <c r="BY35">
        <v>30180</v>
      </c>
      <c r="BZ35">
        <v>1159</v>
      </c>
      <c r="CA35">
        <v>19132.983999999997</v>
      </c>
      <c r="CB35">
        <v>1599.036205370569</v>
      </c>
      <c r="CC35">
        <v>2473.0672385453427</v>
      </c>
      <c r="CD35">
        <v>25772</v>
      </c>
      <c r="CE35">
        <v>14950</v>
      </c>
      <c r="CF35">
        <v>22670</v>
      </c>
      <c r="CG35">
        <v>0</v>
      </c>
      <c r="CH35">
        <v>0</v>
      </c>
      <c r="CI35">
        <v>55952</v>
      </c>
      <c r="CJ35">
        <v>16109</v>
      </c>
      <c r="CK35">
        <v>41802.983999999997</v>
      </c>
      <c r="CL35">
        <v>1599.036205370569</v>
      </c>
      <c r="CM35">
        <v>2473.0672385453427</v>
      </c>
      <c r="CN35">
        <v>117936.08744391591</v>
      </c>
      <c r="CO35">
        <v>1993</v>
      </c>
      <c r="CP35">
        <v>73660.036205370576</v>
      </c>
      <c r="CQ35">
        <v>44276.05123854534</v>
      </c>
      <c r="CS35" t="b">
        <v>1</v>
      </c>
      <c r="CT35" t="b">
        <v>1</v>
      </c>
      <c r="CV35">
        <v>1993</v>
      </c>
      <c r="CW35">
        <v>153.87423076923079</v>
      </c>
      <c r="CX35">
        <v>211.46698400000005</v>
      </c>
      <c r="CY35">
        <v>365.34121476923087</v>
      </c>
      <c r="CZ35">
        <v>0.4211795016514247</v>
      </c>
      <c r="DD35">
        <v>1993</v>
      </c>
      <c r="DE35" s="47">
        <v>30180</v>
      </c>
      <c r="DF35" s="47">
        <v>1159</v>
      </c>
      <c r="DG35" s="47">
        <v>19132.983999999997</v>
      </c>
      <c r="DH35" s="47">
        <v>1599.036205370569</v>
      </c>
      <c r="DI35" s="47">
        <v>2473.0672385453427</v>
      </c>
      <c r="DJ35" s="47">
        <v>25772</v>
      </c>
      <c r="DK35" s="47">
        <v>14950</v>
      </c>
      <c r="DL35" s="47">
        <v>22670</v>
      </c>
      <c r="DM35" s="130" t="s">
        <v>728</v>
      </c>
      <c r="DN35" s="130" t="s">
        <v>728</v>
      </c>
      <c r="DO35" s="47">
        <v>55952</v>
      </c>
      <c r="DP35" s="47">
        <v>16109</v>
      </c>
      <c r="DQ35" s="47">
        <v>41802.983999999997</v>
      </c>
      <c r="DR35" s="47">
        <v>1599.036205370569</v>
      </c>
      <c r="DS35" s="47">
        <v>2473.0672385453427</v>
      </c>
      <c r="DT35" s="47">
        <v>117936.08744391591</v>
      </c>
      <c r="DV35" s="47">
        <f t="shared" si="30"/>
        <v>50471.983999999997</v>
      </c>
      <c r="DW35" s="47">
        <f t="shared" si="27"/>
        <v>63392</v>
      </c>
      <c r="DX35" s="47">
        <f t="shared" si="28"/>
        <v>113863.984</v>
      </c>
      <c r="DY35" s="242">
        <f t="shared" si="31"/>
        <v>0.55673442798207373</v>
      </c>
      <c r="DZ35" s="276">
        <v>1993</v>
      </c>
      <c r="EA35" s="47">
        <f t="shared" si="29"/>
        <v>4072.1034439159116</v>
      </c>
      <c r="EC35" s="47"/>
      <c r="EF35" s="276">
        <v>1993</v>
      </c>
      <c r="EK35">
        <v>2011</v>
      </c>
      <c r="EL35">
        <v>1396</v>
      </c>
      <c r="EM35">
        <v>20751</v>
      </c>
      <c r="EN35">
        <v>4879</v>
      </c>
      <c r="EO35">
        <v>23647</v>
      </c>
      <c r="EP35">
        <v>176336</v>
      </c>
      <c r="EQ35">
        <v>227009</v>
      </c>
      <c r="ER35">
        <v>2009</v>
      </c>
      <c r="ES35">
        <v>4538</v>
      </c>
      <c r="ET35">
        <v>1546</v>
      </c>
      <c r="EU35">
        <v>39539</v>
      </c>
      <c r="EV35">
        <v>6681</v>
      </c>
      <c r="EW35">
        <v>54313</v>
      </c>
      <c r="EX35">
        <v>3405</v>
      </c>
      <c r="EY35">
        <v>25289</v>
      </c>
      <c r="EZ35">
        <v>6425</v>
      </c>
      <c r="FA35">
        <v>63186</v>
      </c>
      <c r="FB35">
        <v>183017</v>
      </c>
      <c r="FC35">
        <v>281322</v>
      </c>
      <c r="FD35">
        <v>294426</v>
      </c>
      <c r="FE35">
        <v>147087</v>
      </c>
      <c r="FG35">
        <v>2011</v>
      </c>
      <c r="FH35" s="47">
        <f t="shared" si="0"/>
        <v>4792</v>
      </c>
      <c r="FI35" s="47">
        <f t="shared" si="1"/>
        <v>47086</v>
      </c>
      <c r="FJ35" s="47">
        <f t="shared" si="2"/>
        <v>8420</v>
      </c>
      <c r="FK35" s="47">
        <f t="shared" si="18"/>
        <v>60298</v>
      </c>
      <c r="FL35" s="47">
        <f t="shared" si="19"/>
        <v>55506</v>
      </c>
      <c r="FM35" s="47"/>
      <c r="FN35" s="47">
        <f t="shared" si="3"/>
        <v>39</v>
      </c>
      <c r="FO35" s="47">
        <f t="shared" si="4"/>
        <v>1422</v>
      </c>
      <c r="FP35" s="47">
        <f t="shared" si="5"/>
        <v>275</v>
      </c>
      <c r="FQ35" s="47">
        <f t="shared" si="20"/>
        <v>1736</v>
      </c>
      <c r="FR35" s="47">
        <f t="shared" si="21"/>
        <v>1697</v>
      </c>
      <c r="FS35" s="47"/>
      <c r="FT35" s="47">
        <f t="shared" si="6"/>
        <v>412011</v>
      </c>
      <c r="FU35" s="47">
        <f t="shared" si="7"/>
        <v>29502</v>
      </c>
      <c r="FV35" s="47">
        <f t="shared" si="22"/>
        <v>441513</v>
      </c>
      <c r="FX35" s="242">
        <f t="shared" si="8"/>
        <v>1.1630757431233632E-2</v>
      </c>
      <c r="FY35" s="242">
        <f t="shared" si="9"/>
        <v>0.11428335651232613</v>
      </c>
      <c r="FZ35" s="242">
        <f t="shared" si="10"/>
        <v>2.0436347573244404E-2</v>
      </c>
      <c r="GA35" s="242">
        <f t="shared" si="11"/>
        <v>0.14635046151680417</v>
      </c>
      <c r="GB35" s="242">
        <f t="shared" si="12"/>
        <v>0.13471970408557052</v>
      </c>
      <c r="GC35" s="47"/>
      <c r="GD35" s="242">
        <f t="shared" si="13"/>
        <v>1.3219442749644091E-3</v>
      </c>
      <c r="GE35" s="242">
        <f t="shared" si="14"/>
        <v>4.8200122025625382E-2</v>
      </c>
      <c r="GF35" s="242">
        <f t="shared" si="15"/>
        <v>9.3214019388516041E-3</v>
      </c>
      <c r="GG35" s="242">
        <f t="shared" si="16"/>
        <v>5.8843468239441393E-2</v>
      </c>
      <c r="GH35" s="242">
        <f t="shared" si="17"/>
        <v>5.7521523964476982E-2</v>
      </c>
      <c r="GV35">
        <v>2011</v>
      </c>
      <c r="GX35" s="47">
        <f t="shared" si="23"/>
        <v>412011</v>
      </c>
      <c r="GY35" s="47">
        <f t="shared" si="32"/>
        <v>372145.09449275758</v>
      </c>
      <c r="GZ35" s="47">
        <f t="shared" si="46"/>
        <v>39865.905507242423</v>
      </c>
      <c r="HB35" s="47">
        <f t="shared" si="24"/>
        <v>29502</v>
      </c>
      <c r="HC35" s="47">
        <f t="shared" si="34"/>
        <v>34025.531914893618</v>
      </c>
      <c r="HD35" s="47">
        <f t="shared" si="45"/>
        <v>-4523.5319148936178</v>
      </c>
      <c r="HE35" s="242">
        <f t="shared" si="47"/>
        <v>1.1533296696798054</v>
      </c>
      <c r="HF35" s="47"/>
      <c r="HG35" s="47">
        <f t="shared" si="48"/>
        <v>441513</v>
      </c>
      <c r="HH35" s="47">
        <f t="shared" si="48"/>
        <v>406170.62640765117</v>
      </c>
      <c r="HI35" s="47">
        <f t="shared" si="49"/>
        <v>35342.373592348828</v>
      </c>
      <c r="HK35" s="242">
        <f t="shared" si="25"/>
        <v>0.13471970408557052</v>
      </c>
      <c r="HL35" s="242">
        <f t="shared" si="39"/>
        <v>7.0077759666035522E-2</v>
      </c>
      <c r="HM35" s="242">
        <f t="shared" si="50"/>
        <v>6.4641944419534997E-2</v>
      </c>
      <c r="HO35" s="242">
        <f t="shared" si="26"/>
        <v>5.7521523964476982E-2</v>
      </c>
      <c r="HP35" s="242">
        <f t="shared" si="41"/>
        <v>0.06</v>
      </c>
      <c r="HQ35" s="242">
        <f t="shared" si="51"/>
        <v>-2.4784760355230154E-3</v>
      </c>
      <c r="HR35" s="47"/>
      <c r="HS35" s="268">
        <f t="shared" si="52"/>
        <v>0.19224122805004751</v>
      </c>
      <c r="HT35" s="268">
        <f t="shared" si="52"/>
        <v>0.13007775966603552</v>
      </c>
      <c r="HU35" s="268">
        <f t="shared" si="53"/>
        <v>6.2163468384011988E-2</v>
      </c>
      <c r="HW35">
        <v>2011</v>
      </c>
    </row>
    <row r="36" spans="42:231" x14ac:dyDescent="0.25">
      <c r="AP36">
        <v>1994</v>
      </c>
      <c r="AQ36" s="47">
        <v>139.58057421875674</v>
      </c>
      <c r="AR36" s="47">
        <v>33.810379549119652</v>
      </c>
      <c r="AS36" s="47">
        <v>173.3909537678764</v>
      </c>
      <c r="AT36" s="596">
        <v>5.9594890047801607E-2</v>
      </c>
      <c r="AU36" s="47">
        <v>145.37200000000001</v>
      </c>
      <c r="AV36" s="47">
        <v>39.006999999999998</v>
      </c>
      <c r="AW36" s="47">
        <v>184.37900000000002</v>
      </c>
      <c r="AX36" s="47">
        <v>27.704999999999998</v>
      </c>
      <c r="AY36" s="460">
        <v>2.2413348922795555E-2</v>
      </c>
      <c r="AZ36">
        <v>29.684000000000001</v>
      </c>
      <c r="BB36">
        <v>1994</v>
      </c>
      <c r="BC36">
        <v>1.4575742187567362</v>
      </c>
      <c r="BD36">
        <v>2.7069235491196526</v>
      </c>
      <c r="BE36">
        <v>4.164497767876389</v>
      </c>
      <c r="BF36">
        <v>2.5779999999999998</v>
      </c>
      <c r="BG36">
        <v>0.88600000000000001</v>
      </c>
      <c r="BH36">
        <v>3.464</v>
      </c>
      <c r="BI36">
        <v>4.0355742187567358</v>
      </c>
      <c r="BJ36">
        <v>3.5929235491196527</v>
      </c>
      <c r="BK36">
        <v>7.6284977678763886</v>
      </c>
      <c r="BL36">
        <v>4035.5742187567362</v>
      </c>
      <c r="BM36">
        <v>3592.9235491196528</v>
      </c>
      <c r="BN36">
        <v>7.6284977678763886</v>
      </c>
      <c r="BP36">
        <v>2001</v>
      </c>
      <c r="BQ36">
        <v>67.772999999999996</v>
      </c>
      <c r="BR36">
        <v>117.43300000000001</v>
      </c>
      <c r="BS36">
        <v>699.26610000000005</v>
      </c>
      <c r="BT36">
        <v>9.6920185320009067E-2</v>
      </c>
      <c r="BU36">
        <v>0.16793749904364019</v>
      </c>
      <c r="BV36">
        <v>0.26485768436364926</v>
      </c>
      <c r="BX36">
        <v>1994</v>
      </c>
      <c r="BY36">
        <v>70620</v>
      </c>
      <c r="BZ36">
        <v>2257</v>
      </c>
      <c r="CA36">
        <v>26130.456000000002</v>
      </c>
      <c r="CB36">
        <v>4035.5742187567362</v>
      </c>
      <c r="CC36">
        <v>3592.9235491196528</v>
      </c>
      <c r="CD36">
        <v>8040</v>
      </c>
      <c r="CE36">
        <v>54628</v>
      </c>
      <c r="CF36">
        <v>4087</v>
      </c>
      <c r="CG36">
        <v>0</v>
      </c>
      <c r="CH36">
        <v>0</v>
      </c>
      <c r="CI36">
        <v>78660</v>
      </c>
      <c r="CJ36">
        <v>56885</v>
      </c>
      <c r="CK36">
        <v>30217.456000000002</v>
      </c>
      <c r="CL36">
        <v>4035.5742187567362</v>
      </c>
      <c r="CM36">
        <v>3592.9235491196528</v>
      </c>
      <c r="CN36">
        <v>173390.95376787637</v>
      </c>
      <c r="CO36">
        <v>1994</v>
      </c>
      <c r="CP36">
        <v>139580.57421875672</v>
      </c>
      <c r="CQ36">
        <v>33810.379549119658</v>
      </c>
      <c r="CS36" t="b">
        <v>1</v>
      </c>
      <c r="CT36" t="b">
        <v>1</v>
      </c>
      <c r="CV36">
        <v>1994</v>
      </c>
      <c r="CW36">
        <v>5.7048076923076927</v>
      </c>
      <c r="CX36">
        <v>248.82242569696967</v>
      </c>
      <c r="CY36">
        <v>254.52723338927737</v>
      </c>
      <c r="CZ36">
        <v>2.2413348922795555E-2</v>
      </c>
      <c r="DA36">
        <v>6.8000000000000005E-2</v>
      </c>
      <c r="DD36">
        <v>1994</v>
      </c>
      <c r="DE36" s="47">
        <v>70620</v>
      </c>
      <c r="DF36" s="47">
        <v>2257</v>
      </c>
      <c r="DG36" s="47">
        <v>26130.456000000002</v>
      </c>
      <c r="DH36" s="47">
        <v>4035.5742187567362</v>
      </c>
      <c r="DI36" s="47">
        <v>3592.9235491196528</v>
      </c>
      <c r="DJ36" s="47">
        <v>8040</v>
      </c>
      <c r="DK36" s="47">
        <v>54628</v>
      </c>
      <c r="DL36" s="47">
        <v>4087</v>
      </c>
      <c r="DM36" s="130" t="s">
        <v>728</v>
      </c>
      <c r="DN36" s="130" t="s">
        <v>728</v>
      </c>
      <c r="DO36" s="47">
        <v>78660</v>
      </c>
      <c r="DP36" s="47">
        <v>56885</v>
      </c>
      <c r="DQ36" s="47">
        <v>30217.456000000002</v>
      </c>
      <c r="DR36" s="47">
        <v>4035.5742187567362</v>
      </c>
      <c r="DS36" s="47">
        <v>3592.9235491196528</v>
      </c>
      <c r="DT36" s="47">
        <v>173390.95376787637</v>
      </c>
      <c r="DV36" s="47">
        <f t="shared" si="30"/>
        <v>99007.456000000006</v>
      </c>
      <c r="DW36" s="47">
        <f t="shared" si="27"/>
        <v>66755</v>
      </c>
      <c r="DX36" s="47">
        <f t="shared" si="28"/>
        <v>165762.45600000001</v>
      </c>
      <c r="DY36" s="242">
        <f t="shared" si="31"/>
        <v>0.40271483429275445</v>
      </c>
      <c r="DZ36" s="276">
        <v>1994</v>
      </c>
      <c r="EA36" s="47">
        <f t="shared" si="29"/>
        <v>7628.4977678763889</v>
      </c>
      <c r="EC36" s="47"/>
      <c r="EF36" s="276">
        <v>1994</v>
      </c>
      <c r="EK36">
        <v>2012</v>
      </c>
      <c r="EL36">
        <v>33</v>
      </c>
      <c r="EM36">
        <v>7906</v>
      </c>
      <c r="EN36">
        <v>3275</v>
      </c>
      <c r="EO36">
        <v>14734</v>
      </c>
      <c r="EP36">
        <v>59166</v>
      </c>
      <c r="EQ36">
        <v>85114</v>
      </c>
      <c r="ER36">
        <v>164</v>
      </c>
      <c r="ES36">
        <v>1741</v>
      </c>
      <c r="ET36">
        <v>1324</v>
      </c>
      <c r="EU36">
        <v>14563</v>
      </c>
      <c r="EV36">
        <v>5369</v>
      </c>
      <c r="EW36">
        <v>23161</v>
      </c>
      <c r="EX36">
        <v>197</v>
      </c>
      <c r="EY36">
        <v>9647</v>
      </c>
      <c r="EZ36">
        <v>4599</v>
      </c>
      <c r="FA36">
        <v>29297</v>
      </c>
      <c r="FB36">
        <v>64535</v>
      </c>
      <c r="FC36">
        <v>108275</v>
      </c>
      <c r="FD36">
        <v>115709</v>
      </c>
      <c r="FE36">
        <v>55741</v>
      </c>
      <c r="FG36">
        <v>2012</v>
      </c>
      <c r="FH36" s="47">
        <f t="shared" si="0"/>
        <v>358</v>
      </c>
      <c r="FI36" s="47">
        <f t="shared" si="1"/>
        <v>19103</v>
      </c>
      <c r="FJ36" s="47">
        <f t="shared" si="2"/>
        <v>5842</v>
      </c>
      <c r="FK36" s="47">
        <f t="shared" si="18"/>
        <v>25303</v>
      </c>
      <c r="FL36" s="47">
        <f t="shared" si="19"/>
        <v>24945</v>
      </c>
      <c r="FM36" s="47"/>
      <c r="FN36" s="47">
        <f t="shared" si="3"/>
        <v>3</v>
      </c>
      <c r="FO36" s="47">
        <f t="shared" si="4"/>
        <v>992</v>
      </c>
      <c r="FP36" s="47">
        <f t="shared" si="5"/>
        <v>337</v>
      </c>
      <c r="FQ36" s="47">
        <f t="shared" si="20"/>
        <v>1332</v>
      </c>
      <c r="FR36" s="47">
        <f t="shared" si="21"/>
        <v>1329</v>
      </c>
      <c r="FS36" s="47"/>
      <c r="FT36" s="47">
        <f t="shared" si="6"/>
        <v>158510</v>
      </c>
      <c r="FU36" s="47">
        <f t="shared" si="7"/>
        <v>12940</v>
      </c>
      <c r="FV36" s="47">
        <f t="shared" si="22"/>
        <v>171450</v>
      </c>
      <c r="FX36" s="242">
        <f t="shared" si="8"/>
        <v>2.2585325846949719E-3</v>
      </c>
      <c r="FY36" s="242">
        <f t="shared" si="9"/>
        <v>0.12051605576935209</v>
      </c>
      <c r="FZ36" s="242">
        <f t="shared" si="10"/>
        <v>3.685571888208946E-2</v>
      </c>
      <c r="GA36" s="242">
        <f t="shared" si="11"/>
        <v>0.15963030723613653</v>
      </c>
      <c r="GB36" s="242">
        <f t="shared" si="12"/>
        <v>0.15737177465144156</v>
      </c>
      <c r="GC36" s="47"/>
      <c r="GD36" s="242">
        <f t="shared" si="13"/>
        <v>2.3183925811437405E-4</v>
      </c>
      <c r="GE36" s="242">
        <f t="shared" si="14"/>
        <v>7.666151468315302E-2</v>
      </c>
      <c r="GF36" s="242">
        <f t="shared" si="15"/>
        <v>2.6043276661514684E-2</v>
      </c>
      <c r="GG36" s="242">
        <f t="shared" si="16"/>
        <v>0.10293663060278208</v>
      </c>
      <c r="GH36" s="242">
        <f t="shared" si="17"/>
        <v>0.1027047913446677</v>
      </c>
      <c r="GV36">
        <v>2012</v>
      </c>
      <c r="GX36" s="47">
        <f t="shared" si="23"/>
        <v>158510</v>
      </c>
      <c r="GY36" s="47">
        <f t="shared" si="32"/>
        <v>156457.25784954356</v>
      </c>
      <c r="GZ36" s="47">
        <f t="shared" si="46"/>
        <v>2052.7421504564409</v>
      </c>
      <c r="HB36" s="47">
        <f t="shared" si="24"/>
        <v>12940</v>
      </c>
      <c r="HC36" s="47">
        <f t="shared" si="34"/>
        <v>21936.666666666668</v>
      </c>
      <c r="HD36" s="47">
        <f t="shared" si="45"/>
        <v>-8996.6666666666679</v>
      </c>
      <c r="HE36" s="242">
        <f t="shared" si="47"/>
        <v>1.6952601751674397</v>
      </c>
      <c r="HF36" s="47"/>
      <c r="HG36" s="47">
        <f t="shared" si="48"/>
        <v>171450</v>
      </c>
      <c r="HH36" s="47">
        <f t="shared" si="48"/>
        <v>178393.92451621022</v>
      </c>
      <c r="HI36" s="47">
        <f t="shared" si="49"/>
        <v>-6943.9245162102161</v>
      </c>
      <c r="HK36" s="242">
        <f t="shared" si="25"/>
        <v>0.15737177465144156</v>
      </c>
      <c r="HL36" s="242">
        <f t="shared" si="39"/>
        <v>0.15227326732553403</v>
      </c>
      <c r="HM36" s="242">
        <f t="shared" si="50"/>
        <v>5.0985073259075253E-3</v>
      </c>
      <c r="HO36" s="242">
        <f t="shared" si="26"/>
        <v>0.1027047913446677</v>
      </c>
      <c r="HP36" s="242">
        <f t="shared" si="41"/>
        <v>0.1</v>
      </c>
      <c r="HQ36" s="242">
        <f t="shared" si="51"/>
        <v>2.7047913446676952E-3</v>
      </c>
      <c r="HR36" s="47"/>
      <c r="HS36" s="268">
        <f t="shared" si="52"/>
        <v>0.26007656599610929</v>
      </c>
      <c r="HT36" s="268">
        <f t="shared" si="52"/>
        <v>0.25227326732553401</v>
      </c>
      <c r="HU36" s="268">
        <f t="shared" si="53"/>
        <v>7.803298670575276E-3</v>
      </c>
      <c r="HW36">
        <v>2012</v>
      </c>
    </row>
    <row r="37" spans="42:231" x14ac:dyDescent="0.25">
      <c r="AP37">
        <v>1995</v>
      </c>
      <c r="AQ37" s="47">
        <v>58.410600372205337</v>
      </c>
      <c r="AR37" s="47">
        <v>18.977769691238468</v>
      </c>
      <c r="AS37" s="47">
        <v>77.388370063443801</v>
      </c>
      <c r="AT37" s="596">
        <v>0.24791181496779524</v>
      </c>
      <c r="AU37" s="47">
        <v>76.722999999999999</v>
      </c>
      <c r="AV37" s="47">
        <v>26.175000000000001</v>
      </c>
      <c r="AW37" s="47">
        <v>102.898</v>
      </c>
      <c r="AX37" s="47">
        <v>36.97</v>
      </c>
      <c r="AY37" s="460">
        <v>0.2174593806360908</v>
      </c>
      <c r="AZ37">
        <v>36.548000000000002</v>
      </c>
      <c r="BB37">
        <v>1995</v>
      </c>
      <c r="BC37">
        <v>0.89138037220532829</v>
      </c>
      <c r="BD37">
        <v>1.6554206912384668</v>
      </c>
      <c r="BE37">
        <v>2.546801063443795</v>
      </c>
      <c r="BF37">
        <v>1.744</v>
      </c>
      <c r="BG37">
        <v>0.61699999999999999</v>
      </c>
      <c r="BH37">
        <v>2.3609999999999998</v>
      </c>
      <c r="BI37">
        <v>2.6353803722053284</v>
      </c>
      <c r="BJ37">
        <v>2.2724206912384668</v>
      </c>
      <c r="BK37">
        <v>4.9078010634437952</v>
      </c>
      <c r="BL37">
        <v>2635.3803722053281</v>
      </c>
      <c r="BM37">
        <v>2272.420691238467</v>
      </c>
      <c r="BN37">
        <v>4.9078010634437952</v>
      </c>
      <c r="BP37">
        <v>2002</v>
      </c>
      <c r="BQ37">
        <v>48.113999999999997</v>
      </c>
      <c r="BR37">
        <v>6.4609999999999994</v>
      </c>
      <c r="BS37">
        <v>308.97014999999999</v>
      </c>
      <c r="BT37">
        <v>0.15572378108370663</v>
      </c>
      <c r="BU37">
        <v>2.0911405195615174E-2</v>
      </c>
      <c r="BV37">
        <v>0.17663518627932179</v>
      </c>
      <c r="BX37">
        <v>1995</v>
      </c>
      <c r="BY37">
        <v>27432.000000000004</v>
      </c>
      <c r="BZ37">
        <v>527</v>
      </c>
      <c r="CA37">
        <v>15230.569000000001</v>
      </c>
      <c r="CB37">
        <v>2635.3803722053281</v>
      </c>
      <c r="CC37">
        <v>2272.420691238467</v>
      </c>
      <c r="CD37">
        <v>6659.22</v>
      </c>
      <c r="CE37">
        <v>21157</v>
      </c>
      <c r="CF37">
        <v>1474.7799999999997</v>
      </c>
      <c r="CG37">
        <v>0</v>
      </c>
      <c r="CH37">
        <v>0</v>
      </c>
      <c r="CI37">
        <v>34091.22</v>
      </c>
      <c r="CJ37">
        <v>21684</v>
      </c>
      <c r="CK37">
        <v>16705.349000000002</v>
      </c>
      <c r="CL37">
        <v>2635.3803722053281</v>
      </c>
      <c r="CM37">
        <v>2272.420691238467</v>
      </c>
      <c r="CN37">
        <v>77388.370063443799</v>
      </c>
      <c r="CO37">
        <v>1995</v>
      </c>
      <c r="CP37">
        <v>58410.600372205328</v>
      </c>
      <c r="CQ37">
        <v>18977.769691238471</v>
      </c>
      <c r="CS37" t="b">
        <v>1</v>
      </c>
      <c r="CT37" t="b">
        <v>1</v>
      </c>
      <c r="CV37">
        <v>1995</v>
      </c>
      <c r="CW37">
        <v>48.860384615384618</v>
      </c>
      <c r="CX37">
        <v>175.82702354545455</v>
      </c>
      <c r="CY37">
        <v>224.68740816083917</v>
      </c>
      <c r="CZ37">
        <v>0.2174593806360908</v>
      </c>
      <c r="DA37">
        <v>0.124</v>
      </c>
      <c r="DD37">
        <v>1995</v>
      </c>
      <c r="DE37" s="47">
        <v>27432.000000000004</v>
      </c>
      <c r="DF37" s="47">
        <v>527</v>
      </c>
      <c r="DG37" s="47">
        <v>15230.569000000001</v>
      </c>
      <c r="DH37" s="47">
        <v>2635.3803722053281</v>
      </c>
      <c r="DI37" s="47">
        <v>2272.420691238467</v>
      </c>
      <c r="DJ37" s="47">
        <v>6659.22</v>
      </c>
      <c r="DK37" s="47">
        <v>21157</v>
      </c>
      <c r="DL37" s="47">
        <v>1474.7799999999997</v>
      </c>
      <c r="DM37" s="130" t="s">
        <v>728</v>
      </c>
      <c r="DN37" s="130" t="s">
        <v>728</v>
      </c>
      <c r="DO37" s="47">
        <v>34091.22</v>
      </c>
      <c r="DP37" s="47">
        <v>21684</v>
      </c>
      <c r="DQ37" s="47">
        <v>16705.349000000002</v>
      </c>
      <c r="DR37" s="47">
        <v>2635.3803722053281</v>
      </c>
      <c r="DS37" s="47">
        <v>2272.420691238467</v>
      </c>
      <c r="DT37" s="47">
        <v>77388.370063443799</v>
      </c>
      <c r="DV37" s="47">
        <f t="shared" si="30"/>
        <v>43189.569000000003</v>
      </c>
      <c r="DW37" s="47">
        <f t="shared" si="27"/>
        <v>29291</v>
      </c>
      <c r="DX37" s="47">
        <f t="shared" si="28"/>
        <v>72480.569000000003</v>
      </c>
      <c r="DY37" s="242">
        <f t="shared" si="31"/>
        <v>0.40412210340125776</v>
      </c>
      <c r="DZ37" s="276">
        <v>1995</v>
      </c>
      <c r="EA37" s="47">
        <f t="shared" si="29"/>
        <v>4907.8010634437951</v>
      </c>
      <c r="EC37" s="47"/>
      <c r="EF37" s="276">
        <v>1995</v>
      </c>
      <c r="EK37">
        <v>2013</v>
      </c>
      <c r="EL37">
        <v>757</v>
      </c>
      <c r="EM37">
        <v>16236</v>
      </c>
      <c r="EN37">
        <v>5506</v>
      </c>
      <c r="EO37">
        <v>4461</v>
      </c>
      <c r="EP37">
        <v>102020</v>
      </c>
      <c r="EQ37">
        <v>128980</v>
      </c>
      <c r="ER37">
        <v>1140</v>
      </c>
      <c r="ES37">
        <v>4995</v>
      </c>
      <c r="ET37">
        <v>2672</v>
      </c>
      <c r="EU37">
        <v>2748</v>
      </c>
      <c r="EV37">
        <v>36492</v>
      </c>
      <c r="EW37">
        <v>48047</v>
      </c>
      <c r="EX37">
        <v>1897</v>
      </c>
      <c r="EY37">
        <v>21231</v>
      </c>
      <c r="EZ37">
        <v>8178</v>
      </c>
      <c r="FA37">
        <v>7209</v>
      </c>
      <c r="FB37">
        <v>138512</v>
      </c>
      <c r="FC37">
        <v>177027</v>
      </c>
      <c r="FD37">
        <v>193261</v>
      </c>
      <c r="FE37">
        <v>128598</v>
      </c>
      <c r="FG37">
        <v>2013</v>
      </c>
      <c r="FH37" s="47">
        <f t="shared" si="0"/>
        <v>2793</v>
      </c>
      <c r="FI37" s="47">
        <f t="shared" si="1"/>
        <v>44245</v>
      </c>
      <c r="FJ37" s="47">
        <f t="shared" si="2"/>
        <v>10859</v>
      </c>
      <c r="FK37" s="47">
        <f t="shared" si="18"/>
        <v>57897</v>
      </c>
      <c r="FL37" s="47">
        <f t="shared" si="19"/>
        <v>55104</v>
      </c>
      <c r="FM37" s="47"/>
      <c r="FN37" s="47">
        <f t="shared" si="3"/>
        <v>52</v>
      </c>
      <c r="FO37" s="47">
        <f t="shared" si="4"/>
        <v>2957</v>
      </c>
      <c r="FP37" s="47">
        <f t="shared" si="5"/>
        <v>737</v>
      </c>
      <c r="FQ37" s="47">
        <f t="shared" si="20"/>
        <v>3746</v>
      </c>
      <c r="FR37" s="47">
        <f t="shared" si="21"/>
        <v>3694</v>
      </c>
      <c r="FS37" s="47"/>
      <c r="FT37" s="47">
        <f t="shared" si="6"/>
        <v>285057</v>
      </c>
      <c r="FU37" s="47">
        <f t="shared" si="7"/>
        <v>36802</v>
      </c>
      <c r="FV37" s="47">
        <f t="shared" si="22"/>
        <v>321859</v>
      </c>
      <c r="FX37" s="242">
        <f t="shared" si="8"/>
        <v>9.7980403919216159E-3</v>
      </c>
      <c r="FY37" s="242">
        <f t="shared" si="9"/>
        <v>0.15521457112086354</v>
      </c>
      <c r="FZ37" s="242">
        <f t="shared" si="10"/>
        <v>3.8094135558853139E-2</v>
      </c>
      <c r="GA37" s="242">
        <f t="shared" si="11"/>
        <v>0.20310674707163831</v>
      </c>
      <c r="GB37" s="242">
        <f t="shared" si="12"/>
        <v>0.1933087066797167</v>
      </c>
      <c r="GC37" s="47"/>
      <c r="GD37" s="242">
        <f t="shared" si="13"/>
        <v>1.4129666865931199E-3</v>
      </c>
      <c r="GE37" s="242">
        <f t="shared" si="14"/>
        <v>8.0348894081843383E-2</v>
      </c>
      <c r="GF37" s="242">
        <f t="shared" si="15"/>
        <v>2.0026085538829411E-2</v>
      </c>
      <c r="GG37" s="242">
        <f t="shared" si="16"/>
        <v>0.10178794630726591</v>
      </c>
      <c r="GH37" s="242">
        <f t="shared" si="17"/>
        <v>0.10037497962067279</v>
      </c>
      <c r="GV37">
        <v>2013</v>
      </c>
      <c r="GX37" s="47">
        <f t="shared" si="23"/>
        <v>285057</v>
      </c>
      <c r="GY37" s="47">
        <f t="shared" si="32"/>
        <v>262516.0958254704</v>
      </c>
      <c r="GZ37" s="47">
        <f t="shared" si="46"/>
        <v>22540.904174529598</v>
      </c>
      <c r="HB37" s="47">
        <f t="shared" si="24"/>
        <v>36802</v>
      </c>
      <c r="HC37" s="47">
        <f t="shared" si="34"/>
        <v>28842.222222222223</v>
      </c>
      <c r="HD37" s="47">
        <f t="shared" si="45"/>
        <v>7959.7777777777774</v>
      </c>
      <c r="HE37" s="242">
        <f t="shared" si="47"/>
        <v>0.78371344552530364</v>
      </c>
      <c r="HF37" s="47"/>
      <c r="HG37" s="47">
        <f t="shared" si="48"/>
        <v>321859</v>
      </c>
      <c r="HH37" s="47">
        <f t="shared" si="48"/>
        <v>291358.31804769265</v>
      </c>
      <c r="HI37" s="47">
        <f t="shared" si="49"/>
        <v>30500.68195230735</v>
      </c>
      <c r="HK37" s="242">
        <f t="shared" si="25"/>
        <v>0.1933087066797167</v>
      </c>
      <c r="HL37" s="242">
        <f t="shared" si="39"/>
        <v>0.13603065634093911</v>
      </c>
      <c r="HM37" s="242">
        <f t="shared" si="50"/>
        <v>5.7278050338777586E-2</v>
      </c>
      <c r="HO37" s="242">
        <f t="shared" si="26"/>
        <v>0.10037497962067279</v>
      </c>
      <c r="HP37" s="242">
        <f t="shared" si="41"/>
        <v>0.1</v>
      </c>
      <c r="HQ37" s="242">
        <f t="shared" si="51"/>
        <v>3.7497962067278845E-4</v>
      </c>
      <c r="HR37" s="47"/>
      <c r="HS37" s="268">
        <f t="shared" si="52"/>
        <v>0.29368368630038949</v>
      </c>
      <c r="HT37" s="268">
        <f t="shared" si="52"/>
        <v>0.23603065634093912</v>
      </c>
      <c r="HU37" s="268">
        <f t="shared" si="53"/>
        <v>5.7653029959450375E-2</v>
      </c>
      <c r="HW37">
        <v>2013</v>
      </c>
    </row>
    <row r="38" spans="42:231" x14ac:dyDescent="0.25">
      <c r="AP38">
        <v>1996</v>
      </c>
      <c r="AQ38" s="47">
        <v>83.641302457030775</v>
      </c>
      <c r="AR38" s="47">
        <v>33.480418848771471</v>
      </c>
      <c r="AS38" s="47">
        <v>117.12172130580225</v>
      </c>
      <c r="AT38" s="596">
        <v>0.13614307931994196</v>
      </c>
      <c r="AU38" s="47">
        <v>89.885999999999996</v>
      </c>
      <c r="AV38" s="47">
        <v>45.694000000000003</v>
      </c>
      <c r="AW38" s="47">
        <v>135.57999999999998</v>
      </c>
      <c r="AX38" s="47">
        <v>44.99</v>
      </c>
      <c r="AY38" s="460">
        <v>0.13659682447888943</v>
      </c>
      <c r="AZ38">
        <v>40.909999999999997</v>
      </c>
      <c r="BB38">
        <v>1996</v>
      </c>
      <c r="BC38">
        <v>1.4433024570307893</v>
      </c>
      <c r="BD38">
        <v>2.680418848771466</v>
      </c>
      <c r="BE38">
        <v>4.1237213058022553</v>
      </c>
      <c r="BF38">
        <v>0.26600000000000001</v>
      </c>
      <c r="BG38">
        <v>2E-3</v>
      </c>
      <c r="BH38">
        <v>0.26800000000000002</v>
      </c>
      <c r="BI38">
        <v>1.7093024570307893</v>
      </c>
      <c r="BJ38">
        <v>2.6824188487714657</v>
      </c>
      <c r="BK38">
        <v>4.3917213058022551</v>
      </c>
      <c r="BL38">
        <v>1709.3024570307894</v>
      </c>
      <c r="BM38">
        <v>2682.4188487714659</v>
      </c>
      <c r="BN38">
        <v>4.3917213058022551</v>
      </c>
      <c r="BP38">
        <v>2003</v>
      </c>
      <c r="BQ38">
        <v>71.247</v>
      </c>
      <c r="BR38">
        <v>48.115000000000002</v>
      </c>
      <c r="BS38">
        <v>510.18739999999997</v>
      </c>
      <c r="BT38">
        <v>0.13964868595343594</v>
      </c>
      <c r="BU38">
        <v>9.4308483510176858E-2</v>
      </c>
      <c r="BV38">
        <v>0.23395716946361278</v>
      </c>
      <c r="BX38">
        <v>1996</v>
      </c>
      <c r="BY38">
        <v>52115.999999999993</v>
      </c>
      <c r="BZ38">
        <v>1412.0000000000002</v>
      </c>
      <c r="CA38">
        <v>24704.000000000004</v>
      </c>
      <c r="CB38">
        <v>1709.3024570307894</v>
      </c>
      <c r="CC38">
        <v>2682.4188487714659</v>
      </c>
      <c r="CD38">
        <v>8032</v>
      </c>
      <c r="CE38">
        <v>20372</v>
      </c>
      <c r="CF38">
        <v>6094</v>
      </c>
      <c r="CG38">
        <v>0</v>
      </c>
      <c r="CH38">
        <v>0</v>
      </c>
      <c r="CI38">
        <v>60147.999999999993</v>
      </c>
      <c r="CJ38">
        <v>21784</v>
      </c>
      <c r="CK38">
        <v>30798.000000000004</v>
      </c>
      <c r="CL38">
        <v>1709.3024570307894</v>
      </c>
      <c r="CM38">
        <v>2682.4188487714659</v>
      </c>
      <c r="CN38">
        <v>117121.72130580226</v>
      </c>
      <c r="CO38">
        <v>1996</v>
      </c>
      <c r="CP38">
        <v>83641.30245703079</v>
      </c>
      <c r="CQ38">
        <v>33480.418848771471</v>
      </c>
      <c r="CS38" t="b">
        <v>1</v>
      </c>
      <c r="CT38" t="b">
        <v>1</v>
      </c>
      <c r="CV38">
        <v>1996</v>
      </c>
      <c r="CW38">
        <v>38.789615384615388</v>
      </c>
      <c r="CX38">
        <v>245.1819595959596</v>
      </c>
      <c r="CY38">
        <v>283.97157498057499</v>
      </c>
      <c r="CZ38">
        <v>0.13659682447888943</v>
      </c>
      <c r="DA38">
        <v>8.3000000000000004E-2</v>
      </c>
      <c r="DD38">
        <v>1996</v>
      </c>
      <c r="DE38" s="47">
        <v>52115.999999999993</v>
      </c>
      <c r="DF38" s="47">
        <v>1412.0000000000002</v>
      </c>
      <c r="DG38" s="47">
        <v>24704.000000000004</v>
      </c>
      <c r="DH38" s="47">
        <v>1709.3024570307894</v>
      </c>
      <c r="DI38" s="47">
        <v>2682.4188487714659</v>
      </c>
      <c r="DJ38" s="47">
        <v>8032</v>
      </c>
      <c r="DK38" s="47">
        <v>20372</v>
      </c>
      <c r="DL38" s="47">
        <v>6094</v>
      </c>
      <c r="DM38" s="130" t="s">
        <v>728</v>
      </c>
      <c r="DN38" s="130" t="s">
        <v>728</v>
      </c>
      <c r="DO38" s="47">
        <v>60147.999999999993</v>
      </c>
      <c r="DP38" s="47">
        <v>21784</v>
      </c>
      <c r="DQ38" s="47">
        <v>30798.000000000004</v>
      </c>
      <c r="DR38" s="47">
        <v>1709.3024570307894</v>
      </c>
      <c r="DS38" s="47">
        <v>2682.4188487714659</v>
      </c>
      <c r="DT38" s="47">
        <v>117121.72130580226</v>
      </c>
      <c r="DV38" s="47">
        <f t="shared" si="30"/>
        <v>78232</v>
      </c>
      <c r="DW38" s="47">
        <f t="shared" si="27"/>
        <v>34498</v>
      </c>
      <c r="DX38" s="47">
        <f t="shared" si="28"/>
        <v>112730</v>
      </c>
      <c r="DY38" s="242">
        <f t="shared" si="31"/>
        <v>0.30602324137319259</v>
      </c>
      <c r="DZ38" s="276">
        <v>1996</v>
      </c>
      <c r="EA38" s="47">
        <f t="shared" si="29"/>
        <v>4391.7213058022553</v>
      </c>
      <c r="EC38" s="47"/>
      <c r="EF38" s="276">
        <v>1996</v>
      </c>
      <c r="EK38">
        <v>2014</v>
      </c>
      <c r="EL38">
        <v>2248</v>
      </c>
      <c r="EM38">
        <v>62439</v>
      </c>
      <c r="EN38">
        <v>34245</v>
      </c>
      <c r="EO38">
        <v>72233</v>
      </c>
      <c r="EP38">
        <v>350782</v>
      </c>
      <c r="EQ38">
        <v>521947</v>
      </c>
      <c r="ER38">
        <v>5085</v>
      </c>
      <c r="ES38">
        <v>19018</v>
      </c>
      <c r="ET38">
        <v>17211</v>
      </c>
      <c r="EU38">
        <v>124838</v>
      </c>
      <c r="EV38">
        <v>36639</v>
      </c>
      <c r="EW38">
        <v>202791</v>
      </c>
      <c r="EX38">
        <v>7333</v>
      </c>
      <c r="EY38">
        <v>81457</v>
      </c>
      <c r="EZ38">
        <v>51456</v>
      </c>
      <c r="FA38">
        <v>197071</v>
      </c>
      <c r="FB38">
        <v>387421</v>
      </c>
      <c r="FC38">
        <v>724738</v>
      </c>
      <c r="FD38">
        <v>777359</v>
      </c>
      <c r="FE38">
        <v>516473</v>
      </c>
      <c r="FG38">
        <v>2014</v>
      </c>
      <c r="FH38" s="47">
        <f t="shared" si="0"/>
        <v>9529</v>
      </c>
      <c r="FI38" s="47">
        <f t="shared" si="1"/>
        <v>169859</v>
      </c>
      <c r="FJ38" s="47">
        <f t="shared" si="2"/>
        <v>71537</v>
      </c>
      <c r="FK38" s="47">
        <f t="shared" si="18"/>
        <v>250925</v>
      </c>
      <c r="FL38" s="47">
        <f t="shared" si="19"/>
        <v>241396</v>
      </c>
      <c r="FM38" s="47"/>
      <c r="FN38" s="47">
        <f t="shared" si="3"/>
        <v>118</v>
      </c>
      <c r="FO38" s="47">
        <f t="shared" si="4"/>
        <v>8972</v>
      </c>
      <c r="FP38" s="47">
        <f t="shared" si="5"/>
        <v>3218</v>
      </c>
      <c r="FQ38" s="47">
        <f t="shared" si="20"/>
        <v>12308</v>
      </c>
      <c r="FR38" s="47">
        <f t="shared" si="21"/>
        <v>12190</v>
      </c>
      <c r="FS38" s="47"/>
      <c r="FT38" s="47">
        <f t="shared" si="6"/>
        <v>1185121</v>
      </c>
      <c r="FU38" s="47">
        <f t="shared" si="7"/>
        <v>108711</v>
      </c>
      <c r="FV38" s="47">
        <f t="shared" si="22"/>
        <v>1293832</v>
      </c>
      <c r="FX38" s="242">
        <f t="shared" si="8"/>
        <v>8.0405291949092114E-3</v>
      </c>
      <c r="FY38" s="242">
        <f t="shared" si="9"/>
        <v>0.14332629326456961</v>
      </c>
      <c r="FZ38" s="242">
        <f t="shared" si="10"/>
        <v>6.0362612762747431E-2</v>
      </c>
      <c r="GA38" s="242">
        <f t="shared" si="11"/>
        <v>0.21172943522222626</v>
      </c>
      <c r="GB38" s="242">
        <f t="shared" si="12"/>
        <v>0.20368890602731704</v>
      </c>
      <c r="GC38" s="47"/>
      <c r="GD38" s="242">
        <f t="shared" si="13"/>
        <v>1.0854467349210291E-3</v>
      </c>
      <c r="GE38" s="242">
        <f t="shared" si="14"/>
        <v>8.253074665857181E-2</v>
      </c>
      <c r="GF38" s="242">
        <f t="shared" si="15"/>
        <v>2.9601420279456541E-2</v>
      </c>
      <c r="GG38" s="242">
        <f t="shared" si="16"/>
        <v>0.11321761367294939</v>
      </c>
      <c r="GH38" s="242">
        <f t="shared" si="17"/>
        <v>0.11213216693802835</v>
      </c>
      <c r="GV38">
        <v>2014</v>
      </c>
      <c r="GX38" s="47">
        <f t="shared" si="23"/>
        <v>1185121</v>
      </c>
      <c r="GY38" s="47">
        <f t="shared" si="32"/>
        <v>1075873.5628549131</v>
      </c>
      <c r="GZ38" s="47">
        <f t="shared" si="46"/>
        <v>109247.43714508694</v>
      </c>
      <c r="HB38" s="47">
        <f t="shared" si="24"/>
        <v>108711</v>
      </c>
      <c r="HC38" s="47">
        <f t="shared" si="34"/>
        <v>93446.590909090912</v>
      </c>
      <c r="HD38" s="47">
        <f t="shared" si="45"/>
        <v>15264.409090909088</v>
      </c>
      <c r="HE38" s="242">
        <f t="shared" si="47"/>
        <v>0.85958726264215135</v>
      </c>
      <c r="HF38" s="47"/>
      <c r="HG38" s="47">
        <f t="shared" si="48"/>
        <v>1293832</v>
      </c>
      <c r="HH38" s="47">
        <f t="shared" si="48"/>
        <v>1169320.1537640039</v>
      </c>
      <c r="HI38" s="47">
        <f t="shared" si="49"/>
        <v>124511.84623599611</v>
      </c>
      <c r="HK38" s="242">
        <f t="shared" si="25"/>
        <v>0.20368890602731704</v>
      </c>
      <c r="HL38" s="242">
        <f t="shared" si="39"/>
        <v>0.12788358000898972</v>
      </c>
      <c r="HM38" s="242">
        <f t="shared" si="50"/>
        <v>7.5805326018327318E-2</v>
      </c>
      <c r="HO38" s="242">
        <f t="shared" si="26"/>
        <v>0.11213216693802835</v>
      </c>
      <c r="HP38" s="242">
        <f t="shared" si="41"/>
        <v>0.12</v>
      </c>
      <c r="HQ38" s="242">
        <f t="shared" si="51"/>
        <v>-7.8678330619716408E-3</v>
      </c>
      <c r="HR38" s="47"/>
      <c r="HS38" s="268">
        <f t="shared" si="52"/>
        <v>0.3158210729653454</v>
      </c>
      <c r="HT38" s="268">
        <f t="shared" si="52"/>
        <v>0.24788358000898972</v>
      </c>
      <c r="HU38" s="268">
        <f t="shared" si="53"/>
        <v>6.7937492956355677E-2</v>
      </c>
      <c r="HW38">
        <v>2014</v>
      </c>
    </row>
    <row r="39" spans="42:231" x14ac:dyDescent="0.25">
      <c r="AP39">
        <v>1997</v>
      </c>
      <c r="AQ39" s="47">
        <v>107.34882546552078</v>
      </c>
      <c r="AR39" s="47">
        <v>49.023104864538574</v>
      </c>
      <c r="AS39" s="47">
        <v>156.37193033005934</v>
      </c>
      <c r="AT39" s="596">
        <v>9.5906970802154601E-2</v>
      </c>
      <c r="AU39" s="47">
        <v>103.992</v>
      </c>
      <c r="AV39" s="47">
        <v>68.968000000000004</v>
      </c>
      <c r="AW39" s="47">
        <v>172.96</v>
      </c>
      <c r="AX39" s="47">
        <v>27.62</v>
      </c>
      <c r="AY39" s="460">
        <v>0.12091269119084795</v>
      </c>
      <c r="AZ39">
        <v>22.614999999999998</v>
      </c>
      <c r="BB39">
        <v>1997</v>
      </c>
      <c r="BC39">
        <v>2.4716756155207715</v>
      </c>
      <c r="BD39">
        <v>4.5902547145385766</v>
      </c>
      <c r="BE39">
        <v>7.0619303300593481</v>
      </c>
      <c r="BF39">
        <v>1.3819999999999999</v>
      </c>
      <c r="BG39">
        <v>1.7999999999999999E-2</v>
      </c>
      <c r="BH39">
        <v>1.4</v>
      </c>
      <c r="BI39">
        <v>3.8536756155207712</v>
      </c>
      <c r="BJ39">
        <v>4.6082547145385764</v>
      </c>
      <c r="BK39">
        <v>8.4619303300593476</v>
      </c>
      <c r="BL39">
        <v>3853.6756155207713</v>
      </c>
      <c r="BM39">
        <v>4608.254714538577</v>
      </c>
      <c r="BN39">
        <v>8.4619303300593494</v>
      </c>
      <c r="BP39">
        <v>2004</v>
      </c>
      <c r="BQ39">
        <v>16.640999999999998</v>
      </c>
      <c r="BR39">
        <v>14.015029999999999</v>
      </c>
      <c r="BS39">
        <v>302.31097999999997</v>
      </c>
      <c r="BT39">
        <v>5.5045966243105031E-2</v>
      </c>
      <c r="BU39">
        <v>4.635964595133131E-2</v>
      </c>
      <c r="BV39">
        <v>0.10140561219443633</v>
      </c>
      <c r="BX39">
        <v>1997</v>
      </c>
      <c r="BY39">
        <v>57910</v>
      </c>
      <c r="BZ39">
        <v>915</v>
      </c>
      <c r="CA39">
        <v>36646</v>
      </c>
      <c r="CB39">
        <v>3853.6756155207713</v>
      </c>
      <c r="CC39">
        <v>4608.254714538577</v>
      </c>
      <c r="CD39">
        <v>28010.149850000002</v>
      </c>
      <c r="CE39">
        <v>16660</v>
      </c>
      <c r="CF39">
        <v>7768.8501500000002</v>
      </c>
      <c r="CG39">
        <v>0</v>
      </c>
      <c r="CH39">
        <v>0</v>
      </c>
      <c r="CI39">
        <v>85920.149850000002</v>
      </c>
      <c r="CJ39">
        <v>17575</v>
      </c>
      <c r="CK39">
        <v>44414.850149999998</v>
      </c>
      <c r="CL39">
        <v>3853.6756155207713</v>
      </c>
      <c r="CM39">
        <v>4608.254714538577</v>
      </c>
      <c r="CN39">
        <v>156371.93033005935</v>
      </c>
      <c r="CO39">
        <v>1997</v>
      </c>
      <c r="CP39">
        <v>107348.82546552077</v>
      </c>
      <c r="CQ39">
        <v>49023.104864538574</v>
      </c>
      <c r="CS39" t="b">
        <v>1</v>
      </c>
      <c r="CT39" t="b">
        <v>1</v>
      </c>
      <c r="CV39">
        <v>1997</v>
      </c>
      <c r="CW39">
        <v>27.86461538461538</v>
      </c>
      <c r="CX39">
        <v>202.58774747474749</v>
      </c>
      <c r="CY39">
        <v>230.45236285936286</v>
      </c>
      <c r="CZ39">
        <v>0.12091269119084795</v>
      </c>
      <c r="DA39">
        <v>0.124</v>
      </c>
      <c r="DD39">
        <v>1997</v>
      </c>
      <c r="DE39" s="47">
        <v>57910</v>
      </c>
      <c r="DF39" s="47">
        <v>915</v>
      </c>
      <c r="DG39" s="47">
        <v>36646</v>
      </c>
      <c r="DH39" s="47">
        <v>3853.6756155207713</v>
      </c>
      <c r="DI39" s="47">
        <v>4608.254714538577</v>
      </c>
      <c r="DJ39" s="47">
        <v>28010.149850000002</v>
      </c>
      <c r="DK39" s="47">
        <v>16660</v>
      </c>
      <c r="DL39" s="47">
        <v>7768.8501500000002</v>
      </c>
      <c r="DM39" s="130" t="s">
        <v>728</v>
      </c>
      <c r="DN39" s="130" t="s">
        <v>728</v>
      </c>
      <c r="DO39" s="47">
        <v>85920.149850000002</v>
      </c>
      <c r="DP39" s="47">
        <v>17575</v>
      </c>
      <c r="DQ39" s="47">
        <v>44414.850149999998</v>
      </c>
      <c r="DR39" s="47">
        <v>3853.6756155207713</v>
      </c>
      <c r="DS39" s="47">
        <v>4608.254714538577</v>
      </c>
      <c r="DT39" s="47">
        <v>156371.93033005935</v>
      </c>
      <c r="DV39" s="47">
        <f t="shared" si="30"/>
        <v>95471</v>
      </c>
      <c r="DW39" s="47">
        <f t="shared" si="27"/>
        <v>52439</v>
      </c>
      <c r="DX39" s="47">
        <f t="shared" si="28"/>
        <v>147910</v>
      </c>
      <c r="DY39" s="242">
        <f t="shared" si="31"/>
        <v>0.35453316205800822</v>
      </c>
      <c r="DZ39" s="276">
        <v>1997</v>
      </c>
      <c r="EA39" s="47">
        <f t="shared" si="29"/>
        <v>8461.9303300593492</v>
      </c>
      <c r="EC39" s="47"/>
      <c r="EF39" s="276">
        <v>1997</v>
      </c>
      <c r="EK39">
        <v>2015</v>
      </c>
      <c r="EL39">
        <v>602</v>
      </c>
      <c r="EM39">
        <v>23312</v>
      </c>
      <c r="EN39">
        <v>9099</v>
      </c>
      <c r="EO39">
        <v>30236</v>
      </c>
      <c r="EP39">
        <v>52333</v>
      </c>
      <c r="EQ39">
        <v>115582</v>
      </c>
      <c r="ER39">
        <v>939</v>
      </c>
      <c r="ES39">
        <v>7604</v>
      </c>
      <c r="ET39">
        <v>4277</v>
      </c>
      <c r="EU39">
        <v>26016</v>
      </c>
      <c r="EV39">
        <v>1563</v>
      </c>
      <c r="EW39">
        <v>40399</v>
      </c>
      <c r="EX39">
        <v>1541</v>
      </c>
      <c r="EY39">
        <v>30916</v>
      </c>
      <c r="EZ39">
        <v>13376</v>
      </c>
      <c r="FA39">
        <v>56252</v>
      </c>
      <c r="FB39">
        <v>53896</v>
      </c>
      <c r="FC39">
        <v>155981</v>
      </c>
      <c r="FD39">
        <v>165522</v>
      </c>
      <c r="FE39">
        <v>93987</v>
      </c>
      <c r="FG39">
        <v>2015</v>
      </c>
      <c r="FH39" s="47">
        <f t="shared" si="0"/>
        <v>2191</v>
      </c>
      <c r="FI39" s="47">
        <f t="shared" si="1"/>
        <v>62841</v>
      </c>
      <c r="FJ39" s="47">
        <f t="shared" si="2"/>
        <v>17122</v>
      </c>
      <c r="FK39" s="47">
        <f t="shared" si="18"/>
        <v>82154</v>
      </c>
      <c r="FL39" s="47">
        <f t="shared" si="19"/>
        <v>79963</v>
      </c>
      <c r="FM39" s="47"/>
      <c r="FN39" s="47">
        <f t="shared" si="3"/>
        <v>40</v>
      </c>
      <c r="FO39" s="47">
        <f t="shared" si="4"/>
        <v>2908</v>
      </c>
      <c r="FP39" s="47">
        <f t="shared" si="5"/>
        <v>655</v>
      </c>
      <c r="FQ39" s="47">
        <f t="shared" si="20"/>
        <v>3603</v>
      </c>
      <c r="FR39" s="47">
        <f t="shared" si="21"/>
        <v>3563</v>
      </c>
      <c r="FS39" s="47"/>
      <c r="FT39" s="47">
        <f t="shared" si="6"/>
        <v>238610</v>
      </c>
      <c r="FU39" s="47">
        <f t="shared" si="7"/>
        <v>20899</v>
      </c>
      <c r="FV39" s="47">
        <f t="shared" si="22"/>
        <v>259509</v>
      </c>
      <c r="FX39" s="242">
        <f t="shared" si="8"/>
        <v>9.1823477641339423E-3</v>
      </c>
      <c r="FY39" s="242">
        <f t="shared" si="9"/>
        <v>0.26336280960563263</v>
      </c>
      <c r="FZ39" s="242">
        <f t="shared" si="10"/>
        <v>7.1757260802145756E-2</v>
      </c>
      <c r="GA39" s="242">
        <f t="shared" si="11"/>
        <v>0.34430241817191232</v>
      </c>
      <c r="GB39" s="242">
        <f t="shared" si="12"/>
        <v>0.33512007040777836</v>
      </c>
      <c r="GC39" s="47"/>
      <c r="GD39" s="242">
        <f t="shared" si="13"/>
        <v>1.9139671754629408E-3</v>
      </c>
      <c r="GE39" s="242">
        <f t="shared" si="14"/>
        <v>0.13914541365615579</v>
      </c>
      <c r="GF39" s="242">
        <f t="shared" si="15"/>
        <v>3.1341212498205658E-2</v>
      </c>
      <c r="GG39" s="242">
        <f t="shared" si="16"/>
        <v>0.17240059332982438</v>
      </c>
      <c r="GH39" s="242">
        <f t="shared" si="17"/>
        <v>0.17048662615436144</v>
      </c>
      <c r="GV39">
        <v>2015</v>
      </c>
      <c r="GX39" s="47">
        <f t="shared" si="23"/>
        <v>238610</v>
      </c>
      <c r="GY39" s="47">
        <f t="shared" si="32"/>
        <v>217305.20854267181</v>
      </c>
      <c r="GZ39" s="47">
        <f t="shared" si="46"/>
        <v>21304.791457328189</v>
      </c>
      <c r="HB39" s="47">
        <f t="shared" si="24"/>
        <v>20899</v>
      </c>
      <c r="HC39" s="47">
        <f t="shared" si="34"/>
        <v>12267.469879518072</v>
      </c>
      <c r="HD39" s="47">
        <f t="shared" si="45"/>
        <v>8631.530120481928</v>
      </c>
      <c r="HE39" s="242">
        <f t="shared" si="47"/>
        <v>0.58698836688444767</v>
      </c>
      <c r="HF39" s="47"/>
      <c r="HG39" s="47">
        <f t="shared" si="48"/>
        <v>259509</v>
      </c>
      <c r="HH39" s="47">
        <f t="shared" si="48"/>
        <v>229572.67842218987</v>
      </c>
      <c r="HI39" s="47">
        <f t="shared" si="49"/>
        <v>29936.321577810129</v>
      </c>
      <c r="HK39" s="242">
        <f t="shared" si="25"/>
        <v>0.33512007040777836</v>
      </c>
      <c r="HL39" s="242">
        <f t="shared" si="39"/>
        <v>0.2664786957064616</v>
      </c>
      <c r="HM39" s="242">
        <f t="shared" si="50"/>
        <v>6.864137470131676E-2</v>
      </c>
      <c r="HO39" s="242">
        <f t="shared" si="26"/>
        <v>0.17048662615436144</v>
      </c>
      <c r="HP39" s="242">
        <f t="shared" si="41"/>
        <v>0.17</v>
      </c>
      <c r="HQ39" s="242">
        <f t="shared" si="51"/>
        <v>4.8662615436143031E-4</v>
      </c>
      <c r="HR39" s="47"/>
      <c r="HS39" s="268">
        <f t="shared" si="52"/>
        <v>0.50560669656213975</v>
      </c>
      <c r="HT39" s="268">
        <f t="shared" si="52"/>
        <v>0.43647869570646158</v>
      </c>
      <c r="HU39" s="268">
        <f t="shared" si="53"/>
        <v>6.9128000855678162E-2</v>
      </c>
      <c r="HW39">
        <v>2015</v>
      </c>
    </row>
    <row r="40" spans="42:231" x14ac:dyDescent="0.25">
      <c r="AP40">
        <v>1998</v>
      </c>
      <c r="AQ40" s="47">
        <v>123.23039067730579</v>
      </c>
      <c r="AR40" s="47">
        <v>52.662154114996504</v>
      </c>
      <c r="AS40" s="47">
        <v>175.89254479230229</v>
      </c>
      <c r="AT40" s="596">
        <v>0.10376879010128348</v>
      </c>
      <c r="AU40" s="47">
        <v>136.33099999999999</v>
      </c>
      <c r="AV40" s="47">
        <v>59.927</v>
      </c>
      <c r="AW40" s="47">
        <v>196.25799999999998</v>
      </c>
      <c r="AX40" s="47">
        <v>30.838000000000001</v>
      </c>
      <c r="AY40" s="460">
        <v>6.4275119847942361E-2</v>
      </c>
      <c r="AZ40">
        <v>32.073</v>
      </c>
      <c r="BB40">
        <v>1998</v>
      </c>
      <c r="BC40">
        <v>2.6293906773058127</v>
      </c>
      <c r="BD40">
        <v>4.8831541149965085</v>
      </c>
      <c r="BE40">
        <v>7.5125447923023216</v>
      </c>
      <c r="BF40">
        <v>0.65400000000000003</v>
      </c>
      <c r="BG40">
        <v>0.25</v>
      </c>
      <c r="BH40">
        <v>0.90400000000000003</v>
      </c>
      <c r="BI40">
        <v>3.2833906773058126</v>
      </c>
      <c r="BJ40">
        <v>5.1331541149965085</v>
      </c>
      <c r="BK40">
        <v>8.4165447923023216</v>
      </c>
      <c r="BL40">
        <v>3283.3906773058125</v>
      </c>
      <c r="BM40">
        <v>5133.1541149965087</v>
      </c>
      <c r="BN40">
        <v>8.4165447923023198</v>
      </c>
      <c r="BP40">
        <v>2005</v>
      </c>
      <c r="BQ40">
        <v>14.340999999999999</v>
      </c>
      <c r="BR40">
        <v>6.2938599999999996</v>
      </c>
      <c r="BS40">
        <v>251.6700220963221</v>
      </c>
      <c r="BT40">
        <v>5.6983346210822218E-2</v>
      </c>
      <c r="BU40">
        <v>2.5008381799208248E-2</v>
      </c>
      <c r="BV40">
        <v>8.1991728010030462E-2</v>
      </c>
      <c r="BX40">
        <v>1998</v>
      </c>
      <c r="BY40">
        <v>88949</v>
      </c>
      <c r="BZ40">
        <v>904</v>
      </c>
      <c r="CA40">
        <v>44711</v>
      </c>
      <c r="CB40">
        <v>3283.3906773058125</v>
      </c>
      <c r="CC40">
        <v>5133.1541149965087</v>
      </c>
      <c r="CD40">
        <v>7323</v>
      </c>
      <c r="CE40">
        <v>22771</v>
      </c>
      <c r="CF40">
        <v>2818</v>
      </c>
      <c r="CG40">
        <v>0</v>
      </c>
      <c r="CH40">
        <v>0</v>
      </c>
      <c r="CI40">
        <v>96272</v>
      </c>
      <c r="CJ40">
        <v>23675</v>
      </c>
      <c r="CK40">
        <v>47529</v>
      </c>
      <c r="CL40">
        <v>3283.3906773058125</v>
      </c>
      <c r="CM40">
        <v>5133.1541149965087</v>
      </c>
      <c r="CN40">
        <v>175892.54479230233</v>
      </c>
      <c r="CO40">
        <v>1998</v>
      </c>
      <c r="CP40">
        <v>123230.39067730581</v>
      </c>
      <c r="CQ40">
        <v>52662.154114996505</v>
      </c>
      <c r="CS40" t="b">
        <v>1</v>
      </c>
      <c r="CT40" t="b">
        <v>1</v>
      </c>
      <c r="CV40">
        <v>1998</v>
      </c>
      <c r="CW40">
        <v>16.071978021978023</v>
      </c>
      <c r="CX40">
        <v>233.97777777777776</v>
      </c>
      <c r="CY40">
        <v>250.04975579975579</v>
      </c>
      <c r="CZ40">
        <v>6.4275119847942361E-2</v>
      </c>
      <c r="DA40">
        <v>7.8E-2</v>
      </c>
      <c r="DD40">
        <v>1998</v>
      </c>
      <c r="DE40" s="47">
        <v>88949</v>
      </c>
      <c r="DF40" s="47">
        <v>904</v>
      </c>
      <c r="DG40" s="47">
        <v>44711</v>
      </c>
      <c r="DH40" s="47">
        <v>3283.3906773058125</v>
      </c>
      <c r="DI40" s="47">
        <v>5133.1541149965087</v>
      </c>
      <c r="DJ40" s="47">
        <v>7323</v>
      </c>
      <c r="DK40" s="47">
        <v>22771</v>
      </c>
      <c r="DL40" s="47">
        <v>2818</v>
      </c>
      <c r="DM40" s="130" t="s">
        <v>728</v>
      </c>
      <c r="DN40" s="130" t="s">
        <v>728</v>
      </c>
      <c r="DO40" s="47">
        <v>96272</v>
      </c>
      <c r="DP40" s="47">
        <v>23675</v>
      </c>
      <c r="DQ40" s="47">
        <v>47529</v>
      </c>
      <c r="DR40" s="47">
        <v>3283.3906773058125</v>
      </c>
      <c r="DS40" s="47">
        <v>5133.1541149965087</v>
      </c>
      <c r="DT40" s="47">
        <v>175892.54479230233</v>
      </c>
      <c r="DV40" s="47">
        <f t="shared" si="30"/>
        <v>134564</v>
      </c>
      <c r="DW40" s="47">
        <f t="shared" si="27"/>
        <v>32912</v>
      </c>
      <c r="DX40" s="47">
        <f t="shared" si="28"/>
        <v>167476</v>
      </c>
      <c r="DY40" s="242">
        <f t="shared" si="31"/>
        <v>0.19651771000023885</v>
      </c>
      <c r="DZ40" s="276">
        <v>1998</v>
      </c>
      <c r="EA40" s="47">
        <f t="shared" si="29"/>
        <v>8416.5447923023203</v>
      </c>
      <c r="EC40" s="47"/>
      <c r="EF40" s="276">
        <v>1998</v>
      </c>
      <c r="EK40">
        <v>2016</v>
      </c>
      <c r="EL40">
        <v>280</v>
      </c>
      <c r="EM40">
        <v>7402</v>
      </c>
      <c r="EN40">
        <v>1973</v>
      </c>
      <c r="EO40">
        <v>14253</v>
      </c>
      <c r="EP40">
        <v>65115</v>
      </c>
      <c r="EQ40">
        <v>89023</v>
      </c>
      <c r="ER40">
        <v>601</v>
      </c>
      <c r="ES40">
        <v>2815</v>
      </c>
      <c r="ET40">
        <v>1030</v>
      </c>
      <c r="EU40">
        <v>15156</v>
      </c>
      <c r="EV40">
        <v>13903</v>
      </c>
      <c r="EW40">
        <v>33505</v>
      </c>
      <c r="EX40">
        <v>881</v>
      </c>
      <c r="EY40">
        <v>10217</v>
      </c>
      <c r="EZ40">
        <v>3003</v>
      </c>
      <c r="FA40">
        <v>29409</v>
      </c>
      <c r="FB40">
        <v>79018</v>
      </c>
      <c r="FC40">
        <v>122528</v>
      </c>
      <c r="FD40">
        <v>133988</v>
      </c>
      <c r="FE40">
        <v>102374</v>
      </c>
      <c r="FG40">
        <v>2016</v>
      </c>
      <c r="FH40" s="47">
        <f t="shared" si="0"/>
        <v>1437</v>
      </c>
      <c r="FI40" s="47">
        <f t="shared" si="1"/>
        <v>24177</v>
      </c>
      <c r="FJ40" s="47">
        <f t="shared" si="2"/>
        <v>4321</v>
      </c>
      <c r="FK40" s="47">
        <f t="shared" si="18"/>
        <v>29935</v>
      </c>
      <c r="FL40" s="47">
        <f t="shared" si="19"/>
        <v>28498</v>
      </c>
      <c r="FM40" s="47"/>
      <c r="FN40" s="47">
        <f t="shared" si="3"/>
        <v>49</v>
      </c>
      <c r="FO40" s="47">
        <f t="shared" si="4"/>
        <v>1417</v>
      </c>
      <c r="FP40" s="47">
        <f t="shared" si="5"/>
        <v>370</v>
      </c>
      <c r="FQ40" s="47">
        <f t="shared" si="20"/>
        <v>1836</v>
      </c>
      <c r="FR40" s="47">
        <f t="shared" si="21"/>
        <v>1787</v>
      </c>
      <c r="FS40" s="47"/>
      <c r="FT40" s="47">
        <f t="shared" si="6"/>
        <v>211274</v>
      </c>
      <c r="FU40" s="47">
        <f t="shared" si="7"/>
        <v>25088</v>
      </c>
      <c r="FV40" s="47">
        <f t="shared" si="22"/>
        <v>236362</v>
      </c>
      <c r="FX40" s="242">
        <f t="shared" si="8"/>
        <v>6.8015941384174106E-3</v>
      </c>
      <c r="FY40" s="242">
        <f t="shared" si="9"/>
        <v>0.11443433645408332</v>
      </c>
      <c r="FZ40" s="242">
        <f t="shared" si="10"/>
        <v>2.0452114316006704E-2</v>
      </c>
      <c r="GA40" s="242">
        <f t="shared" si="11"/>
        <v>0.14168804490850745</v>
      </c>
      <c r="GB40" s="242">
        <f t="shared" si="12"/>
        <v>0.13488645077009004</v>
      </c>
      <c r="GC40" s="47"/>
      <c r="GD40" s="242">
        <f t="shared" si="13"/>
        <v>1.953125E-3</v>
      </c>
      <c r="GE40" s="242">
        <f t="shared" si="14"/>
        <v>5.6481186224489797E-2</v>
      </c>
      <c r="GF40" s="242">
        <f t="shared" si="15"/>
        <v>1.4748086734693877E-2</v>
      </c>
      <c r="GG40" s="242">
        <f t="shared" si="16"/>
        <v>7.3182397959183673E-2</v>
      </c>
      <c r="GH40" s="242">
        <f t="shared" si="17"/>
        <v>7.1229272959183673E-2</v>
      </c>
      <c r="GV40">
        <v>2016</v>
      </c>
      <c r="GX40" s="47">
        <f t="shared" si="23"/>
        <v>211274</v>
      </c>
      <c r="GY40" s="47">
        <f t="shared" si="32"/>
        <v>202667.06768266007</v>
      </c>
      <c r="GZ40" s="47">
        <f t="shared" si="46"/>
        <v>8606.9323173399316</v>
      </c>
      <c r="HB40" s="47">
        <f t="shared" si="24"/>
        <v>25088</v>
      </c>
      <c r="HC40" s="47">
        <f t="shared" si="34"/>
        <v>25335.869565217392</v>
      </c>
      <c r="HD40" s="47">
        <f t="shared" si="45"/>
        <v>-247.86956521739194</v>
      </c>
      <c r="HE40" s="242">
        <f t="shared" si="47"/>
        <v>1.009880004991127</v>
      </c>
      <c r="HF40" s="47"/>
      <c r="HG40" s="47">
        <f t="shared" si="48"/>
        <v>236362</v>
      </c>
      <c r="HH40" s="47">
        <f t="shared" si="48"/>
        <v>228002.93724787747</v>
      </c>
      <c r="HI40" s="47">
        <f t="shared" si="49"/>
        <v>8359.0627521225251</v>
      </c>
      <c r="HK40" s="242">
        <f t="shared" si="25"/>
        <v>0.13488645077009004</v>
      </c>
      <c r="HL40" s="242">
        <f t="shared" si="39"/>
        <v>0.1037616418055043</v>
      </c>
      <c r="HM40" s="242">
        <f t="shared" si="50"/>
        <v>3.1124808964585735E-2</v>
      </c>
      <c r="HO40" s="242">
        <f t="shared" si="26"/>
        <v>7.1229272959183673E-2</v>
      </c>
      <c r="HP40" s="242">
        <f t="shared" si="41"/>
        <v>0.08</v>
      </c>
      <c r="HQ40" s="242">
        <f t="shared" si="51"/>
        <v>-8.7707270408163285E-3</v>
      </c>
      <c r="HR40" s="47"/>
      <c r="HS40" s="268">
        <f t="shared" si="52"/>
        <v>0.20611572372927373</v>
      </c>
      <c r="HT40" s="268">
        <f t="shared" si="52"/>
        <v>0.18376164180550431</v>
      </c>
      <c r="HU40" s="268">
        <f t="shared" si="53"/>
        <v>2.235408192376942E-2</v>
      </c>
      <c r="HW40">
        <v>2016</v>
      </c>
    </row>
    <row r="41" spans="42:231" x14ac:dyDescent="0.25">
      <c r="AP41">
        <v>1999</v>
      </c>
      <c r="AQ41" s="47">
        <v>154.36112988775255</v>
      </c>
      <c r="AR41" s="47">
        <v>134.69824122011192</v>
      </c>
      <c r="AS41" s="47">
        <v>289.05937110786448</v>
      </c>
      <c r="AT41" s="596">
        <v>0.16091365830985105</v>
      </c>
      <c r="AU41" s="47">
        <v>179.44499999999999</v>
      </c>
      <c r="AV41" s="47">
        <v>165.048</v>
      </c>
      <c r="AW41" s="47">
        <v>344.49299999999999</v>
      </c>
      <c r="AX41" s="47">
        <v>22.899000000000001</v>
      </c>
      <c r="AY41" s="460">
        <v>0.10738519626395036</v>
      </c>
      <c r="AZ41">
        <v>27.975999999999999</v>
      </c>
      <c r="BB41">
        <v>1999</v>
      </c>
      <c r="BC41">
        <v>5.2011298877525736</v>
      </c>
      <c r="BD41">
        <v>9.6592412201119231</v>
      </c>
      <c r="BE41">
        <v>14.860371107864497</v>
      </c>
      <c r="BF41">
        <v>0.31900000000000001</v>
      </c>
      <c r="BG41">
        <v>5.3999999999999999E-2</v>
      </c>
      <c r="BH41">
        <v>0.373</v>
      </c>
      <c r="BI41">
        <v>5.5201298877525735</v>
      </c>
      <c r="BJ41">
        <v>9.7132412201119234</v>
      </c>
      <c r="BK41">
        <v>15.233371107864496</v>
      </c>
      <c r="BL41">
        <v>5520.1298877525733</v>
      </c>
      <c r="BM41">
        <v>9713.2412201119223</v>
      </c>
      <c r="BN41">
        <v>15.233371107864496</v>
      </c>
      <c r="BP41">
        <v>2006</v>
      </c>
      <c r="BQ41">
        <v>9.2530000000000001</v>
      </c>
      <c r="BR41">
        <v>3.7794600000000003</v>
      </c>
      <c r="BS41">
        <v>243.76131741099564</v>
      </c>
      <c r="BT41">
        <v>3.7959263177097573E-2</v>
      </c>
      <c r="BU41">
        <v>1.5504757030942742E-2</v>
      </c>
      <c r="BV41">
        <v>5.3464020208040315E-2</v>
      </c>
      <c r="BX41">
        <v>1999</v>
      </c>
      <c r="BY41">
        <v>93094</v>
      </c>
      <c r="BZ41">
        <v>451</v>
      </c>
      <c r="CA41">
        <v>72295</v>
      </c>
      <c r="CB41">
        <v>5520.1298877525733</v>
      </c>
      <c r="CC41">
        <v>9713.2412201119223</v>
      </c>
      <c r="CD41">
        <v>33775</v>
      </c>
      <c r="CE41">
        <v>21521</v>
      </c>
      <c r="CF41">
        <v>52690</v>
      </c>
      <c r="CG41">
        <v>0</v>
      </c>
      <c r="CH41">
        <v>0</v>
      </c>
      <c r="CI41">
        <v>126869</v>
      </c>
      <c r="CJ41">
        <v>21972</v>
      </c>
      <c r="CK41">
        <v>124985</v>
      </c>
      <c r="CL41">
        <v>5520.1298877525733</v>
      </c>
      <c r="CM41">
        <v>9713.2412201119223</v>
      </c>
      <c r="CN41">
        <v>289059.37110786448</v>
      </c>
      <c r="CO41">
        <v>1999</v>
      </c>
      <c r="CP41">
        <v>154361.12988775258</v>
      </c>
      <c r="CQ41">
        <v>134698.24122011193</v>
      </c>
      <c r="CS41" t="b">
        <v>1</v>
      </c>
      <c r="CT41" t="b">
        <v>1</v>
      </c>
      <c r="CV41">
        <v>1999</v>
      </c>
      <c r="CW41">
        <v>40.362637362637365</v>
      </c>
      <c r="CX41">
        <v>335.50516161616156</v>
      </c>
      <c r="CY41">
        <v>375.86779897879893</v>
      </c>
      <c r="CZ41">
        <v>0.10738519626395036</v>
      </c>
      <c r="DA41">
        <v>7.5999999999999998E-2</v>
      </c>
      <c r="DD41">
        <v>1999</v>
      </c>
      <c r="DE41" s="47">
        <v>93094</v>
      </c>
      <c r="DF41" s="47">
        <v>451</v>
      </c>
      <c r="DG41" s="47">
        <v>72295</v>
      </c>
      <c r="DH41" s="47">
        <v>5520.1298877525733</v>
      </c>
      <c r="DI41" s="47">
        <v>9713.2412201119223</v>
      </c>
      <c r="DJ41" s="47">
        <v>33775</v>
      </c>
      <c r="DK41" s="47">
        <v>21521</v>
      </c>
      <c r="DL41" s="47">
        <v>52690</v>
      </c>
      <c r="DM41" s="130" t="s">
        <v>728</v>
      </c>
      <c r="DN41" s="130" t="s">
        <v>728</v>
      </c>
      <c r="DO41" s="47">
        <v>126869</v>
      </c>
      <c r="DP41" s="47">
        <v>21972</v>
      </c>
      <c r="DQ41" s="47">
        <v>124985</v>
      </c>
      <c r="DR41" s="47">
        <v>5520.1298877525733</v>
      </c>
      <c r="DS41" s="47">
        <v>9713.2412201119223</v>
      </c>
      <c r="DT41" s="47">
        <v>289059.37110786448</v>
      </c>
      <c r="DV41" s="47">
        <f t="shared" si="30"/>
        <v>165840</v>
      </c>
      <c r="DW41" s="47">
        <f t="shared" si="27"/>
        <v>107986</v>
      </c>
      <c r="DX41" s="47">
        <f t="shared" si="28"/>
        <v>273826</v>
      </c>
      <c r="DY41" s="242">
        <f t="shared" si="31"/>
        <v>0.39435992199425912</v>
      </c>
      <c r="DZ41" s="276">
        <v>1999</v>
      </c>
      <c r="EA41" s="47">
        <f t="shared" si="29"/>
        <v>15233.371107864496</v>
      </c>
      <c r="EC41" s="47"/>
      <c r="EF41" s="276">
        <v>1999</v>
      </c>
      <c r="EK41">
        <v>2017</v>
      </c>
      <c r="EL41">
        <v>505</v>
      </c>
      <c r="EM41">
        <v>11533</v>
      </c>
      <c r="EN41">
        <v>4536</v>
      </c>
      <c r="EO41">
        <v>18981</v>
      </c>
      <c r="EP41">
        <v>79476</v>
      </c>
      <c r="EQ41">
        <v>115031</v>
      </c>
      <c r="ER41">
        <v>1099</v>
      </c>
      <c r="ES41">
        <v>4435</v>
      </c>
      <c r="ET41">
        <v>2502</v>
      </c>
      <c r="EU41">
        <v>18964</v>
      </c>
      <c r="EV41">
        <v>18032</v>
      </c>
      <c r="EW41">
        <v>45032</v>
      </c>
      <c r="EX41">
        <v>1604</v>
      </c>
      <c r="EY41">
        <v>15968</v>
      </c>
      <c r="EZ41">
        <v>7038</v>
      </c>
      <c r="FA41">
        <v>37945</v>
      </c>
      <c r="FB41">
        <v>97508</v>
      </c>
      <c r="FC41">
        <v>160063</v>
      </c>
      <c r="FD41">
        <v>177909</v>
      </c>
      <c r="FE41">
        <v>108437</v>
      </c>
      <c r="FG41">
        <v>2017</v>
      </c>
      <c r="FH41" s="47">
        <f t="shared" si="0"/>
        <v>2176</v>
      </c>
      <c r="FI41" s="47">
        <f t="shared" si="1"/>
        <v>36713</v>
      </c>
      <c r="FJ41" s="47">
        <f t="shared" si="2"/>
        <v>9715</v>
      </c>
      <c r="FK41" s="47">
        <f t="shared" si="18"/>
        <v>48604</v>
      </c>
      <c r="FL41" s="47">
        <f t="shared" si="19"/>
        <v>46428</v>
      </c>
      <c r="FM41" s="47"/>
      <c r="FN41" s="47">
        <f t="shared" si="3"/>
        <v>37</v>
      </c>
      <c r="FO41" s="47">
        <f t="shared" si="4"/>
        <v>1552</v>
      </c>
      <c r="FP41" s="47">
        <f t="shared" si="5"/>
        <v>689</v>
      </c>
      <c r="FQ41" s="47">
        <f t="shared" si="20"/>
        <v>2278</v>
      </c>
      <c r="FR41" s="47">
        <f t="shared" si="21"/>
        <v>2241</v>
      </c>
      <c r="FS41" s="47"/>
      <c r="FT41" s="47">
        <f t="shared" si="6"/>
        <v>255124</v>
      </c>
      <c r="FU41" s="47">
        <f t="shared" si="7"/>
        <v>31222</v>
      </c>
      <c r="FV41" s="47">
        <f t="shared" si="22"/>
        <v>286346</v>
      </c>
      <c r="FX41" s="242">
        <f t="shared" si="8"/>
        <v>8.5291858076856752E-3</v>
      </c>
      <c r="FY41" s="242">
        <f t="shared" si="9"/>
        <v>0.14390257286652766</v>
      </c>
      <c r="FZ41" s="242">
        <f t="shared" si="10"/>
        <v>3.8079522114736364E-2</v>
      </c>
      <c r="GA41" s="242">
        <f t="shared" si="11"/>
        <v>0.19051128078894969</v>
      </c>
      <c r="GB41" s="242">
        <f t="shared" si="12"/>
        <v>0.18198209498126403</v>
      </c>
      <c r="GC41" s="47"/>
      <c r="GD41" s="242">
        <f t="shared" si="13"/>
        <v>1.1850618153865864E-3</v>
      </c>
      <c r="GE41" s="242">
        <f t="shared" si="14"/>
        <v>4.9708538850810328E-2</v>
      </c>
      <c r="GF41" s="242">
        <f t="shared" si="15"/>
        <v>2.2067772724361029E-2</v>
      </c>
      <c r="GG41" s="242">
        <f t="shared" si="16"/>
        <v>7.2961373390557943E-2</v>
      </c>
      <c r="GH41" s="242">
        <f t="shared" si="17"/>
        <v>7.177631157517135E-2</v>
      </c>
      <c r="GV41">
        <v>2017</v>
      </c>
      <c r="GX41" s="47">
        <f t="shared" si="23"/>
        <v>255124</v>
      </c>
      <c r="GY41" s="47">
        <f t="shared" si="32"/>
        <v>242999.81449441379</v>
      </c>
      <c r="GZ41" s="47">
        <f t="shared" si="46"/>
        <v>12124.185505586211</v>
      </c>
      <c r="HB41" s="47">
        <f t="shared" si="24"/>
        <v>31222</v>
      </c>
      <c r="HC41" s="47">
        <f t="shared" si="34"/>
        <v>31336.559139784949</v>
      </c>
      <c r="HD41" s="47">
        <f t="shared" si="45"/>
        <v>-114.55913978494937</v>
      </c>
      <c r="HE41" s="242">
        <f t="shared" si="47"/>
        <v>1.0036691800584507</v>
      </c>
      <c r="HF41" s="47"/>
      <c r="HG41" s="47">
        <f t="shared" si="48"/>
        <v>286346</v>
      </c>
      <c r="HH41" s="47">
        <f t="shared" si="48"/>
        <v>274336.37363419874</v>
      </c>
      <c r="HI41" s="47">
        <f t="shared" si="49"/>
        <v>12009.626365801261</v>
      </c>
      <c r="HK41" s="242">
        <f t="shared" si="25"/>
        <v>0.18198209498126403</v>
      </c>
      <c r="HL41" s="242">
        <f t="shared" si="39"/>
        <v>0.15015161460237478</v>
      </c>
      <c r="HM41" s="242">
        <f t="shared" si="50"/>
        <v>3.1830480378889248E-2</v>
      </c>
      <c r="HO41" s="242">
        <f t="shared" si="26"/>
        <v>7.177631157517135E-2</v>
      </c>
      <c r="HP41" s="242">
        <f t="shared" si="41"/>
        <v>7.0000000000000007E-2</v>
      </c>
      <c r="HQ41" s="242">
        <f t="shared" si="51"/>
        <v>1.7763115751713437E-3</v>
      </c>
      <c r="HR41" s="47"/>
      <c r="HS41" s="268">
        <f t="shared" si="52"/>
        <v>0.25375840655643539</v>
      </c>
      <c r="HT41" s="268">
        <f t="shared" si="52"/>
        <v>0.22015161460237478</v>
      </c>
      <c r="HU41" s="268">
        <f t="shared" si="53"/>
        <v>3.3606791954060605E-2</v>
      </c>
      <c r="HW41">
        <v>2017</v>
      </c>
    </row>
    <row r="42" spans="42:231" ht="15.75" thickBot="1" x14ac:dyDescent="0.3">
      <c r="AP42">
        <v>2000</v>
      </c>
      <c r="AQ42" s="47">
        <v>329.96184999999997</v>
      </c>
      <c r="AR42" s="47">
        <v>228.37275</v>
      </c>
      <c r="AS42" s="47">
        <v>558.33459999999991</v>
      </c>
      <c r="AT42" s="596">
        <v>0.12153529060071122</v>
      </c>
      <c r="AU42" s="47">
        <v>350.779</v>
      </c>
      <c r="AV42" s="47">
        <v>284.80099999999999</v>
      </c>
      <c r="AW42" s="47">
        <v>635.57999999999993</v>
      </c>
      <c r="AX42" s="47">
        <v>36.26</v>
      </c>
      <c r="AY42" s="460">
        <v>0.13373096978479745</v>
      </c>
      <c r="AZ42">
        <v>37.493000000000002</v>
      </c>
      <c r="BB42">
        <v>2000</v>
      </c>
      <c r="BC42">
        <v>3.4842499999999998</v>
      </c>
      <c r="BD42">
        <v>6.4707499999999998</v>
      </c>
      <c r="BE42">
        <v>9.9550000000000001</v>
      </c>
      <c r="BF42">
        <v>5.8736000000000006</v>
      </c>
      <c r="BG42">
        <v>0.63400000000000001</v>
      </c>
      <c r="BH42">
        <v>6.5076000000000009</v>
      </c>
      <c r="BI42">
        <v>9.3578500000000009</v>
      </c>
      <c r="BJ42">
        <v>7.1047500000000001</v>
      </c>
      <c r="BK42">
        <v>16.462600000000002</v>
      </c>
      <c r="BL42">
        <v>6518.85</v>
      </c>
      <c r="BM42">
        <v>7104.75</v>
      </c>
      <c r="BN42">
        <v>13.6236</v>
      </c>
      <c r="BP42">
        <v>2007</v>
      </c>
      <c r="BQ42">
        <v>7.91</v>
      </c>
      <c r="BR42">
        <v>7.8159700000000001</v>
      </c>
      <c r="BS42">
        <v>220.64366635688324</v>
      </c>
      <c r="BT42">
        <v>3.584965809626213E-2</v>
      </c>
      <c r="BU42">
        <v>3.5423495852167121E-2</v>
      </c>
      <c r="BV42">
        <v>7.1273153948429258E-2</v>
      </c>
      <c r="BX42">
        <v>2000</v>
      </c>
      <c r="BY42">
        <v>198554.00000000003</v>
      </c>
      <c r="BZ42">
        <v>359</v>
      </c>
      <c r="CA42">
        <v>118184</v>
      </c>
      <c r="CB42">
        <v>6518.85</v>
      </c>
      <c r="CC42">
        <v>7104.75</v>
      </c>
      <c r="CD42">
        <v>66288</v>
      </c>
      <c r="CE42">
        <v>58242</v>
      </c>
      <c r="CF42">
        <v>103084</v>
      </c>
      <c r="CG42">
        <v>0</v>
      </c>
      <c r="CH42">
        <v>0</v>
      </c>
      <c r="CI42">
        <v>264842</v>
      </c>
      <c r="CJ42">
        <v>58601</v>
      </c>
      <c r="CK42">
        <v>221268</v>
      </c>
      <c r="CL42">
        <v>6518.85</v>
      </c>
      <c r="CM42">
        <v>7104.75</v>
      </c>
      <c r="CN42">
        <v>558334.6</v>
      </c>
      <c r="CO42">
        <v>2000</v>
      </c>
      <c r="CP42">
        <v>329961.84999999998</v>
      </c>
      <c r="CQ42">
        <v>228372.75</v>
      </c>
      <c r="CR42">
        <v>0</v>
      </c>
      <c r="CS42" t="b">
        <v>1</v>
      </c>
      <c r="CT42" t="b">
        <v>1</v>
      </c>
      <c r="CV42">
        <v>2000</v>
      </c>
      <c r="CW42">
        <v>99.408791208791229</v>
      </c>
      <c r="CX42">
        <v>643.94027272727271</v>
      </c>
      <c r="CY42">
        <v>743.34906393606389</v>
      </c>
      <c r="CZ42">
        <v>0.13373096978479745</v>
      </c>
      <c r="DA42">
        <v>7.2999999999999995E-2</v>
      </c>
      <c r="DD42">
        <v>2000</v>
      </c>
      <c r="DE42" s="47">
        <v>198554.00000000003</v>
      </c>
      <c r="DF42" s="47">
        <v>359</v>
      </c>
      <c r="DG42" s="47">
        <v>118184</v>
      </c>
      <c r="DH42" s="47">
        <v>6518.85</v>
      </c>
      <c r="DI42" s="47">
        <v>7104.75</v>
      </c>
      <c r="DJ42" s="47">
        <v>66288</v>
      </c>
      <c r="DK42" s="47">
        <v>58242</v>
      </c>
      <c r="DL42" s="47">
        <v>103084</v>
      </c>
      <c r="DM42" s="130" t="s">
        <v>728</v>
      </c>
      <c r="DN42" s="130" t="s">
        <v>728</v>
      </c>
      <c r="DO42" s="47">
        <v>264842</v>
      </c>
      <c r="DP42" s="47">
        <v>58601</v>
      </c>
      <c r="DQ42" s="47">
        <v>221268</v>
      </c>
      <c r="DR42" s="47">
        <v>6518.85</v>
      </c>
      <c r="DS42" s="47">
        <v>7104.75</v>
      </c>
      <c r="DT42" s="47">
        <v>558334.6</v>
      </c>
      <c r="DV42" s="47">
        <f t="shared" si="30"/>
        <v>317097</v>
      </c>
      <c r="DW42" s="47">
        <f t="shared" si="27"/>
        <v>227614</v>
      </c>
      <c r="DX42" s="47">
        <f t="shared" si="28"/>
        <v>544711</v>
      </c>
      <c r="DY42" s="242">
        <f t="shared" si="31"/>
        <v>0.41786194881322392</v>
      </c>
      <c r="DZ42" s="276">
        <v>2000</v>
      </c>
      <c r="EA42" s="47">
        <f t="shared" si="29"/>
        <v>13623.6</v>
      </c>
      <c r="EC42" s="47"/>
      <c r="EF42" s="276">
        <v>2000</v>
      </c>
    </row>
    <row r="43" spans="42:231" x14ac:dyDescent="0.25">
      <c r="AP43">
        <v>2001</v>
      </c>
      <c r="AQ43" s="47">
        <v>699.26610000000005</v>
      </c>
      <c r="AR43" s="47">
        <v>429.0779</v>
      </c>
      <c r="AS43" s="47">
        <v>1128.3440000000001</v>
      </c>
      <c r="AT43" s="596">
        <v>0.19566877073925304</v>
      </c>
      <c r="AU43" s="47">
        <v>853.48099999999999</v>
      </c>
      <c r="AV43" s="47">
        <v>549.35400000000004</v>
      </c>
      <c r="AW43" s="47">
        <v>1402.835</v>
      </c>
      <c r="AX43" s="47">
        <v>74.036000000000001</v>
      </c>
      <c r="AY43" s="460">
        <v>0.16164994883239719</v>
      </c>
      <c r="AZ43">
        <v>75.86</v>
      </c>
      <c r="BB43">
        <v>2001</v>
      </c>
      <c r="BC43">
        <v>7.1211000000000002</v>
      </c>
      <c r="BD43">
        <v>13.2249</v>
      </c>
      <c r="BE43">
        <v>20.346</v>
      </c>
      <c r="BF43">
        <v>6.9790000000000001</v>
      </c>
      <c r="BG43">
        <v>1.879</v>
      </c>
      <c r="BH43">
        <v>8.8580000000000005</v>
      </c>
      <c r="BI43">
        <v>14.100100000000001</v>
      </c>
      <c r="BJ43">
        <v>15.103899999999999</v>
      </c>
      <c r="BK43">
        <v>29.204000000000001</v>
      </c>
      <c r="BL43">
        <v>12364.1</v>
      </c>
      <c r="BM43">
        <v>15103.9</v>
      </c>
      <c r="BN43">
        <v>27.468</v>
      </c>
      <c r="BP43">
        <v>2008</v>
      </c>
      <c r="BQ43">
        <v>4.4145000000000003</v>
      </c>
      <c r="BR43">
        <v>8.7495100000000008</v>
      </c>
      <c r="BS43">
        <v>319.84806402738576</v>
      </c>
      <c r="BT43">
        <v>1.3801865624617399E-2</v>
      </c>
      <c r="BU43">
        <v>2.7355206999942504E-2</v>
      </c>
      <c r="BV43">
        <v>4.11570726245599E-2</v>
      </c>
      <c r="BX43">
        <v>2001</v>
      </c>
      <c r="BY43">
        <v>424632</v>
      </c>
      <c r="BZ43">
        <v>3329</v>
      </c>
      <c r="CA43">
        <v>210568</v>
      </c>
      <c r="CB43">
        <v>12364.1</v>
      </c>
      <c r="CC43">
        <v>15103.9</v>
      </c>
      <c r="CD43">
        <v>225264</v>
      </c>
      <c r="CE43">
        <v>33677</v>
      </c>
      <c r="CF43">
        <v>203406</v>
      </c>
      <c r="CG43">
        <v>0</v>
      </c>
      <c r="CH43">
        <v>0</v>
      </c>
      <c r="CI43">
        <v>649896</v>
      </c>
      <c r="CJ43">
        <v>37006</v>
      </c>
      <c r="CK43">
        <v>413974</v>
      </c>
      <c r="CL43">
        <v>12364.1</v>
      </c>
      <c r="CM43">
        <v>15103.9</v>
      </c>
      <c r="CN43">
        <v>1128344</v>
      </c>
      <c r="CO43">
        <v>2001</v>
      </c>
      <c r="CP43">
        <v>699266.1</v>
      </c>
      <c r="CQ43">
        <v>429077.9</v>
      </c>
      <c r="CR43">
        <v>0</v>
      </c>
      <c r="CS43" t="b">
        <v>1</v>
      </c>
      <c r="CT43" t="b">
        <v>1</v>
      </c>
      <c r="CV43">
        <v>2001</v>
      </c>
      <c r="CW43">
        <v>254.3434065934066</v>
      </c>
      <c r="CX43">
        <v>1319.0774848484853</v>
      </c>
      <c r="CY43">
        <v>1573.4208914418919</v>
      </c>
      <c r="CZ43">
        <v>0.16164994883239719</v>
      </c>
      <c r="DA43">
        <v>7.3999999999999996E-2</v>
      </c>
      <c r="DD43">
        <v>2001</v>
      </c>
      <c r="DE43" s="47">
        <v>424632</v>
      </c>
      <c r="DF43" s="47">
        <v>3329</v>
      </c>
      <c r="DG43" s="47">
        <v>210568</v>
      </c>
      <c r="DH43" s="47">
        <v>12364.1</v>
      </c>
      <c r="DI43" s="47">
        <v>15103.9</v>
      </c>
      <c r="DJ43" s="47">
        <v>225264</v>
      </c>
      <c r="DK43" s="47">
        <v>33677</v>
      </c>
      <c r="DL43" s="47">
        <v>203406</v>
      </c>
      <c r="DM43" s="130" t="s">
        <v>728</v>
      </c>
      <c r="DN43" s="130" t="s">
        <v>728</v>
      </c>
      <c r="DO43" s="47">
        <v>649896</v>
      </c>
      <c r="DP43" s="47">
        <v>37006</v>
      </c>
      <c r="DQ43" s="47">
        <v>413974</v>
      </c>
      <c r="DR43" s="47">
        <v>12364.1</v>
      </c>
      <c r="DS43" s="47">
        <v>15103.9</v>
      </c>
      <c r="DT43" s="47">
        <v>1128344</v>
      </c>
      <c r="DV43" s="47">
        <f t="shared" si="30"/>
        <v>638529</v>
      </c>
      <c r="DW43" s="47">
        <f t="shared" si="27"/>
        <v>462347</v>
      </c>
      <c r="DX43" s="47">
        <f t="shared" si="28"/>
        <v>1100876</v>
      </c>
      <c r="DY43" s="242">
        <f t="shared" si="31"/>
        <v>0.41998099695151858</v>
      </c>
      <c r="DZ43" s="276">
        <v>2001</v>
      </c>
      <c r="EA43" s="47">
        <f t="shared" si="29"/>
        <v>27468</v>
      </c>
      <c r="EC43" s="47"/>
      <c r="EF43" s="276">
        <v>2001</v>
      </c>
      <c r="EK43" s="384" t="s">
        <v>707</v>
      </c>
      <c r="EL43" s="705" t="s">
        <v>712</v>
      </c>
      <c r="EM43" s="706"/>
      <c r="EN43" s="706"/>
      <c r="EO43" s="706"/>
      <c r="EP43" s="706"/>
      <c r="EQ43" s="707"/>
      <c r="ER43" s="706" t="s">
        <v>713</v>
      </c>
      <c r="ES43" s="706"/>
      <c r="ET43" s="706"/>
      <c r="EU43" s="706"/>
      <c r="EV43" s="706"/>
      <c r="EW43" s="707"/>
      <c r="EX43" s="705" t="s">
        <v>714</v>
      </c>
      <c r="EY43" s="706"/>
      <c r="EZ43" s="706"/>
      <c r="FA43" s="706"/>
      <c r="FB43" s="706"/>
      <c r="FC43" s="707"/>
      <c r="FD43" s="385"/>
      <c r="FE43" s="385"/>
      <c r="FF43" s="715" t="s">
        <v>701</v>
      </c>
      <c r="FG43" s="715"/>
      <c r="FH43" s="47">
        <f>AVERAGE(FH32:FH41)</f>
        <v>3369.7</v>
      </c>
      <c r="FI43" s="47"/>
      <c r="FJ43" s="47"/>
      <c r="FK43" s="47"/>
      <c r="FL43" s="47">
        <f t="shared" ref="FL43" si="54">AVERAGE(FL32:FL41)</f>
        <v>89319.7</v>
      </c>
      <c r="FN43" s="47">
        <f>AVERAGE(FN32:FN41)</f>
        <v>40.9</v>
      </c>
      <c r="FO43" s="47"/>
      <c r="FP43" s="47"/>
      <c r="FQ43" s="47"/>
      <c r="FR43" s="47">
        <f>AVERAGE(FR32:FR41)</f>
        <v>3316.4</v>
      </c>
      <c r="FT43" s="47"/>
      <c r="FU43" s="47"/>
      <c r="FV43" s="47"/>
      <c r="FX43" s="242">
        <f>AVERAGE(FX32:FX41)</f>
        <v>7.0551221612177653E-3</v>
      </c>
      <c r="FY43" s="242"/>
      <c r="FZ43" s="242"/>
      <c r="GA43" s="242"/>
      <c r="GB43" s="242">
        <f t="shared" ref="GB43" si="55">AVERAGE(GB32:GB41)</f>
        <v>0.17985208605925213</v>
      </c>
      <c r="GD43" s="242">
        <f>AVERAGE(GD32:GD41)</f>
        <v>1.1057431957964263E-3</v>
      </c>
      <c r="GE43" s="242"/>
      <c r="GF43" s="242"/>
      <c r="GG43" s="242"/>
      <c r="GH43" s="242">
        <f t="shared" ref="GH43" si="56">AVERAGE(GH32:GH41)</f>
        <v>8.5384863035382758E-2</v>
      </c>
    </row>
    <row r="44" spans="42:231" ht="15.75" thickBot="1" x14ac:dyDescent="0.3">
      <c r="AP44">
        <v>2002</v>
      </c>
      <c r="AQ44" s="47">
        <v>308.97014999999999</v>
      </c>
      <c r="AR44" s="47">
        <v>226.86985000000001</v>
      </c>
      <c r="AS44" s="47">
        <v>535.84</v>
      </c>
      <c r="AT44" s="596">
        <v>0.15216397234849499</v>
      </c>
      <c r="AU44" s="47">
        <v>297.41300000000001</v>
      </c>
      <c r="AV44" s="47">
        <v>334.596</v>
      </c>
      <c r="AW44" s="47">
        <v>632.00900000000001</v>
      </c>
      <c r="AX44" s="47">
        <v>51.326999999999998</v>
      </c>
      <c r="AY44" s="460">
        <v>0.14236733843405824</v>
      </c>
      <c r="AZ44">
        <v>57.456000000000003</v>
      </c>
      <c r="BB44">
        <v>2002</v>
      </c>
      <c r="BC44">
        <v>12.40715</v>
      </c>
      <c r="BD44">
        <v>23.04185</v>
      </c>
      <c r="BE44">
        <v>35.448999999999998</v>
      </c>
      <c r="BF44">
        <v>4.242</v>
      </c>
      <c r="BG44">
        <v>0.36</v>
      </c>
      <c r="BH44">
        <v>4.6020000000000003</v>
      </c>
      <c r="BI44">
        <v>16.649149999999999</v>
      </c>
      <c r="BJ44">
        <v>23.40185</v>
      </c>
      <c r="BK44">
        <v>40.051000000000002</v>
      </c>
      <c r="BL44">
        <v>14312.15</v>
      </c>
      <c r="BM44">
        <v>23401.85</v>
      </c>
      <c r="BN44">
        <v>37.713999999999999</v>
      </c>
      <c r="BP44">
        <v>2009</v>
      </c>
      <c r="BQ44">
        <v>20.736000000000001</v>
      </c>
      <c r="BR44">
        <v>44.017620000000008</v>
      </c>
      <c r="BS44">
        <v>489.76062000000002</v>
      </c>
      <c r="BT44">
        <v>4.233905126957737E-2</v>
      </c>
      <c r="BU44">
        <v>8.9875784623108343E-2</v>
      </c>
      <c r="BV44">
        <v>0.13221483589268571</v>
      </c>
      <c r="BX44">
        <v>2002</v>
      </c>
      <c r="BY44">
        <v>152504</v>
      </c>
      <c r="BZ44">
        <v>1331</v>
      </c>
      <c r="CA44">
        <v>147734</v>
      </c>
      <c r="CB44">
        <v>14312.15</v>
      </c>
      <c r="CC44">
        <v>23401.85</v>
      </c>
      <c r="CD44">
        <v>72746</v>
      </c>
      <c r="CE44">
        <v>68077</v>
      </c>
      <c r="CF44">
        <v>55734</v>
      </c>
      <c r="CG44">
        <v>0</v>
      </c>
      <c r="CH44">
        <v>0</v>
      </c>
      <c r="CI44">
        <v>225250</v>
      </c>
      <c r="CJ44">
        <v>69408</v>
      </c>
      <c r="CK44">
        <v>203468</v>
      </c>
      <c r="CL44">
        <v>14312.15</v>
      </c>
      <c r="CM44">
        <v>23401.85</v>
      </c>
      <c r="CN44">
        <v>535840</v>
      </c>
      <c r="CO44">
        <v>2002</v>
      </c>
      <c r="CP44">
        <v>308970.15000000002</v>
      </c>
      <c r="CQ44">
        <v>226869.85</v>
      </c>
      <c r="CR44">
        <v>0</v>
      </c>
      <c r="CS44" t="b">
        <v>1</v>
      </c>
      <c r="CT44" t="b">
        <v>1</v>
      </c>
      <c r="CV44">
        <v>2002</v>
      </c>
      <c r="CW44">
        <v>133.57357200694045</v>
      </c>
      <c r="CX44">
        <v>804.65828282828295</v>
      </c>
      <c r="CY44">
        <v>938.23185483522343</v>
      </c>
      <c r="CZ44">
        <v>0.14236733843405824</v>
      </c>
      <c r="DA44">
        <v>0.123</v>
      </c>
      <c r="DD44">
        <v>2002</v>
      </c>
      <c r="DE44" s="47">
        <v>152504</v>
      </c>
      <c r="DF44" s="47">
        <v>1331</v>
      </c>
      <c r="DG44" s="47">
        <v>147734</v>
      </c>
      <c r="DH44" s="47">
        <v>14312.15</v>
      </c>
      <c r="DI44" s="47">
        <v>23401.85</v>
      </c>
      <c r="DJ44" s="47">
        <v>72746</v>
      </c>
      <c r="DK44" s="47">
        <v>68077</v>
      </c>
      <c r="DL44" s="47">
        <v>55734</v>
      </c>
      <c r="DM44" s="130" t="s">
        <v>728</v>
      </c>
      <c r="DN44" s="130" t="s">
        <v>728</v>
      </c>
      <c r="DO44" s="47">
        <v>225250</v>
      </c>
      <c r="DP44" s="47">
        <v>69408</v>
      </c>
      <c r="DQ44" s="47">
        <v>203468</v>
      </c>
      <c r="DR44" s="47">
        <v>14312.15</v>
      </c>
      <c r="DS44" s="47">
        <v>23401.85</v>
      </c>
      <c r="DT44" s="47">
        <v>535840</v>
      </c>
      <c r="DV44" s="47">
        <f t="shared" si="30"/>
        <v>301569</v>
      </c>
      <c r="DW44" s="47">
        <f t="shared" si="27"/>
        <v>196557</v>
      </c>
      <c r="DX44" s="47">
        <f t="shared" si="28"/>
        <v>498126</v>
      </c>
      <c r="DY44" s="242">
        <f t="shared" si="31"/>
        <v>0.39459293431782322</v>
      </c>
      <c r="DZ44" s="276">
        <v>2002</v>
      </c>
      <c r="EA44" s="47">
        <f t="shared" si="29"/>
        <v>37714</v>
      </c>
      <c r="EC44" s="47"/>
      <c r="EF44" s="276">
        <v>2002</v>
      </c>
      <c r="EK44" s="386" t="s">
        <v>387</v>
      </c>
      <c r="EL44" s="382" t="s">
        <v>679</v>
      </c>
      <c r="EM44" s="387" t="s">
        <v>680</v>
      </c>
      <c r="EN44" s="387" t="s">
        <v>681</v>
      </c>
      <c r="EO44" s="387" t="s">
        <v>710</v>
      </c>
      <c r="EP44" s="387" t="s">
        <v>711</v>
      </c>
      <c r="EQ44" s="383" t="s">
        <v>10</v>
      </c>
      <c r="ER44" s="387" t="s">
        <v>679</v>
      </c>
      <c r="ES44" s="387" t="s">
        <v>680</v>
      </c>
      <c r="ET44" s="387" t="s">
        <v>681</v>
      </c>
      <c r="EU44" s="387" t="s">
        <v>710</v>
      </c>
      <c r="EV44" s="387" t="s">
        <v>711</v>
      </c>
      <c r="EW44" s="383" t="s">
        <v>10</v>
      </c>
      <c r="EX44" s="382" t="s">
        <v>679</v>
      </c>
      <c r="EY44" s="387" t="s">
        <v>680</v>
      </c>
      <c r="EZ44" s="387" t="s">
        <v>681</v>
      </c>
      <c r="FA44" s="387" t="s">
        <v>710</v>
      </c>
      <c r="FB44" s="387" t="s">
        <v>711</v>
      </c>
      <c r="FC44" s="383" t="s">
        <v>10</v>
      </c>
      <c r="FD44" s="381" t="s">
        <v>715</v>
      </c>
      <c r="FE44" s="381" t="s">
        <v>716</v>
      </c>
      <c r="FF44" s="381"/>
      <c r="FT44" s="224"/>
      <c r="FU44" s="224"/>
    </row>
    <row r="45" spans="42:231" x14ac:dyDescent="0.25">
      <c r="AP45">
        <v>2003</v>
      </c>
      <c r="AQ45" s="47">
        <v>510.18739999999997</v>
      </c>
      <c r="AR45" s="47">
        <v>203.02659999999997</v>
      </c>
      <c r="AS45" s="47">
        <v>713.21399999999994</v>
      </c>
      <c r="AT45" s="596">
        <v>0.25732172478749427</v>
      </c>
      <c r="AU45" s="47">
        <v>613.20600000000002</v>
      </c>
      <c r="AV45" s="47">
        <v>347.12099999999998</v>
      </c>
      <c r="AW45" s="47">
        <v>960.327</v>
      </c>
      <c r="AX45" s="47">
        <v>42.583000000000006</v>
      </c>
      <c r="AY45" s="460">
        <v>0.22942888099315012</v>
      </c>
      <c r="AZ45">
        <v>49.610999999999997</v>
      </c>
      <c r="BB45">
        <v>2003</v>
      </c>
      <c r="BC45">
        <v>11.8384</v>
      </c>
      <c r="BD45">
        <v>21.985599999999998</v>
      </c>
      <c r="BE45">
        <v>33.823999999999998</v>
      </c>
      <c r="BF45">
        <v>12.32</v>
      </c>
      <c r="BG45">
        <v>0.60399999999999998</v>
      </c>
      <c r="BH45">
        <v>12.923999999999999</v>
      </c>
      <c r="BI45">
        <v>24.1584</v>
      </c>
      <c r="BJ45">
        <v>22.589599999999997</v>
      </c>
      <c r="BK45">
        <v>46.747999999999998</v>
      </c>
      <c r="BL45">
        <v>16250.4</v>
      </c>
      <c r="BM45">
        <v>22589.599999999999</v>
      </c>
      <c r="BN45">
        <v>38.840000000000003</v>
      </c>
      <c r="BP45">
        <v>2010</v>
      </c>
      <c r="BQ45">
        <v>3.0150000000000001</v>
      </c>
      <c r="BR45">
        <v>7.6176000000000004</v>
      </c>
      <c r="BS45">
        <v>244.93580000000003</v>
      </c>
      <c r="BT45">
        <v>1.230934800057811E-2</v>
      </c>
      <c r="BU45">
        <v>3.1100394470714363E-2</v>
      </c>
      <c r="BV45">
        <v>4.3409742471292471E-2</v>
      </c>
      <c r="BX45">
        <v>2003</v>
      </c>
      <c r="BY45">
        <v>240952</v>
      </c>
      <c r="BZ45">
        <v>2101</v>
      </c>
      <c r="CA45">
        <v>95975.999999999985</v>
      </c>
      <c r="CB45">
        <v>16250.4</v>
      </c>
      <c r="CC45">
        <v>22589.599999999999</v>
      </c>
      <c r="CD45">
        <v>137378</v>
      </c>
      <c r="CE45">
        <v>113506</v>
      </c>
      <c r="CF45">
        <v>84461</v>
      </c>
      <c r="CG45">
        <v>0</v>
      </c>
      <c r="CH45">
        <v>0</v>
      </c>
      <c r="CI45">
        <v>378330</v>
      </c>
      <c r="CJ45">
        <v>115607</v>
      </c>
      <c r="CK45">
        <v>180437</v>
      </c>
      <c r="CL45">
        <v>16250.4</v>
      </c>
      <c r="CM45">
        <v>22589.599999999999</v>
      </c>
      <c r="CN45">
        <v>713214</v>
      </c>
      <c r="CO45">
        <v>2003</v>
      </c>
      <c r="CP45">
        <v>510187.4</v>
      </c>
      <c r="CQ45">
        <v>203026.6</v>
      </c>
      <c r="CR45">
        <v>0</v>
      </c>
      <c r="CS45" t="b">
        <v>1</v>
      </c>
      <c r="CT45" t="b">
        <v>1</v>
      </c>
      <c r="CV45">
        <v>2003</v>
      </c>
      <c r="CW45">
        <v>281.23099999999999</v>
      </c>
      <c r="CX45">
        <v>944.55626262626254</v>
      </c>
      <c r="CY45">
        <v>1225.7872626262624</v>
      </c>
      <c r="CZ45">
        <v>0.22942888099315012</v>
      </c>
      <c r="DA45">
        <v>0.14399999999999999</v>
      </c>
      <c r="DD45">
        <v>2003</v>
      </c>
      <c r="DE45" s="47">
        <v>240952</v>
      </c>
      <c r="DF45" s="47">
        <v>2101</v>
      </c>
      <c r="DG45" s="47">
        <v>95975.999999999985</v>
      </c>
      <c r="DH45" s="47">
        <v>16250.4</v>
      </c>
      <c r="DI45" s="47">
        <v>22589.599999999999</v>
      </c>
      <c r="DJ45" s="47">
        <v>137378</v>
      </c>
      <c r="DK45" s="47">
        <v>113506</v>
      </c>
      <c r="DL45" s="47">
        <v>84461</v>
      </c>
      <c r="DM45" s="130" t="s">
        <v>728</v>
      </c>
      <c r="DN45" s="130" t="s">
        <v>728</v>
      </c>
      <c r="DO45" s="47">
        <v>378330</v>
      </c>
      <c r="DP45" s="47">
        <v>115607</v>
      </c>
      <c r="DQ45" s="47">
        <v>180437</v>
      </c>
      <c r="DR45" s="47">
        <v>16250.4</v>
      </c>
      <c r="DS45" s="47">
        <v>22589.599999999999</v>
      </c>
      <c r="DT45" s="47">
        <v>713214</v>
      </c>
      <c r="DV45" s="47">
        <f t="shared" si="30"/>
        <v>339029</v>
      </c>
      <c r="DW45" s="47">
        <f t="shared" si="27"/>
        <v>335345</v>
      </c>
      <c r="DX45" s="47">
        <f t="shared" si="28"/>
        <v>674374</v>
      </c>
      <c r="DY45" s="242">
        <f t="shared" si="31"/>
        <v>0.49726857797008783</v>
      </c>
      <c r="DZ45" s="276">
        <v>2003</v>
      </c>
      <c r="EA45" s="47">
        <f t="shared" si="29"/>
        <v>38840</v>
      </c>
      <c r="EC45" s="47"/>
      <c r="EF45" s="276">
        <v>2003</v>
      </c>
      <c r="EK45">
        <v>1986</v>
      </c>
      <c r="EL45">
        <v>421</v>
      </c>
      <c r="EM45">
        <v>910</v>
      </c>
      <c r="EN45">
        <v>5417</v>
      </c>
      <c r="EO45">
        <v>11538</v>
      </c>
      <c r="EP45">
        <v>10123</v>
      </c>
      <c r="EQ45">
        <v>28409</v>
      </c>
      <c r="ER45">
        <v>5803</v>
      </c>
      <c r="ES45">
        <v>24728</v>
      </c>
      <c r="ET45">
        <v>16900</v>
      </c>
      <c r="EU45">
        <v>76820</v>
      </c>
      <c r="EV45">
        <v>18800</v>
      </c>
      <c r="EW45">
        <v>143051</v>
      </c>
      <c r="EX45">
        <v>247</v>
      </c>
      <c r="EY45">
        <v>530</v>
      </c>
      <c r="EZ45">
        <v>3158</v>
      </c>
      <c r="FA45">
        <v>6701</v>
      </c>
      <c r="FB45">
        <v>5919</v>
      </c>
      <c r="FC45">
        <v>16555</v>
      </c>
      <c r="FD45">
        <v>0.53266238862471726</v>
      </c>
      <c r="FE45">
        <v>0.53098256735340732</v>
      </c>
      <c r="FH45">
        <f t="shared" ref="FH45:FH75" si="57">FB45+FA45+EV45+EU45++EP45+EO45</f>
        <v>129901</v>
      </c>
      <c r="FT45" s="224"/>
      <c r="FU45" s="224"/>
    </row>
    <row r="46" spans="42:231" x14ac:dyDescent="0.25">
      <c r="AP46">
        <v>2004</v>
      </c>
      <c r="AQ46" s="47">
        <v>302.31097999999997</v>
      </c>
      <c r="AR46" s="47">
        <v>161.23302000000001</v>
      </c>
      <c r="AS46" s="47">
        <v>463.54399999999998</v>
      </c>
      <c r="AT46" s="596">
        <v>0.29137965298478941</v>
      </c>
      <c r="AU46" s="47">
        <v>410.72300000000001</v>
      </c>
      <c r="AV46" s="47">
        <v>243.42699999999999</v>
      </c>
      <c r="AW46" s="47">
        <v>654.15</v>
      </c>
      <c r="AX46" s="47">
        <v>35.662999999999997</v>
      </c>
      <c r="AY46" s="460">
        <v>0.21497897218920484</v>
      </c>
      <c r="AZ46">
        <v>39.438000000000002</v>
      </c>
      <c r="BB46">
        <v>2004</v>
      </c>
      <c r="BC46">
        <v>6.7819500000000001</v>
      </c>
      <c r="BD46">
        <v>12.595049999999999</v>
      </c>
      <c r="BE46">
        <v>19.376999999999999</v>
      </c>
      <c r="BF46">
        <v>6.601</v>
      </c>
      <c r="BG46">
        <v>0.63100000000000001</v>
      </c>
      <c r="BH46">
        <v>7.2320000000000002</v>
      </c>
      <c r="BI46">
        <v>13.382950000000001</v>
      </c>
      <c r="BJ46">
        <v>13.226049999999999</v>
      </c>
      <c r="BK46">
        <v>26.609000000000002</v>
      </c>
      <c r="BL46">
        <v>10533.95</v>
      </c>
      <c r="BM46">
        <v>13226.05</v>
      </c>
      <c r="BN46">
        <v>23.76</v>
      </c>
      <c r="BP46">
        <v>2011</v>
      </c>
      <c r="BQ46">
        <v>6.1890000000000001</v>
      </c>
      <c r="BR46">
        <v>7.5301799999999997</v>
      </c>
      <c r="BS46">
        <v>253.11238</v>
      </c>
      <c r="BT46">
        <v>2.4451589448133672E-2</v>
      </c>
      <c r="BU46">
        <v>2.975034251584217E-2</v>
      </c>
      <c r="BV46">
        <v>5.4201931963975845E-2</v>
      </c>
      <c r="BX46">
        <v>2004</v>
      </c>
      <c r="BY46">
        <v>196891</v>
      </c>
      <c r="BZ46">
        <v>1196</v>
      </c>
      <c r="CA46">
        <v>93265</v>
      </c>
      <c r="CB46">
        <v>10533.95</v>
      </c>
      <c r="CC46">
        <v>13226.05</v>
      </c>
      <c r="CD46">
        <v>40668.03</v>
      </c>
      <c r="CE46">
        <v>53022</v>
      </c>
      <c r="CF46">
        <v>54741.97</v>
      </c>
      <c r="CG46">
        <v>0</v>
      </c>
      <c r="CH46">
        <v>0</v>
      </c>
      <c r="CI46">
        <v>237559.03</v>
      </c>
      <c r="CJ46">
        <v>54218</v>
      </c>
      <c r="CK46">
        <v>148006.97</v>
      </c>
      <c r="CL46">
        <v>10533.95</v>
      </c>
      <c r="CM46">
        <v>13226.05</v>
      </c>
      <c r="CN46">
        <v>463544</v>
      </c>
      <c r="CO46">
        <v>2004</v>
      </c>
      <c r="CP46">
        <v>302310.98000000004</v>
      </c>
      <c r="CQ46">
        <v>161233.01999999999</v>
      </c>
      <c r="CR46">
        <v>5.1257270075764111E-2</v>
      </c>
      <c r="CS46" t="b">
        <v>1</v>
      </c>
      <c r="CT46" t="b">
        <v>1</v>
      </c>
      <c r="CV46">
        <v>2004</v>
      </c>
      <c r="CW46">
        <v>185.55699999999996</v>
      </c>
      <c r="CX46">
        <v>677.58323232323232</v>
      </c>
      <c r="CY46">
        <v>863.14023232323234</v>
      </c>
      <c r="CZ46">
        <v>0.21497897218920484</v>
      </c>
      <c r="DA46">
        <v>0.14699999999999999</v>
      </c>
      <c r="DD46">
        <v>2004</v>
      </c>
      <c r="DE46" s="47">
        <v>196891</v>
      </c>
      <c r="DF46" s="47">
        <v>1196</v>
      </c>
      <c r="DG46" s="47">
        <v>93265</v>
      </c>
      <c r="DH46" s="47">
        <v>10533.95</v>
      </c>
      <c r="DI46" s="47">
        <v>13226.05</v>
      </c>
      <c r="DJ46" s="47">
        <v>40668.03</v>
      </c>
      <c r="DK46" s="47">
        <v>53022</v>
      </c>
      <c r="DL46" s="47">
        <v>54741.97</v>
      </c>
      <c r="DM46" s="130" t="s">
        <v>728</v>
      </c>
      <c r="DN46" s="130" t="s">
        <v>728</v>
      </c>
      <c r="DO46" s="47">
        <v>237559.03</v>
      </c>
      <c r="DP46" s="47">
        <v>54218</v>
      </c>
      <c r="DQ46" s="47">
        <v>148006.97</v>
      </c>
      <c r="DR46" s="47">
        <v>10533.95</v>
      </c>
      <c r="DS46" s="47">
        <v>13226.05</v>
      </c>
      <c r="DT46" s="47">
        <v>463544</v>
      </c>
      <c r="DV46" s="47">
        <f t="shared" si="30"/>
        <v>291352</v>
      </c>
      <c r="DW46" s="47">
        <f t="shared" si="27"/>
        <v>148432</v>
      </c>
      <c r="DX46" s="47">
        <f t="shared" si="28"/>
        <v>439784</v>
      </c>
      <c r="DY46" s="242">
        <f t="shared" si="31"/>
        <v>0.33751114183326358</v>
      </c>
      <c r="DZ46" s="276">
        <v>2004</v>
      </c>
      <c r="EA46" s="47">
        <f t="shared" si="29"/>
        <v>23760</v>
      </c>
      <c r="EC46" s="47"/>
      <c r="EF46" s="276">
        <v>2004</v>
      </c>
      <c r="EK46">
        <v>1987</v>
      </c>
      <c r="EL46">
        <v>477</v>
      </c>
      <c r="EM46">
        <v>1099</v>
      </c>
      <c r="EN46">
        <v>6566</v>
      </c>
      <c r="EO46">
        <v>3968</v>
      </c>
      <c r="EP46">
        <v>2696</v>
      </c>
      <c r="EQ46">
        <v>14806</v>
      </c>
      <c r="ER46">
        <v>1251</v>
      </c>
      <c r="ES46">
        <v>7983</v>
      </c>
      <c r="ET46">
        <v>4433</v>
      </c>
      <c r="EU46">
        <v>10275</v>
      </c>
      <c r="EV46">
        <v>5007</v>
      </c>
      <c r="EW46">
        <v>28949</v>
      </c>
      <c r="EX46">
        <v>468</v>
      </c>
      <c r="EY46">
        <v>1074</v>
      </c>
      <c r="EZ46">
        <v>6417</v>
      </c>
      <c r="FA46">
        <v>3910</v>
      </c>
      <c r="FB46">
        <v>2607</v>
      </c>
      <c r="FC46">
        <v>14476</v>
      </c>
      <c r="FD46">
        <v>0.59543817527010801</v>
      </c>
      <c r="FE46">
        <v>0.59996931103268381</v>
      </c>
      <c r="FH46">
        <f t="shared" si="57"/>
        <v>28463</v>
      </c>
      <c r="FT46" s="224"/>
      <c r="FU46" s="224"/>
      <c r="FV46" s="224"/>
    </row>
    <row r="47" spans="42:231" x14ac:dyDescent="0.25">
      <c r="AP47">
        <v>2005</v>
      </c>
      <c r="AQ47" s="47">
        <v>251.6700220963221</v>
      </c>
      <c r="AR47" s="47">
        <v>103.04658389316965</v>
      </c>
      <c r="AS47" s="47">
        <v>354.71660598949177</v>
      </c>
      <c r="AT47" s="596">
        <v>0.15693009053131657</v>
      </c>
      <c r="AU47" s="47">
        <v>294.64600000000002</v>
      </c>
      <c r="AV47" s="47">
        <v>126.098</v>
      </c>
      <c r="AW47" s="47">
        <v>420.74400000000003</v>
      </c>
      <c r="AX47" s="47">
        <v>40.856000000000002</v>
      </c>
      <c r="AY47" s="460">
        <v>0.1205</v>
      </c>
      <c r="AZ47">
        <v>33.271999999999998</v>
      </c>
      <c r="BB47">
        <v>2005</v>
      </c>
      <c r="BC47">
        <v>4.4441620963221231</v>
      </c>
      <c r="BD47">
        <v>8.2534438931696581</v>
      </c>
      <c r="BE47">
        <v>12.69760598949178</v>
      </c>
      <c r="BF47">
        <v>3.9950000000000001</v>
      </c>
      <c r="BG47">
        <v>0.31900000000000001</v>
      </c>
      <c r="BH47">
        <v>4.3140000000000001</v>
      </c>
      <c r="BI47">
        <v>8.4391620963221232</v>
      </c>
      <c r="BJ47">
        <v>8.5724438931696589</v>
      </c>
      <c r="BK47">
        <v>17.011605989491784</v>
      </c>
      <c r="BL47">
        <v>7117.162096322123</v>
      </c>
      <c r="BM47">
        <v>8572.4438931696586</v>
      </c>
      <c r="BN47">
        <v>15.689605989491781</v>
      </c>
      <c r="BP47">
        <v>2012</v>
      </c>
      <c r="BQ47">
        <v>0.82299999999999995</v>
      </c>
      <c r="BR47">
        <v>6.9122000000000003</v>
      </c>
      <c r="BS47">
        <v>102.84585000000001</v>
      </c>
      <c r="BT47">
        <v>8.0022674711716594E-3</v>
      </c>
      <c r="BU47">
        <v>6.7209323468083546E-2</v>
      </c>
      <c r="BV47">
        <v>7.521159093925521E-2</v>
      </c>
      <c r="BX47">
        <v>2005</v>
      </c>
      <c r="BY47">
        <v>152925</v>
      </c>
      <c r="BZ47">
        <v>28</v>
      </c>
      <c r="CA47">
        <v>73938</v>
      </c>
      <c r="CB47">
        <v>7117.162096322123</v>
      </c>
      <c r="CC47">
        <v>8572.4438931696586</v>
      </c>
      <c r="CD47">
        <v>28103.86</v>
      </c>
      <c r="CE47">
        <v>63496</v>
      </c>
      <c r="CF47">
        <v>19536.14</v>
      </c>
      <c r="CG47">
        <v>0</v>
      </c>
      <c r="CH47">
        <v>0</v>
      </c>
      <c r="CI47">
        <v>181028.86</v>
      </c>
      <c r="CJ47">
        <v>63524</v>
      </c>
      <c r="CK47">
        <v>93474.14</v>
      </c>
      <c r="CL47">
        <v>7117.162096322123</v>
      </c>
      <c r="CM47">
        <v>8572.4438931696586</v>
      </c>
      <c r="CN47">
        <v>353716.60598949174</v>
      </c>
      <c r="CO47">
        <v>2005</v>
      </c>
      <c r="CP47">
        <v>251670.02209632212</v>
      </c>
      <c r="CQ47">
        <v>102046.58389316966</v>
      </c>
      <c r="CR47">
        <v>4.435643032817603E-2</v>
      </c>
      <c r="CS47" t="b">
        <v>1</v>
      </c>
      <c r="CT47" t="b">
        <v>0</v>
      </c>
      <c r="CV47">
        <v>2005</v>
      </c>
      <c r="CW47">
        <v>68.710999999999999</v>
      </c>
      <c r="CX47">
        <v>543.368606060606</v>
      </c>
      <c r="CY47">
        <v>612.07960606060601</v>
      </c>
      <c r="CZ47">
        <v>0.1205</v>
      </c>
      <c r="DA47">
        <v>0.111</v>
      </c>
      <c r="DD47">
        <v>2005</v>
      </c>
      <c r="DE47" s="47">
        <v>152925</v>
      </c>
      <c r="DF47" s="47">
        <v>28</v>
      </c>
      <c r="DG47" s="47">
        <v>73938</v>
      </c>
      <c r="DH47" s="47">
        <v>7117.162096322123</v>
      </c>
      <c r="DI47" s="47">
        <v>8572.4438931696586</v>
      </c>
      <c r="DJ47" s="47">
        <v>28103.86</v>
      </c>
      <c r="DK47" s="47">
        <v>63496</v>
      </c>
      <c r="DL47" s="47">
        <v>19536.14</v>
      </c>
      <c r="DM47" s="130" t="s">
        <v>728</v>
      </c>
      <c r="DN47" s="130" t="s">
        <v>728</v>
      </c>
      <c r="DO47" s="47">
        <v>181028.86</v>
      </c>
      <c r="DP47" s="47">
        <v>63524</v>
      </c>
      <c r="DQ47" s="47">
        <v>93474.14</v>
      </c>
      <c r="DR47" s="47">
        <v>7117.162096322123</v>
      </c>
      <c r="DS47" s="47">
        <v>8572.4438931696586</v>
      </c>
      <c r="DT47" s="47">
        <v>353716.60598949174</v>
      </c>
      <c r="DV47" s="47">
        <f t="shared" si="30"/>
        <v>226891</v>
      </c>
      <c r="DW47" s="47">
        <f t="shared" si="27"/>
        <v>111136</v>
      </c>
      <c r="DX47" s="47">
        <f t="shared" si="28"/>
        <v>338027</v>
      </c>
      <c r="DY47" s="242">
        <f t="shared" si="31"/>
        <v>0.32877847035887664</v>
      </c>
      <c r="DZ47" s="276">
        <v>2005</v>
      </c>
      <c r="EA47" s="47">
        <f t="shared" si="29"/>
        <v>15689.605989491782</v>
      </c>
      <c r="EB47" s="242">
        <v>7.0000000000000007E-2</v>
      </c>
      <c r="EC47" s="47">
        <f t="shared" ref="EC47:EC59" si="58">EA47/(1-EB47)</f>
        <v>16870.544074722347</v>
      </c>
      <c r="ED47" s="47">
        <f>EC47-EA47</f>
        <v>1180.9380852305658</v>
      </c>
      <c r="EE47" s="242">
        <f>ED47/EC47</f>
        <v>7.000000000000009E-2</v>
      </c>
      <c r="EF47" s="276">
        <v>2005</v>
      </c>
      <c r="EG47" s="47"/>
      <c r="EH47" s="47"/>
      <c r="EI47" s="47"/>
      <c r="EK47">
        <v>1988</v>
      </c>
      <c r="EL47">
        <v>585</v>
      </c>
      <c r="EM47">
        <v>589</v>
      </c>
      <c r="EN47">
        <v>13506</v>
      </c>
      <c r="EO47">
        <v>5478</v>
      </c>
      <c r="EP47">
        <v>5349</v>
      </c>
      <c r="EQ47">
        <v>25507</v>
      </c>
      <c r="ER47">
        <v>2361</v>
      </c>
      <c r="ES47">
        <v>5186</v>
      </c>
      <c r="ET47">
        <v>25081</v>
      </c>
      <c r="EU47">
        <v>34486</v>
      </c>
      <c r="EV47">
        <v>9934</v>
      </c>
      <c r="EW47">
        <v>77048</v>
      </c>
      <c r="EX47">
        <v>361</v>
      </c>
      <c r="EY47">
        <v>364</v>
      </c>
      <c r="EZ47">
        <v>8349</v>
      </c>
      <c r="FA47">
        <v>3475</v>
      </c>
      <c r="FB47">
        <v>3220</v>
      </c>
      <c r="FC47">
        <v>15769</v>
      </c>
      <c r="FD47">
        <v>0.50595732889997225</v>
      </c>
      <c r="FE47">
        <v>0.5190440627333831</v>
      </c>
      <c r="FH47">
        <f t="shared" si="57"/>
        <v>61942</v>
      </c>
      <c r="FT47" s="47"/>
      <c r="FU47" s="47"/>
      <c r="FX47" s="715"/>
      <c r="FY47" s="716"/>
      <c r="FZ47" s="716"/>
      <c r="GA47" s="716"/>
      <c r="GB47" s="364"/>
      <c r="GC47" s="2"/>
      <c r="GD47" s="715"/>
      <c r="GE47" s="716"/>
      <c r="GF47" s="716"/>
      <c r="GG47" s="716"/>
      <c r="GH47" s="364"/>
    </row>
    <row r="48" spans="42:231" x14ac:dyDescent="0.25">
      <c r="AP48">
        <v>2006</v>
      </c>
      <c r="AQ48" s="47">
        <v>243.76131741099564</v>
      </c>
      <c r="AR48" s="47">
        <v>165.93070376327765</v>
      </c>
      <c r="AS48" s="47">
        <v>409.69202117427329</v>
      </c>
      <c r="AT48" s="596">
        <v>0.15760856271636281</v>
      </c>
      <c r="AU48" s="47">
        <v>278.09800000000001</v>
      </c>
      <c r="AV48" s="47">
        <v>208.24600000000001</v>
      </c>
      <c r="AW48" s="47">
        <v>486.34400000000005</v>
      </c>
      <c r="AX48" s="47">
        <v>27.9682</v>
      </c>
      <c r="AY48" s="460">
        <v>8.7828215519553887E-2</v>
      </c>
      <c r="AZ48">
        <v>37.048999999999999</v>
      </c>
      <c r="BB48">
        <v>2006</v>
      </c>
      <c r="BC48">
        <v>7.1788574109956569</v>
      </c>
      <c r="BD48">
        <v>13.33216376327765</v>
      </c>
      <c r="BE48">
        <v>20.511021174273306</v>
      </c>
      <c r="BF48">
        <v>11.581</v>
      </c>
      <c r="BG48">
        <v>1.2470000000000001</v>
      </c>
      <c r="BH48">
        <v>12.827999999999999</v>
      </c>
      <c r="BI48">
        <v>18.759857410995657</v>
      </c>
      <c r="BJ48">
        <v>14.57916376327765</v>
      </c>
      <c r="BK48">
        <v>33.339021174273306</v>
      </c>
      <c r="BL48">
        <v>12571.857410995657</v>
      </c>
      <c r="BM48">
        <v>14579.163763277651</v>
      </c>
      <c r="BN48">
        <v>27.151021174273307</v>
      </c>
      <c r="BP48">
        <v>2013</v>
      </c>
      <c r="BQ48">
        <v>3.645</v>
      </c>
      <c r="BR48">
        <v>7.2326499999999996</v>
      </c>
      <c r="BS48">
        <v>157.89813253968254</v>
      </c>
      <c r="BT48">
        <v>2.3084503542712569E-2</v>
      </c>
      <c r="BU48">
        <v>4.5805798229958859E-2</v>
      </c>
      <c r="BV48">
        <v>6.8890301772671428E-2</v>
      </c>
      <c r="BX48">
        <v>2006</v>
      </c>
      <c r="BY48">
        <v>171247</v>
      </c>
      <c r="BZ48">
        <v>16</v>
      </c>
      <c r="CA48">
        <v>127727</v>
      </c>
      <c r="CB48">
        <v>12571.857410995657</v>
      </c>
      <c r="CC48">
        <v>14579.163763277651</v>
      </c>
      <c r="CD48">
        <v>23763.46</v>
      </c>
      <c r="CE48">
        <v>36163</v>
      </c>
      <c r="CF48">
        <v>23624.54</v>
      </c>
      <c r="CG48">
        <v>0</v>
      </c>
      <c r="CH48">
        <v>0</v>
      </c>
      <c r="CI48">
        <v>195010.46</v>
      </c>
      <c r="CJ48">
        <v>36179</v>
      </c>
      <c r="CK48">
        <v>151351.54</v>
      </c>
      <c r="CL48">
        <v>12571.857410995657</v>
      </c>
      <c r="CM48">
        <v>14579.163763277651</v>
      </c>
      <c r="CN48">
        <v>409692.02117427328</v>
      </c>
      <c r="CO48">
        <v>2006</v>
      </c>
      <c r="CP48">
        <v>243761.31741099566</v>
      </c>
      <c r="CQ48">
        <v>165930.70376327765</v>
      </c>
      <c r="CR48">
        <v>6.6271784098826531E-2</v>
      </c>
      <c r="CS48" t="b">
        <v>1</v>
      </c>
      <c r="CT48" t="b">
        <v>1</v>
      </c>
      <c r="CV48">
        <v>2006</v>
      </c>
      <c r="CW48">
        <v>52.004000000000005</v>
      </c>
      <c r="CX48">
        <v>540.10640202020204</v>
      </c>
      <c r="CY48">
        <v>592.11040202020206</v>
      </c>
      <c r="CZ48">
        <v>8.7828215519553887E-2</v>
      </c>
      <c r="DA48">
        <v>5.8999999999999997E-2</v>
      </c>
      <c r="DD48">
        <v>2006</v>
      </c>
      <c r="DE48" s="47">
        <v>171247</v>
      </c>
      <c r="DF48" s="47">
        <v>16</v>
      </c>
      <c r="DG48" s="47">
        <v>127727</v>
      </c>
      <c r="DH48" s="47">
        <v>12571.857410995657</v>
      </c>
      <c r="DI48" s="47">
        <v>14579.163763277651</v>
      </c>
      <c r="DJ48" s="47">
        <v>23763.46</v>
      </c>
      <c r="DK48" s="47">
        <v>36163</v>
      </c>
      <c r="DL48" s="47">
        <v>23624.54</v>
      </c>
      <c r="DM48" s="130" t="s">
        <v>728</v>
      </c>
      <c r="DN48" s="130" t="s">
        <v>728</v>
      </c>
      <c r="DO48" s="47">
        <v>195010.46</v>
      </c>
      <c r="DP48" s="47">
        <v>36179</v>
      </c>
      <c r="DQ48" s="47">
        <v>151351.54</v>
      </c>
      <c r="DR48" s="47">
        <v>12571.857410995657</v>
      </c>
      <c r="DS48" s="47">
        <v>14579.163763277651</v>
      </c>
      <c r="DT48" s="47">
        <v>409692.02117427328</v>
      </c>
      <c r="DV48" s="47">
        <f t="shared" si="30"/>
        <v>298990</v>
      </c>
      <c r="DW48" s="47">
        <f t="shared" si="27"/>
        <v>83551</v>
      </c>
      <c r="DX48" s="47">
        <f t="shared" si="28"/>
        <v>382541</v>
      </c>
      <c r="DY48" s="242">
        <f t="shared" si="31"/>
        <v>0.21841057559843258</v>
      </c>
      <c r="DZ48" s="276">
        <v>2006</v>
      </c>
      <c r="EA48" s="47">
        <f t="shared" si="29"/>
        <v>27151.021174273308</v>
      </c>
      <c r="EB48" s="242">
        <v>7.0000000000000007E-2</v>
      </c>
      <c r="EC48" s="47">
        <f t="shared" si="58"/>
        <v>29194.646423949795</v>
      </c>
      <c r="ED48" s="47">
        <f t="shared" ref="ED48:ED59" si="59">EC48-EA48</f>
        <v>2043.6252496764864</v>
      </c>
      <c r="EE48" s="242">
        <f t="shared" ref="EE48:EE59" si="60">ED48/EC48</f>
        <v>7.0000000000000021E-2</v>
      </c>
      <c r="EF48" s="276">
        <v>2006</v>
      </c>
      <c r="EG48" s="47"/>
      <c r="EH48" s="47"/>
      <c r="EI48" s="47"/>
      <c r="EK48">
        <v>1989</v>
      </c>
      <c r="EL48">
        <v>1688</v>
      </c>
      <c r="EM48">
        <v>4462</v>
      </c>
      <c r="EN48">
        <v>15363</v>
      </c>
      <c r="EO48">
        <v>6995</v>
      </c>
      <c r="EP48">
        <v>6874</v>
      </c>
      <c r="EQ48">
        <v>35382</v>
      </c>
      <c r="ER48">
        <v>7349</v>
      </c>
      <c r="ES48">
        <v>21199</v>
      </c>
      <c r="ET48">
        <v>24522</v>
      </c>
      <c r="EU48">
        <v>30510</v>
      </c>
      <c r="EV48">
        <v>12767</v>
      </c>
      <c r="EW48">
        <v>96347</v>
      </c>
      <c r="EX48">
        <v>1147</v>
      </c>
      <c r="EY48">
        <v>3037</v>
      </c>
      <c r="EZ48">
        <v>10447</v>
      </c>
      <c r="FA48">
        <v>4840</v>
      </c>
      <c r="FB48">
        <v>4595</v>
      </c>
      <c r="FC48">
        <v>24066</v>
      </c>
      <c r="FD48">
        <v>0.50436224673732788</v>
      </c>
      <c r="FE48">
        <v>0.51298357180710119</v>
      </c>
      <c r="FH48">
        <f t="shared" si="57"/>
        <v>66581</v>
      </c>
      <c r="FT48" s="47"/>
      <c r="FU48" s="47"/>
      <c r="FX48" s="364"/>
      <c r="FY48" s="364"/>
      <c r="FZ48" s="364"/>
      <c r="GA48" s="364"/>
      <c r="GB48" s="364"/>
      <c r="GC48" s="224"/>
      <c r="GD48" s="364"/>
      <c r="GE48" s="364"/>
      <c r="GF48" s="364"/>
      <c r="GG48" s="364"/>
      <c r="GH48" s="364"/>
    </row>
    <row r="49" spans="42:190" x14ac:dyDescent="0.25">
      <c r="AP49">
        <v>2007</v>
      </c>
      <c r="AQ49" s="47">
        <v>220.64366635688324</v>
      </c>
      <c r="AR49" s="47">
        <v>128.37860894849746</v>
      </c>
      <c r="AS49" s="47">
        <v>349.02227530538073</v>
      </c>
      <c r="AT49" s="596">
        <v>0.34356428370247349</v>
      </c>
      <c r="AU49" s="47">
        <v>327.09399999999999</v>
      </c>
      <c r="AV49" s="47">
        <v>204.59899999999999</v>
      </c>
      <c r="AW49" s="47">
        <v>531.69299999999998</v>
      </c>
      <c r="AX49" s="47">
        <v>9.9634999999999998</v>
      </c>
      <c r="AY49" s="460">
        <v>0.27963498866291214</v>
      </c>
      <c r="AZ49">
        <v>13.609</v>
      </c>
      <c r="BB49">
        <v>2007</v>
      </c>
      <c r="BC49">
        <v>4.9056963568832543</v>
      </c>
      <c r="BD49">
        <v>9.1105789484974729</v>
      </c>
      <c r="BE49">
        <v>14.016275305380727</v>
      </c>
      <c r="BF49">
        <v>11.037000000000001</v>
      </c>
      <c r="BG49">
        <v>0.84399999999999997</v>
      </c>
      <c r="BH49">
        <v>11.881</v>
      </c>
      <c r="BI49">
        <v>15.942696356883255</v>
      </c>
      <c r="BJ49">
        <v>9.9545789484974723</v>
      </c>
      <c r="BK49">
        <v>25.897275305380727</v>
      </c>
      <c r="BL49">
        <v>9264.6963568832543</v>
      </c>
      <c r="BM49">
        <v>9954.5789484974721</v>
      </c>
      <c r="BN49">
        <v>19.219275305380723</v>
      </c>
      <c r="BP49">
        <v>2014</v>
      </c>
      <c r="BQ49">
        <v>18.206499999999998</v>
      </c>
      <c r="BR49">
        <v>52.72128</v>
      </c>
      <c r="BS49">
        <v>623.36613</v>
      </c>
      <c r="BT49">
        <v>2.9206752057574892E-2</v>
      </c>
      <c r="BU49">
        <v>8.4575143663965194E-2</v>
      </c>
      <c r="BV49">
        <v>0.11378189572154009</v>
      </c>
      <c r="BX49">
        <v>2007</v>
      </c>
      <c r="BY49">
        <v>168392</v>
      </c>
      <c r="BZ49">
        <v>52.000000000000007</v>
      </c>
      <c r="CA49">
        <v>88505</v>
      </c>
      <c r="CB49">
        <v>9264.6963568832543</v>
      </c>
      <c r="CC49">
        <v>9954.5789484974721</v>
      </c>
      <c r="CD49">
        <v>32839.97</v>
      </c>
      <c r="CE49">
        <v>10095</v>
      </c>
      <c r="CF49">
        <v>29919.03</v>
      </c>
      <c r="CG49">
        <v>0</v>
      </c>
      <c r="CH49">
        <v>0</v>
      </c>
      <c r="CI49">
        <v>201231.97</v>
      </c>
      <c r="CJ49">
        <v>10147</v>
      </c>
      <c r="CK49">
        <v>118424.03</v>
      </c>
      <c r="CL49">
        <v>9264.6963568832543</v>
      </c>
      <c r="CM49">
        <v>9954.5789484974721</v>
      </c>
      <c r="CN49">
        <v>349022.27530538075</v>
      </c>
      <c r="CO49">
        <v>2007</v>
      </c>
      <c r="CP49">
        <v>220643.66635688324</v>
      </c>
      <c r="CQ49">
        <v>128378.60894849747</v>
      </c>
      <c r="CR49">
        <v>5.5066042098787578E-2</v>
      </c>
      <c r="CS49" t="b">
        <v>1</v>
      </c>
      <c r="CT49" t="b">
        <v>1</v>
      </c>
      <c r="CV49">
        <v>2007</v>
      </c>
      <c r="CW49">
        <v>155.18899999999999</v>
      </c>
      <c r="CX49">
        <v>399.78089393939399</v>
      </c>
      <c r="CY49">
        <v>554.96989393939396</v>
      </c>
      <c r="CZ49">
        <v>0.27963498866291214</v>
      </c>
      <c r="DA49">
        <v>0.106</v>
      </c>
      <c r="DD49">
        <v>2007</v>
      </c>
      <c r="DE49" s="47">
        <v>168392</v>
      </c>
      <c r="DF49" s="47">
        <v>52.000000000000007</v>
      </c>
      <c r="DG49" s="47">
        <v>88505</v>
      </c>
      <c r="DH49" s="47">
        <v>9264.6963568832543</v>
      </c>
      <c r="DI49" s="47">
        <v>9954.5789484974721</v>
      </c>
      <c r="DJ49" s="47">
        <v>32839.97</v>
      </c>
      <c r="DK49" s="47">
        <v>10095</v>
      </c>
      <c r="DL49" s="47">
        <v>29919.03</v>
      </c>
      <c r="DM49" s="130" t="s">
        <v>728</v>
      </c>
      <c r="DN49" s="130" t="s">
        <v>728</v>
      </c>
      <c r="DO49" s="47">
        <v>201231.97</v>
      </c>
      <c r="DP49" s="47">
        <v>10147</v>
      </c>
      <c r="DQ49" s="47">
        <v>118424.03</v>
      </c>
      <c r="DR49" s="47">
        <v>9264.6963568832543</v>
      </c>
      <c r="DS49" s="47">
        <v>9954.5789484974721</v>
      </c>
      <c r="DT49" s="47">
        <v>349022.27530538075</v>
      </c>
      <c r="DV49" s="47">
        <f t="shared" si="30"/>
        <v>256949</v>
      </c>
      <c r="DW49" s="47">
        <f t="shared" si="27"/>
        <v>72854</v>
      </c>
      <c r="DX49" s="47">
        <f t="shared" si="28"/>
        <v>329803</v>
      </c>
      <c r="DY49" s="242">
        <f t="shared" si="31"/>
        <v>0.22090156851211176</v>
      </c>
      <c r="DZ49" s="276">
        <v>2007</v>
      </c>
      <c r="EA49" s="47">
        <f t="shared" si="29"/>
        <v>19219.275305380725</v>
      </c>
      <c r="EB49" s="242">
        <v>7.0000000000000007E-2</v>
      </c>
      <c r="EC49" s="47">
        <f t="shared" si="58"/>
        <v>20665.887425140565</v>
      </c>
      <c r="ED49" s="47">
        <f t="shared" si="59"/>
        <v>1446.6121197598404</v>
      </c>
      <c r="EE49" s="242">
        <f t="shared" si="60"/>
        <v>7.0000000000000048E-2</v>
      </c>
      <c r="EF49" s="276">
        <v>2007</v>
      </c>
      <c r="EG49" s="47"/>
      <c r="EH49" s="47"/>
      <c r="EI49" s="47"/>
      <c r="EK49">
        <v>1990</v>
      </c>
      <c r="EL49">
        <v>783</v>
      </c>
      <c r="EM49">
        <v>5823</v>
      </c>
      <c r="EN49">
        <v>6705</v>
      </c>
      <c r="EO49">
        <v>1350</v>
      </c>
      <c r="EP49">
        <v>3784</v>
      </c>
      <c r="EQ49">
        <v>18445</v>
      </c>
      <c r="ER49">
        <v>1439</v>
      </c>
      <c r="ES49">
        <v>8282</v>
      </c>
      <c r="ET49">
        <v>2783</v>
      </c>
      <c r="EU49">
        <v>4478</v>
      </c>
      <c r="EV49">
        <v>7028</v>
      </c>
      <c r="EW49">
        <v>24010</v>
      </c>
      <c r="EX49">
        <v>234</v>
      </c>
      <c r="EY49">
        <v>1736</v>
      </c>
      <c r="EZ49">
        <v>1996</v>
      </c>
      <c r="FA49">
        <v>446</v>
      </c>
      <c r="FB49">
        <v>1085</v>
      </c>
      <c r="FC49">
        <v>5497</v>
      </c>
      <c r="FD49">
        <v>0.26295286326451112</v>
      </c>
      <c r="FE49">
        <v>0.29131286740692358</v>
      </c>
      <c r="FH49">
        <f t="shared" si="57"/>
        <v>18171</v>
      </c>
      <c r="FT49" s="47"/>
      <c r="FU49" s="47"/>
      <c r="FX49" s="242"/>
      <c r="FY49" s="242"/>
      <c r="FZ49" s="242"/>
      <c r="GA49" s="242"/>
      <c r="GB49" s="242"/>
      <c r="GC49" s="242"/>
      <c r="GD49" s="242"/>
      <c r="GE49" s="242"/>
      <c r="GF49" s="242"/>
      <c r="GG49" s="242"/>
      <c r="GH49" s="242"/>
    </row>
    <row r="50" spans="42:190" x14ac:dyDescent="0.25">
      <c r="AP50">
        <v>2008</v>
      </c>
      <c r="AQ50" s="47">
        <v>319.84806402738576</v>
      </c>
      <c r="AR50" s="47">
        <v>200.91580462228788</v>
      </c>
      <c r="AS50" s="47">
        <v>520.76386864967367</v>
      </c>
      <c r="AT50" s="596">
        <v>8.2794028853705792E-2</v>
      </c>
      <c r="AU50" s="47">
        <v>347.827</v>
      </c>
      <c r="AV50" s="47">
        <v>219.94499999999999</v>
      </c>
      <c r="AW50" s="47">
        <v>567.77199999999993</v>
      </c>
      <c r="AX50" s="47">
        <v>13.650700000000001</v>
      </c>
      <c r="AY50" s="460">
        <v>3.8818092655785341E-2</v>
      </c>
      <c r="AZ50">
        <v>9.1129999999999995</v>
      </c>
      <c r="BB50">
        <v>2008</v>
      </c>
      <c r="BC50">
        <v>8.4860540273857765</v>
      </c>
      <c r="BD50">
        <v>15.759814622287875</v>
      </c>
      <c r="BE50">
        <v>24.245868649673653</v>
      </c>
      <c r="BF50">
        <v>8.0039999999999996</v>
      </c>
      <c r="BG50">
        <v>0.108</v>
      </c>
      <c r="BH50">
        <v>8.1120000000000001</v>
      </c>
      <c r="BI50">
        <v>16.490054027385774</v>
      </c>
      <c r="BJ50">
        <v>15.867814622287876</v>
      </c>
      <c r="BK50">
        <v>32.357868649673648</v>
      </c>
      <c r="BL50">
        <v>12442.054027385777</v>
      </c>
      <c r="BM50">
        <v>15867.814622287875</v>
      </c>
      <c r="BN50">
        <v>28.309868649673653</v>
      </c>
      <c r="BP50">
        <v>2015</v>
      </c>
      <c r="BQ50">
        <v>1.2384999999999999</v>
      </c>
      <c r="BR50">
        <v>32.642400000000002</v>
      </c>
      <c r="BS50">
        <v>117.80409999999999</v>
      </c>
      <c r="BT50">
        <v>1.0513216433044351E-2</v>
      </c>
      <c r="BU50">
        <v>0.27709052571175369</v>
      </c>
      <c r="BV50">
        <v>0.28760374214479806</v>
      </c>
      <c r="BX50">
        <v>2008</v>
      </c>
      <c r="BY50">
        <v>220279</v>
      </c>
      <c r="BZ50">
        <v>92</v>
      </c>
      <c r="CA50">
        <v>160094</v>
      </c>
      <c r="CB50">
        <v>12442.054027385777</v>
      </c>
      <c r="CC50">
        <v>15867.814622287875</v>
      </c>
      <c r="CD50">
        <v>39755.01</v>
      </c>
      <c r="CE50">
        <v>47280</v>
      </c>
      <c r="CF50">
        <v>24953.989999999998</v>
      </c>
      <c r="CG50">
        <v>0</v>
      </c>
      <c r="CH50">
        <v>0</v>
      </c>
      <c r="CI50">
        <v>260034.01</v>
      </c>
      <c r="CJ50">
        <v>47372</v>
      </c>
      <c r="CK50">
        <v>185047.99</v>
      </c>
      <c r="CL50">
        <v>12442.054027385777</v>
      </c>
      <c r="CM50">
        <v>15867.814622287875</v>
      </c>
      <c r="CN50">
        <v>520763.86864967365</v>
      </c>
      <c r="CO50">
        <v>2008</v>
      </c>
      <c r="CP50">
        <v>319848.06402738579</v>
      </c>
      <c r="CQ50">
        <v>200915.80462228786</v>
      </c>
      <c r="CR50">
        <v>5.4362198212945072E-2</v>
      </c>
      <c r="CS50" t="b">
        <v>1</v>
      </c>
      <c r="CT50" t="b">
        <v>1</v>
      </c>
      <c r="CV50">
        <v>2008</v>
      </c>
      <c r="CW50">
        <v>27.001000000000001</v>
      </c>
      <c r="CX50">
        <v>668.57671010101001</v>
      </c>
      <c r="CY50">
        <v>695.57771010100998</v>
      </c>
      <c r="CZ50">
        <v>3.8818092655785341E-2</v>
      </c>
      <c r="DA50">
        <v>3.8818092655785341E-2</v>
      </c>
      <c r="DD50">
        <v>2008</v>
      </c>
      <c r="DE50" s="47">
        <v>220279</v>
      </c>
      <c r="DF50" s="47">
        <v>92</v>
      </c>
      <c r="DG50" s="47">
        <v>160094</v>
      </c>
      <c r="DH50" s="47">
        <v>12442.054027385777</v>
      </c>
      <c r="DI50" s="47">
        <v>15867.814622287875</v>
      </c>
      <c r="DJ50" s="47">
        <v>39755.01</v>
      </c>
      <c r="DK50" s="47">
        <v>47280</v>
      </c>
      <c r="DL50" s="47">
        <v>24953.989999999998</v>
      </c>
      <c r="DM50" s="130" t="s">
        <v>728</v>
      </c>
      <c r="DN50" s="130" t="s">
        <v>728</v>
      </c>
      <c r="DO50" s="47">
        <v>260034.01</v>
      </c>
      <c r="DP50" s="47">
        <v>47372</v>
      </c>
      <c r="DQ50" s="47">
        <v>185047.99</v>
      </c>
      <c r="DR50" s="47">
        <v>12442.054027385777</v>
      </c>
      <c r="DS50" s="47">
        <v>15867.814622287875</v>
      </c>
      <c r="DT50" s="47">
        <v>520763.86864967365</v>
      </c>
      <c r="DV50" s="47">
        <f t="shared" si="30"/>
        <v>380465</v>
      </c>
      <c r="DW50" s="47">
        <f t="shared" si="27"/>
        <v>111989</v>
      </c>
      <c r="DX50" s="47">
        <f t="shared" si="28"/>
        <v>492454</v>
      </c>
      <c r="DY50" s="242">
        <f t="shared" si="31"/>
        <v>0.22741007281898412</v>
      </c>
      <c r="DZ50" s="276">
        <v>2008</v>
      </c>
      <c r="EA50" s="47">
        <f t="shared" si="29"/>
        <v>28309.868649673652</v>
      </c>
      <c r="EB50" s="242">
        <v>0.04</v>
      </c>
      <c r="EC50" s="47">
        <f t="shared" si="58"/>
        <v>29489.446510076723</v>
      </c>
      <c r="ED50" s="47">
        <f t="shared" si="59"/>
        <v>1179.5778604030711</v>
      </c>
      <c r="EE50" s="242">
        <f t="shared" si="60"/>
        <v>4.0000000000000077E-2</v>
      </c>
      <c r="EF50" s="276">
        <v>2008</v>
      </c>
      <c r="EG50" s="47"/>
      <c r="EH50" s="47"/>
      <c r="EI50" s="47"/>
      <c r="EK50">
        <v>1991</v>
      </c>
      <c r="EL50">
        <v>320</v>
      </c>
      <c r="EM50">
        <v>1928</v>
      </c>
      <c r="EN50">
        <v>6799</v>
      </c>
      <c r="EO50">
        <v>6849</v>
      </c>
      <c r="EP50">
        <v>9225</v>
      </c>
      <c r="EQ50">
        <v>25121</v>
      </c>
      <c r="ER50">
        <v>3448</v>
      </c>
      <c r="ES50">
        <v>17922</v>
      </c>
      <c r="ET50">
        <v>21014</v>
      </c>
      <c r="EU50">
        <v>36129</v>
      </c>
      <c r="EV50">
        <v>17132</v>
      </c>
      <c r="EW50">
        <v>95645</v>
      </c>
      <c r="EX50">
        <v>161</v>
      </c>
      <c r="EY50">
        <v>965</v>
      </c>
      <c r="EZ50">
        <v>3399</v>
      </c>
      <c r="FA50">
        <v>3425</v>
      </c>
      <c r="FB50">
        <v>4614</v>
      </c>
      <c r="FC50">
        <v>12564</v>
      </c>
      <c r="FD50">
        <v>0.42609182530795076</v>
      </c>
      <c r="FE50">
        <v>0.4260480159223784</v>
      </c>
      <c r="FH50">
        <f t="shared" si="57"/>
        <v>77374</v>
      </c>
      <c r="FT50" s="47"/>
      <c r="FU50" s="47"/>
      <c r="FX50" s="242"/>
      <c r="FY50" s="242"/>
      <c r="FZ50" s="242"/>
      <c r="GA50" s="242"/>
      <c r="GB50" s="242"/>
      <c r="GC50" s="242"/>
      <c r="GD50" s="242"/>
      <c r="GE50" s="242"/>
      <c r="GF50" s="242"/>
      <c r="GG50" s="242"/>
      <c r="GH50" s="242"/>
    </row>
    <row r="51" spans="42:190" x14ac:dyDescent="0.25">
      <c r="AP51">
        <v>2009</v>
      </c>
      <c r="AQ51" s="47">
        <v>489.76062000000002</v>
      </c>
      <c r="AR51" s="47">
        <v>270.40037999999998</v>
      </c>
      <c r="AS51" s="47">
        <v>760.16100000000006</v>
      </c>
      <c r="AT51" s="596">
        <v>0.27010553382872426</v>
      </c>
      <c r="AU51" s="47">
        <v>645.51300000000003</v>
      </c>
      <c r="AV51" s="47">
        <v>395.95400000000001</v>
      </c>
      <c r="AW51" s="47">
        <v>1041.4670000000001</v>
      </c>
      <c r="AX51" s="47">
        <v>9.8249999999999993</v>
      </c>
      <c r="AY51" s="460">
        <v>0.18693812226248979</v>
      </c>
      <c r="AZ51">
        <v>9.5109999999999992</v>
      </c>
      <c r="BB51">
        <v>2009</v>
      </c>
      <c r="BC51">
        <v>9.2989999999999995</v>
      </c>
      <c r="BD51">
        <v>17.268999999999998</v>
      </c>
      <c r="BE51">
        <v>26.567999999999998</v>
      </c>
      <c r="BF51">
        <v>34.171999999999997</v>
      </c>
      <c r="BG51">
        <v>1.214</v>
      </c>
      <c r="BH51">
        <v>35.385999999999996</v>
      </c>
      <c r="BI51">
        <v>43.470999999999997</v>
      </c>
      <c r="BJ51">
        <v>18.482999999999997</v>
      </c>
      <c r="BK51">
        <v>61.953999999999994</v>
      </c>
      <c r="BL51">
        <v>18173</v>
      </c>
      <c r="BM51">
        <v>18483</v>
      </c>
      <c r="BN51">
        <v>36.655999999999999</v>
      </c>
      <c r="BP51">
        <v>2016</v>
      </c>
      <c r="BQ51">
        <v>0.88900000000000001</v>
      </c>
      <c r="BR51">
        <v>8.6413399999999996</v>
      </c>
      <c r="BS51">
        <v>119.62853999999997</v>
      </c>
      <c r="BT51">
        <v>7.4313370371317765E-3</v>
      </c>
      <c r="BU51">
        <v>7.2234769395329926E-2</v>
      </c>
      <c r="BV51">
        <v>7.9666106432461692E-2</v>
      </c>
      <c r="BX51">
        <v>2009</v>
      </c>
      <c r="BY51">
        <v>303934</v>
      </c>
      <c r="BZ51">
        <v>1607.0000000000002</v>
      </c>
      <c r="CA51">
        <v>205075</v>
      </c>
      <c r="CB51">
        <v>18173</v>
      </c>
      <c r="CC51">
        <v>18483</v>
      </c>
      <c r="CD51">
        <v>85634.62</v>
      </c>
      <c r="CE51">
        <v>80412</v>
      </c>
      <c r="CF51">
        <v>46842.380000000005</v>
      </c>
      <c r="CG51">
        <v>0</v>
      </c>
      <c r="CH51">
        <v>0</v>
      </c>
      <c r="CI51">
        <v>389568.62</v>
      </c>
      <c r="CJ51">
        <v>82019</v>
      </c>
      <c r="CK51">
        <v>251917.38</v>
      </c>
      <c r="CL51">
        <v>18173</v>
      </c>
      <c r="CM51">
        <v>18483</v>
      </c>
      <c r="CN51">
        <v>760161</v>
      </c>
      <c r="CO51">
        <v>2009</v>
      </c>
      <c r="CP51">
        <v>489760.62</v>
      </c>
      <c r="CQ51">
        <v>270400.38</v>
      </c>
      <c r="CR51">
        <v>4.8221363632177917E-2</v>
      </c>
      <c r="CS51" t="b">
        <v>1</v>
      </c>
      <c r="CT51" t="b">
        <v>1</v>
      </c>
      <c r="CV51">
        <v>2009</v>
      </c>
      <c r="CW51">
        <v>228.82999999999996</v>
      </c>
      <c r="CX51">
        <v>995.26488888888889</v>
      </c>
      <c r="CY51">
        <v>1224.0948888888888</v>
      </c>
      <c r="CZ51">
        <v>0.18693812226248979</v>
      </c>
      <c r="DA51">
        <v>0.129</v>
      </c>
      <c r="DD51">
        <v>2009</v>
      </c>
      <c r="DE51" s="47">
        <v>303934</v>
      </c>
      <c r="DF51" s="47">
        <v>1607.0000000000002</v>
      </c>
      <c r="DG51" s="47">
        <v>205075</v>
      </c>
      <c r="DH51" s="47">
        <v>18173</v>
      </c>
      <c r="DI51" s="47">
        <v>18483</v>
      </c>
      <c r="DJ51" s="47">
        <v>85634.62</v>
      </c>
      <c r="DK51" s="47">
        <v>80412</v>
      </c>
      <c r="DL51" s="47">
        <v>46842.380000000005</v>
      </c>
      <c r="DM51" s="130" t="s">
        <v>728</v>
      </c>
      <c r="DN51" s="130" t="s">
        <v>728</v>
      </c>
      <c r="DO51" s="47">
        <v>389568.62</v>
      </c>
      <c r="DP51" s="47">
        <v>82019</v>
      </c>
      <c r="DQ51" s="47">
        <v>251917.38</v>
      </c>
      <c r="DR51" s="47">
        <v>18173</v>
      </c>
      <c r="DS51" s="47">
        <v>18483</v>
      </c>
      <c r="DT51" s="47">
        <v>760161</v>
      </c>
      <c r="DV51" s="47">
        <f t="shared" si="30"/>
        <v>510616</v>
      </c>
      <c r="DW51" s="47">
        <f t="shared" si="27"/>
        <v>212889</v>
      </c>
      <c r="DX51" s="47">
        <f t="shared" si="28"/>
        <v>723505</v>
      </c>
      <c r="DY51" s="242">
        <f t="shared" si="31"/>
        <v>0.29424675710603243</v>
      </c>
      <c r="DZ51" s="276">
        <v>2009</v>
      </c>
      <c r="EA51" s="47">
        <f t="shared" si="29"/>
        <v>36656</v>
      </c>
      <c r="EB51" s="242">
        <v>0.11</v>
      </c>
      <c r="EC51" s="47">
        <f t="shared" si="58"/>
        <v>41186.516853932582</v>
      </c>
      <c r="ED51" s="47">
        <f t="shared" si="59"/>
        <v>4530.5168539325823</v>
      </c>
      <c r="EE51" s="242">
        <f t="shared" si="60"/>
        <v>0.10999999999999996</v>
      </c>
      <c r="EF51" s="276">
        <v>2009</v>
      </c>
      <c r="EG51" s="47"/>
      <c r="EH51" s="47"/>
      <c r="EI51" s="47"/>
      <c r="EK51">
        <v>1992</v>
      </c>
      <c r="EL51">
        <v>59</v>
      </c>
      <c r="EM51">
        <v>538</v>
      </c>
      <c r="EN51">
        <v>1902</v>
      </c>
      <c r="EO51">
        <v>803</v>
      </c>
      <c r="EP51">
        <v>3279</v>
      </c>
      <c r="EQ51">
        <v>6581</v>
      </c>
      <c r="ER51">
        <v>1269</v>
      </c>
      <c r="ES51">
        <v>6724</v>
      </c>
      <c r="ET51">
        <v>4455</v>
      </c>
      <c r="EU51">
        <v>5609</v>
      </c>
      <c r="EV51">
        <v>6089</v>
      </c>
      <c r="EW51">
        <v>24146</v>
      </c>
      <c r="EX51">
        <v>77</v>
      </c>
      <c r="EY51">
        <v>697</v>
      </c>
      <c r="EZ51">
        <v>2474</v>
      </c>
      <c r="FA51">
        <v>1045</v>
      </c>
      <c r="FB51">
        <v>4266</v>
      </c>
      <c r="FC51">
        <v>8559</v>
      </c>
      <c r="FD51">
        <v>0.1967172954434101</v>
      </c>
      <c r="FE51">
        <v>0.1967614385238185</v>
      </c>
      <c r="FH51">
        <f t="shared" si="57"/>
        <v>21091</v>
      </c>
      <c r="FT51" s="47"/>
      <c r="FU51" s="47"/>
      <c r="FX51" s="242"/>
      <c r="FY51" s="242"/>
      <c r="FZ51" s="242"/>
      <c r="GA51" s="242"/>
      <c r="GB51" s="242"/>
      <c r="GC51" s="242"/>
      <c r="GD51" s="242"/>
      <c r="GE51" s="242"/>
      <c r="GF51" s="242"/>
      <c r="GG51" s="242"/>
      <c r="GH51" s="242"/>
    </row>
    <row r="52" spans="42:190" x14ac:dyDescent="0.25">
      <c r="AP52">
        <v>2010</v>
      </c>
      <c r="AQ52" s="47">
        <v>244.93580000000003</v>
      </c>
      <c r="AR52" s="47">
        <v>221.59420000000003</v>
      </c>
      <c r="AS52" s="47">
        <v>466.53000000000009</v>
      </c>
      <c r="AT52" s="596">
        <v>0.12449072657905236</v>
      </c>
      <c r="AU52" s="47">
        <v>272.60599999999999</v>
      </c>
      <c r="AV52" s="47">
        <v>260.26100000000002</v>
      </c>
      <c r="AW52" s="47">
        <v>532.86699999999996</v>
      </c>
      <c r="AX52" s="47">
        <v>13.638500000000002</v>
      </c>
      <c r="AY52" s="460">
        <v>6.3359471364640957E-2</v>
      </c>
      <c r="AZ52">
        <v>13.583</v>
      </c>
      <c r="BB52">
        <v>2010</v>
      </c>
      <c r="BC52">
        <v>7.4032</v>
      </c>
      <c r="BD52">
        <v>13.748800000000001</v>
      </c>
      <c r="BE52">
        <v>21.152000000000001</v>
      </c>
      <c r="BF52">
        <v>26.600999999999999</v>
      </c>
      <c r="BG52">
        <v>0.57699999999999996</v>
      </c>
      <c r="BH52">
        <v>27.177999999999997</v>
      </c>
      <c r="BI52">
        <v>34.004199999999997</v>
      </c>
      <c r="BJ52">
        <v>14.325800000000001</v>
      </c>
      <c r="BK52">
        <v>48.33</v>
      </c>
      <c r="BL52">
        <v>13901.2</v>
      </c>
      <c r="BM52">
        <v>14325.800000000001</v>
      </c>
      <c r="BN52">
        <v>28.227</v>
      </c>
      <c r="BP52">
        <v>2017</v>
      </c>
      <c r="BQ52">
        <v>0.57499999999999996</v>
      </c>
      <c r="BR52">
        <v>16.902889999999999</v>
      </c>
      <c r="BS52">
        <v>151.63704000000001</v>
      </c>
      <c r="BT52">
        <v>3.7919495131268715E-3</v>
      </c>
      <c r="BU52">
        <v>0.11146940087989055</v>
      </c>
      <c r="BV52">
        <v>0.11526135039301741</v>
      </c>
      <c r="BX52">
        <v>2010</v>
      </c>
      <c r="BY52">
        <v>150436</v>
      </c>
      <c r="BZ52">
        <v>1307</v>
      </c>
      <c r="CA52">
        <v>178293</v>
      </c>
      <c r="CB52">
        <v>13901.2</v>
      </c>
      <c r="CC52">
        <v>14325.800000000001</v>
      </c>
      <c r="CD52">
        <v>21924.6</v>
      </c>
      <c r="CE52">
        <v>57367</v>
      </c>
      <c r="CF52">
        <v>28975.4</v>
      </c>
      <c r="CG52">
        <v>0</v>
      </c>
      <c r="CH52">
        <v>0</v>
      </c>
      <c r="CI52">
        <v>172360.6</v>
      </c>
      <c r="CJ52">
        <v>58674</v>
      </c>
      <c r="CK52">
        <v>207268.4</v>
      </c>
      <c r="CL52">
        <v>13901.2</v>
      </c>
      <c r="CM52">
        <v>14325.800000000001</v>
      </c>
      <c r="CN52">
        <v>466530</v>
      </c>
      <c r="CO52">
        <v>2010</v>
      </c>
      <c r="CP52">
        <v>244935.80000000002</v>
      </c>
      <c r="CQ52">
        <v>221594.19999999998</v>
      </c>
      <c r="CR52">
        <v>6.050414764323838E-2</v>
      </c>
      <c r="CS52" t="b">
        <v>1</v>
      </c>
      <c r="CT52" t="b">
        <v>1</v>
      </c>
      <c r="CV52">
        <v>2010</v>
      </c>
      <c r="CW52">
        <v>50.012999999999998</v>
      </c>
      <c r="CX52">
        <v>739.34017676767689</v>
      </c>
      <c r="CY52">
        <v>789.35317676767693</v>
      </c>
      <c r="CZ52">
        <v>6.3359471364640957E-2</v>
      </c>
      <c r="DA52">
        <v>4.7600000000000003E-2</v>
      </c>
      <c r="DD52">
        <v>2010</v>
      </c>
      <c r="DE52" s="47">
        <v>150436</v>
      </c>
      <c r="DF52" s="47">
        <v>1307</v>
      </c>
      <c r="DG52" s="47">
        <v>178293</v>
      </c>
      <c r="DH52" s="47">
        <v>13901.2</v>
      </c>
      <c r="DI52" s="47">
        <v>14325.800000000001</v>
      </c>
      <c r="DJ52" s="47">
        <v>21924.6</v>
      </c>
      <c r="DK52" s="47">
        <v>57367</v>
      </c>
      <c r="DL52" s="47">
        <v>28975.4</v>
      </c>
      <c r="DM52" s="130" t="s">
        <v>728</v>
      </c>
      <c r="DN52" s="130" t="s">
        <v>728</v>
      </c>
      <c r="DO52" s="47">
        <v>172360.6</v>
      </c>
      <c r="DP52" s="47">
        <v>58674</v>
      </c>
      <c r="DQ52" s="47">
        <v>207268.4</v>
      </c>
      <c r="DR52" s="47">
        <v>13901.2</v>
      </c>
      <c r="DS52" s="47">
        <v>14325.800000000001</v>
      </c>
      <c r="DT52" s="47">
        <v>466530</v>
      </c>
      <c r="DV52" s="47">
        <f t="shared" si="30"/>
        <v>330036</v>
      </c>
      <c r="DW52" s="47">
        <f t="shared" si="27"/>
        <v>108267</v>
      </c>
      <c r="DX52" s="47">
        <f t="shared" si="28"/>
        <v>438303</v>
      </c>
      <c r="DY52" s="242">
        <f t="shared" si="31"/>
        <v>0.24701405192298478</v>
      </c>
      <c r="DZ52" s="276">
        <v>2010</v>
      </c>
      <c r="EA52" s="47">
        <f t="shared" si="29"/>
        <v>28227</v>
      </c>
      <c r="EB52" s="242">
        <v>7.0000000000000007E-2</v>
      </c>
      <c r="EC52" s="47">
        <f t="shared" si="58"/>
        <v>30351.612903225807</v>
      </c>
      <c r="ED52" s="47">
        <f t="shared" si="59"/>
        <v>2124.6129032258068</v>
      </c>
      <c r="EE52" s="242">
        <f t="shared" si="60"/>
        <v>7.0000000000000007E-2</v>
      </c>
      <c r="EF52" s="276">
        <v>2010</v>
      </c>
      <c r="EG52" s="47"/>
      <c r="EH52" s="47"/>
      <c r="EI52" s="47"/>
      <c r="EK52">
        <v>1993</v>
      </c>
      <c r="EL52">
        <v>40</v>
      </c>
      <c r="EM52">
        <v>448</v>
      </c>
      <c r="EN52">
        <v>262</v>
      </c>
      <c r="EO52">
        <v>446</v>
      </c>
      <c r="EP52">
        <v>1301</v>
      </c>
      <c r="EQ52">
        <v>2497</v>
      </c>
      <c r="ER52">
        <v>624</v>
      </c>
      <c r="ES52">
        <v>2296</v>
      </c>
      <c r="ET52">
        <v>674</v>
      </c>
      <c r="EU52">
        <v>1906</v>
      </c>
      <c r="EV52">
        <v>2418</v>
      </c>
      <c r="EW52">
        <v>7918</v>
      </c>
      <c r="EX52">
        <v>10</v>
      </c>
      <c r="EY52">
        <v>120</v>
      </c>
      <c r="EZ52">
        <v>70</v>
      </c>
      <c r="FA52">
        <v>122</v>
      </c>
      <c r="FB52">
        <v>360</v>
      </c>
      <c r="FC52">
        <v>682</v>
      </c>
      <c r="FD52">
        <v>0.25529479107040642</v>
      </c>
      <c r="FE52">
        <v>0.25311203319502074</v>
      </c>
      <c r="FH52">
        <f t="shared" si="57"/>
        <v>6553</v>
      </c>
      <c r="FT52" s="47"/>
      <c r="FU52" s="47"/>
      <c r="FX52" s="242"/>
      <c r="FY52" s="242"/>
      <c r="FZ52" s="242"/>
      <c r="GA52" s="242"/>
      <c r="GB52" s="242"/>
      <c r="GC52" s="242"/>
      <c r="GD52" s="242"/>
      <c r="GE52" s="242"/>
      <c r="GF52" s="242"/>
      <c r="GG52" s="242"/>
      <c r="GH52" s="242"/>
    </row>
    <row r="53" spans="42:190" x14ac:dyDescent="0.25">
      <c r="AP53">
        <v>2011</v>
      </c>
      <c r="AQ53" s="47">
        <v>253.11238</v>
      </c>
      <c r="AR53" s="47">
        <v>124.93762000000001</v>
      </c>
      <c r="AS53" s="47">
        <v>378.05</v>
      </c>
      <c r="AT53" s="596">
        <v>0.14373982193049806</v>
      </c>
      <c r="AU53" s="47">
        <v>294.42599999999999</v>
      </c>
      <c r="AV53" s="47">
        <v>147.08699999999999</v>
      </c>
      <c r="AW53" s="47">
        <v>441.51299999999998</v>
      </c>
      <c r="AX53" s="47">
        <v>7.6620000000000008</v>
      </c>
      <c r="AY53" s="460">
        <v>7.0077759666035522E-2</v>
      </c>
      <c r="AZ53">
        <v>12.637</v>
      </c>
      <c r="BB53">
        <v>2011</v>
      </c>
      <c r="BC53">
        <v>8.5161999999999995</v>
      </c>
      <c r="BD53">
        <v>15.815800000000001</v>
      </c>
      <c r="BE53">
        <v>24.332000000000001</v>
      </c>
      <c r="BF53">
        <v>10.673999999999999</v>
      </c>
      <c r="BG53">
        <v>0.372</v>
      </c>
      <c r="BH53">
        <v>11.045999999999999</v>
      </c>
      <c r="BI53">
        <v>19.190199999999997</v>
      </c>
      <c r="BJ53">
        <v>16.187800000000003</v>
      </c>
      <c r="BK53">
        <v>35.378</v>
      </c>
      <c r="BL53">
        <v>15796.199999999999</v>
      </c>
      <c r="BM53">
        <v>16187.800000000001</v>
      </c>
      <c r="BN53">
        <v>31.984000000000002</v>
      </c>
      <c r="BX53">
        <v>2011</v>
      </c>
      <c r="BY53">
        <v>166410</v>
      </c>
      <c r="BZ53">
        <v>2810</v>
      </c>
      <c r="CA53">
        <v>88938</v>
      </c>
      <c r="CB53">
        <v>15796.199999999999</v>
      </c>
      <c r="CC53">
        <v>16187.800000000001</v>
      </c>
      <c r="CD53">
        <v>19309.18</v>
      </c>
      <c r="CE53">
        <v>48787</v>
      </c>
      <c r="CF53">
        <v>19811.82</v>
      </c>
      <c r="CG53">
        <v>0</v>
      </c>
      <c r="CH53">
        <v>0</v>
      </c>
      <c r="CI53">
        <v>185719.18</v>
      </c>
      <c r="CJ53">
        <v>51597</v>
      </c>
      <c r="CK53">
        <v>108749.82</v>
      </c>
      <c r="CL53">
        <v>15796.199999999999</v>
      </c>
      <c r="CM53">
        <v>16187.800000000001</v>
      </c>
      <c r="CN53">
        <v>378050</v>
      </c>
      <c r="CO53">
        <v>2011</v>
      </c>
      <c r="CP53">
        <v>253112.38</v>
      </c>
      <c r="CQ53">
        <v>124937.62000000001</v>
      </c>
      <c r="CR53">
        <v>8.460256579817485E-2</v>
      </c>
      <c r="CS53" t="b">
        <v>1</v>
      </c>
      <c r="CT53" t="b">
        <v>1</v>
      </c>
      <c r="CV53">
        <v>2011</v>
      </c>
      <c r="CW53">
        <v>55.2</v>
      </c>
      <c r="CX53">
        <v>732.49641414141411</v>
      </c>
      <c r="CY53">
        <v>787.69641414141415</v>
      </c>
      <c r="CZ53">
        <v>7.0077759666035522E-2</v>
      </c>
      <c r="DA53">
        <v>6.4885630931481267E-2</v>
      </c>
      <c r="DD53">
        <v>2011</v>
      </c>
      <c r="DE53" s="47">
        <v>166410</v>
      </c>
      <c r="DF53" s="47">
        <v>2810</v>
      </c>
      <c r="DG53" s="47">
        <v>88938</v>
      </c>
      <c r="DH53" s="47">
        <v>15796.199999999999</v>
      </c>
      <c r="DI53" s="47">
        <v>16187.800000000001</v>
      </c>
      <c r="DJ53" s="47">
        <v>19309.18</v>
      </c>
      <c r="DK53" s="47">
        <v>48787</v>
      </c>
      <c r="DL53" s="47">
        <v>19811.82</v>
      </c>
      <c r="DM53" s="130" t="s">
        <v>728</v>
      </c>
      <c r="DN53" s="130" t="s">
        <v>728</v>
      </c>
      <c r="DO53" s="47">
        <v>185719.18</v>
      </c>
      <c r="DP53" s="47">
        <v>51597</v>
      </c>
      <c r="DQ53" s="47">
        <v>108749.82</v>
      </c>
      <c r="DR53" s="47">
        <v>15796.199999999999</v>
      </c>
      <c r="DS53" s="47">
        <v>16187.800000000001</v>
      </c>
      <c r="DT53" s="47">
        <v>378050</v>
      </c>
      <c r="DV53" s="47">
        <f t="shared" si="30"/>
        <v>258158</v>
      </c>
      <c r="DW53" s="47">
        <f t="shared" si="27"/>
        <v>87908</v>
      </c>
      <c r="DX53" s="47">
        <f t="shared" si="28"/>
        <v>346066</v>
      </c>
      <c r="DY53" s="242">
        <f t="shared" si="31"/>
        <v>0.25402090930631727</v>
      </c>
      <c r="DZ53" s="276">
        <v>2011</v>
      </c>
      <c r="EA53" s="47">
        <f t="shared" si="29"/>
        <v>31984</v>
      </c>
      <c r="EB53" s="242">
        <v>0.08</v>
      </c>
      <c r="EC53" s="47">
        <f t="shared" si="58"/>
        <v>34765.217391304344</v>
      </c>
      <c r="ED53" s="47">
        <f t="shared" si="59"/>
        <v>2781.2173913043443</v>
      </c>
      <c r="EE53" s="242">
        <f t="shared" si="60"/>
        <v>7.9999999999999905E-2</v>
      </c>
      <c r="EF53" s="276">
        <v>2011</v>
      </c>
      <c r="EG53" s="47"/>
      <c r="EH53" s="47"/>
      <c r="EI53" s="47"/>
      <c r="EK53">
        <v>1994</v>
      </c>
      <c r="EL53">
        <v>20</v>
      </c>
      <c r="EM53">
        <v>0</v>
      </c>
      <c r="EN53">
        <v>0</v>
      </c>
      <c r="EO53">
        <v>82</v>
      </c>
      <c r="EP53">
        <v>1458</v>
      </c>
      <c r="EQ53">
        <v>1560</v>
      </c>
      <c r="ER53">
        <v>534</v>
      </c>
      <c r="ES53">
        <v>16</v>
      </c>
      <c r="ET53">
        <v>0</v>
      </c>
      <c r="EU53">
        <v>286</v>
      </c>
      <c r="EV53">
        <v>2707</v>
      </c>
      <c r="EW53">
        <v>3543</v>
      </c>
      <c r="EX53">
        <v>48</v>
      </c>
      <c r="EY53">
        <v>0</v>
      </c>
      <c r="EZ53">
        <v>0</v>
      </c>
      <c r="FA53">
        <v>200</v>
      </c>
      <c r="FB53">
        <v>3473</v>
      </c>
      <c r="FC53">
        <v>3721</v>
      </c>
      <c r="FD53">
        <v>5.3246753246753244E-2</v>
      </c>
      <c r="FE53">
        <v>5.4451402123604685E-2</v>
      </c>
      <c r="FH53">
        <f t="shared" si="57"/>
        <v>8206</v>
      </c>
      <c r="FT53" s="47"/>
      <c r="FU53" s="47"/>
      <c r="FX53" s="242"/>
      <c r="FY53" s="242"/>
      <c r="FZ53" s="242"/>
      <c r="GA53" s="242"/>
      <c r="GB53" s="242"/>
      <c r="GC53" s="242"/>
      <c r="GD53" s="242"/>
      <c r="GE53" s="242"/>
      <c r="GF53" s="242"/>
      <c r="GG53" s="242"/>
      <c r="GH53" s="242"/>
    </row>
    <row r="54" spans="42:190" x14ac:dyDescent="0.25">
      <c r="AP54">
        <v>2012</v>
      </c>
      <c r="AQ54" s="47">
        <v>102.84585000000001</v>
      </c>
      <c r="AR54" s="47">
        <v>49.530149999999999</v>
      </c>
      <c r="AS54" s="47">
        <v>152.376</v>
      </c>
      <c r="AT54" s="596">
        <v>0.11125109361329821</v>
      </c>
      <c r="AU54" s="47">
        <v>115.709</v>
      </c>
      <c r="AV54" s="47">
        <v>55.741</v>
      </c>
      <c r="AW54" s="47">
        <v>171.45</v>
      </c>
      <c r="AX54" s="47">
        <v>10.626099999999999</v>
      </c>
      <c r="AY54" s="460">
        <v>0.15227326732553403</v>
      </c>
      <c r="AZ54">
        <v>11.648</v>
      </c>
      <c r="BB54">
        <v>2012</v>
      </c>
      <c r="BC54">
        <v>5.5296499999999993</v>
      </c>
      <c r="BD54">
        <v>10.269350000000001</v>
      </c>
      <c r="BE54">
        <v>15.798999999999999</v>
      </c>
      <c r="BF54">
        <v>10.42</v>
      </c>
      <c r="BG54">
        <v>9.7000000000000003E-2</v>
      </c>
      <c r="BH54">
        <v>10.516999999999999</v>
      </c>
      <c r="BI54">
        <v>15.949649999999998</v>
      </c>
      <c r="BJ54">
        <v>10.366350000000001</v>
      </c>
      <c r="BK54">
        <v>26.315999999999999</v>
      </c>
      <c r="BL54">
        <v>9376.65</v>
      </c>
      <c r="BM54">
        <v>10366.35</v>
      </c>
      <c r="BN54">
        <v>19.742999999999999</v>
      </c>
      <c r="BX54">
        <v>2012</v>
      </c>
      <c r="BY54">
        <v>68670</v>
      </c>
      <c r="BZ54">
        <v>1073</v>
      </c>
      <c r="CA54">
        <v>33735</v>
      </c>
      <c r="CB54">
        <v>9376.65</v>
      </c>
      <c r="CC54">
        <v>10366.35</v>
      </c>
      <c r="CD54">
        <v>9241.2000000000007</v>
      </c>
      <c r="CE54">
        <v>14485</v>
      </c>
      <c r="CF54">
        <v>5428.8</v>
      </c>
      <c r="CG54">
        <v>0</v>
      </c>
      <c r="CH54">
        <v>0</v>
      </c>
      <c r="CI54">
        <v>77911.199999999997</v>
      </c>
      <c r="CJ54">
        <v>15558</v>
      </c>
      <c r="CK54">
        <v>39163.800000000003</v>
      </c>
      <c r="CL54">
        <v>9376.65</v>
      </c>
      <c r="CM54">
        <v>10366.35</v>
      </c>
      <c r="CN54">
        <v>152376</v>
      </c>
      <c r="CO54">
        <v>2012</v>
      </c>
      <c r="CP54">
        <v>102845.84999999999</v>
      </c>
      <c r="CQ54">
        <v>49530.15</v>
      </c>
      <c r="CR54">
        <v>0.12956764844857457</v>
      </c>
      <c r="CS54" t="b">
        <v>1</v>
      </c>
      <c r="CT54" t="b">
        <v>1</v>
      </c>
      <c r="CV54">
        <v>2012</v>
      </c>
      <c r="CW54">
        <v>46.247</v>
      </c>
      <c r="CX54">
        <v>257.46356464646465</v>
      </c>
      <c r="CY54">
        <v>303.71056464646466</v>
      </c>
      <c r="CZ54">
        <v>0.15227326732553403</v>
      </c>
      <c r="DD54">
        <v>2012</v>
      </c>
      <c r="DE54" s="47">
        <v>68670</v>
      </c>
      <c r="DF54" s="47">
        <v>1073</v>
      </c>
      <c r="DG54" s="47">
        <v>33735</v>
      </c>
      <c r="DH54" s="47">
        <v>9376.65</v>
      </c>
      <c r="DI54" s="47">
        <v>10366.35</v>
      </c>
      <c r="DJ54" s="47">
        <v>9241.2000000000007</v>
      </c>
      <c r="DK54" s="47">
        <v>14485</v>
      </c>
      <c r="DL54" s="47">
        <v>5428.8</v>
      </c>
      <c r="DM54" s="130" t="s">
        <v>728</v>
      </c>
      <c r="DN54" s="130" t="s">
        <v>728</v>
      </c>
      <c r="DO54" s="47">
        <v>77911.199999999997</v>
      </c>
      <c r="DP54" s="47">
        <v>15558</v>
      </c>
      <c r="DQ54" s="47">
        <v>39163.800000000003</v>
      </c>
      <c r="DR54" s="47">
        <v>9376.65</v>
      </c>
      <c r="DS54" s="47">
        <v>10366.35</v>
      </c>
      <c r="DT54" s="47">
        <v>152376</v>
      </c>
      <c r="DV54" s="47">
        <f t="shared" si="30"/>
        <v>103478</v>
      </c>
      <c r="DW54" s="47">
        <f t="shared" si="27"/>
        <v>29155</v>
      </c>
      <c r="DX54" s="47">
        <f t="shared" si="28"/>
        <v>132633</v>
      </c>
      <c r="DY54" s="242">
        <f t="shared" si="31"/>
        <v>0.21981708926134522</v>
      </c>
      <c r="DZ54" s="276">
        <v>2012</v>
      </c>
      <c r="EA54" s="47">
        <f t="shared" si="29"/>
        <v>19743</v>
      </c>
      <c r="EB54" s="242">
        <v>0.03</v>
      </c>
      <c r="EC54" s="47">
        <f t="shared" si="58"/>
        <v>20353.608247422682</v>
      </c>
      <c r="ED54" s="47">
        <f t="shared" si="59"/>
        <v>610.60824742268233</v>
      </c>
      <c r="EE54" s="242">
        <f t="shared" si="60"/>
        <v>3.0000000000000093E-2</v>
      </c>
      <c r="EF54" s="276">
        <v>2012</v>
      </c>
      <c r="EG54" s="47"/>
      <c r="EH54" s="47"/>
      <c r="EI54" s="47"/>
      <c r="EK54">
        <v>1995</v>
      </c>
      <c r="EL54">
        <v>32</v>
      </c>
      <c r="EM54">
        <v>172</v>
      </c>
      <c r="EN54">
        <v>0</v>
      </c>
      <c r="EO54">
        <v>60</v>
      </c>
      <c r="EP54">
        <v>891</v>
      </c>
      <c r="EQ54">
        <v>1155</v>
      </c>
      <c r="ER54">
        <v>338</v>
      </c>
      <c r="ES54">
        <v>452</v>
      </c>
      <c r="ET54">
        <v>4</v>
      </c>
      <c r="EU54">
        <v>60</v>
      </c>
      <c r="EV54">
        <v>1654</v>
      </c>
      <c r="EW54">
        <v>2508</v>
      </c>
      <c r="EX54">
        <v>98</v>
      </c>
      <c r="EY54">
        <v>522</v>
      </c>
      <c r="EZ54">
        <v>0</v>
      </c>
      <c r="FA54">
        <v>184</v>
      </c>
      <c r="FB54">
        <v>2733</v>
      </c>
      <c r="FC54">
        <v>3537</v>
      </c>
      <c r="FD54">
        <v>6.3091482649842268E-2</v>
      </c>
      <c r="FE54">
        <v>6.3078505313678437E-2</v>
      </c>
      <c r="FH54">
        <f t="shared" si="57"/>
        <v>5582</v>
      </c>
      <c r="FT54" s="47"/>
      <c r="FU54" s="47"/>
      <c r="FX54" s="242"/>
      <c r="FY54" s="242"/>
      <c r="FZ54" s="242"/>
      <c r="GA54" s="242"/>
      <c r="GB54" s="242"/>
      <c r="GC54" s="242"/>
      <c r="GD54" s="242"/>
      <c r="GE54" s="242"/>
      <c r="GF54" s="242"/>
      <c r="GG54" s="242"/>
      <c r="GH54" s="242"/>
    </row>
    <row r="55" spans="42:190" x14ac:dyDescent="0.25">
      <c r="AP55">
        <v>2013</v>
      </c>
      <c r="AQ55" s="47">
        <v>157.89813253968254</v>
      </c>
      <c r="AR55" s="47">
        <v>94.865726470588243</v>
      </c>
      <c r="AS55" s="47">
        <v>252.76385901027078</v>
      </c>
      <c r="AT55" s="596">
        <v>0.21467518692883913</v>
      </c>
      <c r="AU55" s="47">
        <v>193.261</v>
      </c>
      <c r="AV55" s="47">
        <v>128.59800000000001</v>
      </c>
      <c r="AW55" s="47">
        <v>321.85900000000004</v>
      </c>
      <c r="AX55" s="47">
        <v>15.155900000000001</v>
      </c>
      <c r="AY55" s="460">
        <v>0.13603065634093911</v>
      </c>
      <c r="AZ55">
        <v>13.263</v>
      </c>
      <c r="BB55">
        <v>2013</v>
      </c>
      <c r="BC55">
        <v>7.3457999999999997</v>
      </c>
      <c r="BD55">
        <v>13.642200000000001</v>
      </c>
      <c r="BE55">
        <v>20.988</v>
      </c>
      <c r="BF55">
        <v>22.405999999999999</v>
      </c>
      <c r="BG55">
        <v>1.2</v>
      </c>
      <c r="BH55">
        <v>23.605999999999998</v>
      </c>
      <c r="BI55">
        <v>29.751799999999999</v>
      </c>
      <c r="BJ55">
        <v>14.8422</v>
      </c>
      <c r="BK55">
        <v>44.594000000000001</v>
      </c>
      <c r="BL55">
        <v>11115.8</v>
      </c>
      <c r="BM55">
        <v>14842.2</v>
      </c>
      <c r="BN55">
        <v>25.957999999999998</v>
      </c>
      <c r="BP55" s="224" t="s">
        <v>399</v>
      </c>
      <c r="BQ55" s="224" t="s">
        <v>314</v>
      </c>
      <c r="BR55" s="224" t="s">
        <v>317</v>
      </c>
      <c r="BS55" s="224" t="s">
        <v>416</v>
      </c>
      <c r="BT55" s="224" t="s">
        <v>405</v>
      </c>
      <c r="BU55" s="224" t="s">
        <v>417</v>
      </c>
      <c r="BV55" s="224" t="s">
        <v>418</v>
      </c>
      <c r="BW55" s="224"/>
      <c r="BX55">
        <v>2013</v>
      </c>
      <c r="BY55">
        <v>93377.682539682544</v>
      </c>
      <c r="BZ55">
        <v>917.99999999999989</v>
      </c>
      <c r="CA55">
        <v>65834.176470588223</v>
      </c>
      <c r="CB55">
        <v>11115.8</v>
      </c>
      <c r="CC55">
        <v>14842.2</v>
      </c>
      <c r="CD55">
        <v>13895.65</v>
      </c>
      <c r="CE55">
        <v>38591</v>
      </c>
      <c r="CF55">
        <v>14189.35</v>
      </c>
      <c r="CG55">
        <v>0</v>
      </c>
      <c r="CH55">
        <v>0</v>
      </c>
      <c r="CI55">
        <v>107273.33253968254</v>
      </c>
      <c r="CJ55">
        <v>39509</v>
      </c>
      <c r="CK55">
        <v>80023.526470588229</v>
      </c>
      <c r="CL55">
        <v>11115.8</v>
      </c>
      <c r="CM55">
        <v>14842.2</v>
      </c>
      <c r="CN55">
        <v>252763.85901027077</v>
      </c>
      <c r="CO55">
        <v>2013</v>
      </c>
      <c r="CP55">
        <v>157898.13253968253</v>
      </c>
      <c r="CQ55">
        <v>94865.726470588226</v>
      </c>
      <c r="CR55">
        <v>0.10269664382258552</v>
      </c>
      <c r="CS55" t="b">
        <v>1</v>
      </c>
      <c r="CT55" t="b">
        <v>1</v>
      </c>
      <c r="CV55">
        <v>2013</v>
      </c>
      <c r="CW55">
        <v>61.580999999999996</v>
      </c>
      <c r="CX55">
        <v>391.11842567693748</v>
      </c>
      <c r="CY55">
        <v>452.69942567693749</v>
      </c>
      <c r="CZ55">
        <v>0.13603065634093911</v>
      </c>
      <c r="DD55">
        <v>2013</v>
      </c>
      <c r="DE55" s="47">
        <v>93377.682539682544</v>
      </c>
      <c r="DF55" s="47">
        <v>917.99999999999989</v>
      </c>
      <c r="DG55" s="47">
        <v>65834.176470588223</v>
      </c>
      <c r="DH55" s="47">
        <v>11115.8</v>
      </c>
      <c r="DI55" s="47">
        <v>14842.2</v>
      </c>
      <c r="DJ55" s="47">
        <v>13895.65</v>
      </c>
      <c r="DK55" s="47">
        <v>38591</v>
      </c>
      <c r="DL55" s="47">
        <v>14189.35</v>
      </c>
      <c r="DM55" s="130" t="s">
        <v>728</v>
      </c>
      <c r="DN55" s="130" t="s">
        <v>728</v>
      </c>
      <c r="DO55" s="47">
        <v>107273.33253968254</v>
      </c>
      <c r="DP55" s="47">
        <v>39509</v>
      </c>
      <c r="DQ55" s="47">
        <v>80023.526470588229</v>
      </c>
      <c r="DR55" s="47">
        <v>11115.8</v>
      </c>
      <c r="DS55" s="47">
        <v>14842.2</v>
      </c>
      <c r="DT55" s="47">
        <v>252763.85901027077</v>
      </c>
      <c r="DV55" s="47">
        <f t="shared" si="30"/>
        <v>160129.85901027077</v>
      </c>
      <c r="DW55" s="47">
        <f t="shared" si="27"/>
        <v>66676</v>
      </c>
      <c r="DX55" s="47">
        <f t="shared" si="28"/>
        <v>226805.85901027077</v>
      </c>
      <c r="DY55" s="242">
        <f t="shared" si="31"/>
        <v>0.29397829619992583</v>
      </c>
      <c r="DZ55" s="276">
        <v>2013</v>
      </c>
      <c r="EA55" s="47">
        <f t="shared" si="29"/>
        <v>25958</v>
      </c>
      <c r="EB55" s="242">
        <v>0.03</v>
      </c>
      <c r="EC55" s="47">
        <f t="shared" si="58"/>
        <v>26760.824742268043</v>
      </c>
      <c r="ED55" s="47">
        <f t="shared" si="59"/>
        <v>802.82474226804334</v>
      </c>
      <c r="EE55" s="242">
        <f t="shared" si="60"/>
        <v>3.0000000000000075E-2</v>
      </c>
      <c r="EF55" s="276">
        <v>2013</v>
      </c>
      <c r="EG55" s="47"/>
      <c r="EH55" s="47"/>
      <c r="EI55" s="47"/>
      <c r="EK55">
        <v>1996</v>
      </c>
      <c r="EL55">
        <v>14</v>
      </c>
      <c r="EM55">
        <v>84</v>
      </c>
      <c r="EN55">
        <v>2</v>
      </c>
      <c r="EO55">
        <v>96</v>
      </c>
      <c r="EP55">
        <v>1443</v>
      </c>
      <c r="EQ55">
        <v>1639</v>
      </c>
      <c r="ER55">
        <v>236</v>
      </c>
      <c r="ES55">
        <v>858</v>
      </c>
      <c r="ET55">
        <v>0</v>
      </c>
      <c r="EU55">
        <v>470</v>
      </c>
      <c r="EV55">
        <v>2680</v>
      </c>
      <c r="EW55">
        <v>4244</v>
      </c>
      <c r="EX55">
        <v>2</v>
      </c>
      <c r="EY55">
        <v>12</v>
      </c>
      <c r="EZ55">
        <v>0</v>
      </c>
      <c r="FA55">
        <v>18</v>
      </c>
      <c r="FB55">
        <v>268</v>
      </c>
      <c r="FC55">
        <v>300</v>
      </c>
      <c r="FD55">
        <v>6.2378167641325533E-2</v>
      </c>
      <c r="FE55">
        <v>6.2937062937062943E-2</v>
      </c>
      <c r="FH55">
        <f t="shared" si="57"/>
        <v>4975</v>
      </c>
      <c r="FT55" s="47"/>
      <c r="FU55" s="47"/>
      <c r="FX55" s="242"/>
      <c r="FY55" s="242"/>
      <c r="FZ55" s="242"/>
      <c r="GA55" s="242"/>
      <c r="GB55" s="242"/>
      <c r="GC55" s="242"/>
      <c r="GD55" s="242"/>
      <c r="GE55" s="242"/>
      <c r="GF55" s="242"/>
      <c r="GG55" s="242"/>
      <c r="GH55" s="242"/>
    </row>
    <row r="56" spans="42:190" x14ac:dyDescent="0.25">
      <c r="AP56">
        <v>2014</v>
      </c>
      <c r="AQ56" s="47">
        <v>623.36613</v>
      </c>
      <c r="AR56" s="47">
        <v>397.15386999999993</v>
      </c>
      <c r="AS56" s="47">
        <v>1020.52</v>
      </c>
      <c r="AT56" s="596">
        <v>0.21124226329229756</v>
      </c>
      <c r="AU56" s="47">
        <v>777.35900000000004</v>
      </c>
      <c r="AV56" s="47">
        <v>516.47299999999996</v>
      </c>
      <c r="AW56" s="47">
        <v>1293.8319999999999</v>
      </c>
      <c r="AX56" s="47">
        <v>20.050600000000003</v>
      </c>
      <c r="AY56" s="460">
        <v>0.12788358000898972</v>
      </c>
      <c r="AZ56">
        <v>22.692</v>
      </c>
      <c r="BB56">
        <v>2014</v>
      </c>
      <c r="BC56">
        <v>21.770349999999997</v>
      </c>
      <c r="BD56">
        <v>40.43065</v>
      </c>
      <c r="BE56">
        <v>62.200999999999993</v>
      </c>
      <c r="BF56">
        <v>36.802</v>
      </c>
      <c r="BG56">
        <v>1.292</v>
      </c>
      <c r="BH56">
        <v>38.094000000000001</v>
      </c>
      <c r="BI56">
        <v>58.57235</v>
      </c>
      <c r="BJ56">
        <v>41.722650000000002</v>
      </c>
      <c r="BK56">
        <v>100.295</v>
      </c>
      <c r="BL56">
        <v>40510.35</v>
      </c>
      <c r="BM56">
        <v>41722.65</v>
      </c>
      <c r="BN56">
        <v>82.233000000000004</v>
      </c>
      <c r="BP56">
        <v>1999</v>
      </c>
      <c r="BQ56">
        <v>43.636000000000003</v>
      </c>
      <c r="BR56">
        <v>1.534</v>
      </c>
      <c r="BS56">
        <v>134.69824122011192</v>
      </c>
      <c r="BT56">
        <v>0.32395374731503673</v>
      </c>
      <c r="BU56">
        <v>1.1388418928895094E-2</v>
      </c>
      <c r="BV56">
        <v>0.33534216624393182</v>
      </c>
      <c r="BX56">
        <v>2014</v>
      </c>
      <c r="BY56">
        <v>321313</v>
      </c>
      <c r="BZ56">
        <v>7045</v>
      </c>
      <c r="CA56">
        <v>262681</v>
      </c>
      <c r="CB56">
        <v>40510.35</v>
      </c>
      <c r="CC56">
        <v>41722.65</v>
      </c>
      <c r="CD56">
        <v>87646.78</v>
      </c>
      <c r="CE56">
        <v>166851</v>
      </c>
      <c r="CF56">
        <v>92750.22</v>
      </c>
      <c r="CG56">
        <v>0</v>
      </c>
      <c r="CH56">
        <v>0</v>
      </c>
      <c r="CI56">
        <v>408959.78</v>
      </c>
      <c r="CJ56">
        <v>173896</v>
      </c>
      <c r="CK56">
        <v>355431.22</v>
      </c>
      <c r="CL56">
        <v>40510.35</v>
      </c>
      <c r="CM56">
        <v>41722.65</v>
      </c>
      <c r="CN56">
        <v>1020520</v>
      </c>
      <c r="CO56">
        <v>2014</v>
      </c>
      <c r="CP56">
        <v>623366.13</v>
      </c>
      <c r="CQ56">
        <v>397153.87</v>
      </c>
      <c r="CR56">
        <v>8.057950848586995E-2</v>
      </c>
      <c r="CS56" t="b">
        <v>1</v>
      </c>
      <c r="CT56" t="b">
        <v>1</v>
      </c>
      <c r="CV56">
        <v>2014</v>
      </c>
      <c r="CW56">
        <v>197.43099999999998</v>
      </c>
      <c r="CX56">
        <v>1346.4028525252527</v>
      </c>
      <c r="CY56">
        <v>1543.8338525252527</v>
      </c>
      <c r="CZ56">
        <v>0.12788358000898972</v>
      </c>
      <c r="DD56">
        <v>2014</v>
      </c>
      <c r="DE56" s="47">
        <v>321313</v>
      </c>
      <c r="DF56" s="47">
        <v>7045</v>
      </c>
      <c r="DG56" s="47">
        <v>262681</v>
      </c>
      <c r="DH56" s="47">
        <v>40510.35</v>
      </c>
      <c r="DI56" s="47">
        <v>41722.65</v>
      </c>
      <c r="DJ56" s="47">
        <v>87646.78</v>
      </c>
      <c r="DK56" s="47">
        <v>166851</v>
      </c>
      <c r="DL56" s="47">
        <v>92750.22</v>
      </c>
      <c r="DM56" s="130" t="s">
        <v>728</v>
      </c>
      <c r="DN56" s="130" t="s">
        <v>728</v>
      </c>
      <c r="DO56" s="47">
        <v>408959.78</v>
      </c>
      <c r="DP56" s="47">
        <v>173896</v>
      </c>
      <c r="DQ56" s="47">
        <v>355431.22</v>
      </c>
      <c r="DR56" s="47">
        <v>40510.35</v>
      </c>
      <c r="DS56" s="47">
        <v>41722.65</v>
      </c>
      <c r="DT56" s="47">
        <v>1020520</v>
      </c>
      <c r="DV56" s="47">
        <f t="shared" si="30"/>
        <v>591039</v>
      </c>
      <c r="DW56" s="47">
        <f t="shared" si="27"/>
        <v>347248</v>
      </c>
      <c r="DX56" s="47">
        <f t="shared" si="28"/>
        <v>938287</v>
      </c>
      <c r="DY56" s="242">
        <f t="shared" si="31"/>
        <v>0.37008719080622454</v>
      </c>
      <c r="DZ56" s="276">
        <v>2014</v>
      </c>
      <c r="EA56" s="47">
        <f t="shared" si="29"/>
        <v>82233</v>
      </c>
      <c r="EB56" s="242">
        <v>0.05</v>
      </c>
      <c r="EC56" s="47">
        <f t="shared" si="58"/>
        <v>86561.052631578947</v>
      </c>
      <c r="ED56" s="47">
        <f t="shared" si="59"/>
        <v>4328.0526315789466</v>
      </c>
      <c r="EE56" s="242">
        <f t="shared" si="60"/>
        <v>4.9999999999999989E-2</v>
      </c>
      <c r="EF56" s="276">
        <v>2014</v>
      </c>
      <c r="EG56" s="47"/>
      <c r="EH56" s="47"/>
      <c r="EI56" s="47"/>
      <c r="EK56">
        <v>1997</v>
      </c>
      <c r="EL56">
        <v>0</v>
      </c>
      <c r="EM56">
        <v>38</v>
      </c>
      <c r="EN56">
        <v>0</v>
      </c>
      <c r="EO56">
        <v>358</v>
      </c>
      <c r="EP56">
        <v>2471</v>
      </c>
      <c r="EQ56">
        <v>2867</v>
      </c>
      <c r="ER56">
        <v>8</v>
      </c>
      <c r="ES56">
        <v>1354</v>
      </c>
      <c r="ET56">
        <v>0</v>
      </c>
      <c r="EU56">
        <v>996</v>
      </c>
      <c r="EV56">
        <v>4590</v>
      </c>
      <c r="EW56">
        <v>6948</v>
      </c>
      <c r="EX56">
        <v>0</v>
      </c>
      <c r="EY56">
        <v>34</v>
      </c>
      <c r="EZ56">
        <v>0</v>
      </c>
      <c r="FA56">
        <v>298</v>
      </c>
      <c r="FB56">
        <v>2051</v>
      </c>
      <c r="FC56">
        <v>2383</v>
      </c>
      <c r="FD56">
        <v>0.1265464828561329</v>
      </c>
      <c r="FE56">
        <v>0.12686249467858662</v>
      </c>
      <c r="FH56">
        <f t="shared" si="57"/>
        <v>10764</v>
      </c>
      <c r="FT56" s="47"/>
      <c r="FU56" s="47"/>
      <c r="FX56" s="242"/>
      <c r="FY56" s="242"/>
      <c r="FZ56" s="242"/>
      <c r="GA56" s="242"/>
      <c r="GB56" s="242"/>
      <c r="GC56" s="242"/>
      <c r="GD56" s="242"/>
      <c r="GE56" s="242"/>
      <c r="GF56" s="242"/>
      <c r="GG56" s="242"/>
      <c r="GH56" s="242"/>
    </row>
    <row r="57" spans="42:190" x14ac:dyDescent="0.25">
      <c r="AP57">
        <v>2015</v>
      </c>
      <c r="AQ57" s="47">
        <v>117.80409999999999</v>
      </c>
      <c r="AR57" s="47">
        <v>51.775900000000007</v>
      </c>
      <c r="AS57" s="47">
        <v>169.57999999999998</v>
      </c>
      <c r="AT57" s="596">
        <v>0.30867197182179906</v>
      </c>
      <c r="AU57" s="47">
        <v>151.309</v>
      </c>
      <c r="AV57" s="47">
        <v>93.986999999999995</v>
      </c>
      <c r="AW57" s="47">
        <v>245.29599999999999</v>
      </c>
      <c r="AX57" s="47">
        <v>8.0020000000000007</v>
      </c>
      <c r="AY57" s="460">
        <v>0.2664786957064616</v>
      </c>
      <c r="AZ57">
        <v>9.3949999999999996</v>
      </c>
      <c r="BB57">
        <v>2015</v>
      </c>
      <c r="BC57">
        <v>2.5941999999999998</v>
      </c>
      <c r="BD57">
        <v>4.8178000000000001</v>
      </c>
      <c r="BE57">
        <v>7.4119999999999999</v>
      </c>
      <c r="BF57">
        <v>5.1390000000000002</v>
      </c>
      <c r="BG57">
        <v>0.28100000000000003</v>
      </c>
      <c r="BH57">
        <v>5.42</v>
      </c>
      <c r="BI57">
        <v>7.7332000000000001</v>
      </c>
      <c r="BJ57">
        <v>5.0987999999999998</v>
      </c>
      <c r="BK57">
        <v>12.832000000000001</v>
      </c>
      <c r="BL57">
        <v>5083.2</v>
      </c>
      <c r="BM57">
        <v>5098.8</v>
      </c>
      <c r="BN57">
        <v>10.182</v>
      </c>
      <c r="BP57">
        <v>2000</v>
      </c>
      <c r="BQ57">
        <v>89.912000000000006</v>
      </c>
      <c r="BR57">
        <v>3.4130000000000003</v>
      </c>
      <c r="BS57">
        <v>228.37275</v>
      </c>
      <c r="BT57">
        <v>0.39370721769563138</v>
      </c>
      <c r="BU57">
        <v>1.4944865357184691E-2</v>
      </c>
      <c r="BV57">
        <v>0.40865208305281608</v>
      </c>
      <c r="BX57">
        <v>2015</v>
      </c>
      <c r="BY57">
        <v>46988</v>
      </c>
      <c r="BZ57">
        <v>1889</v>
      </c>
      <c r="CA57">
        <v>34666</v>
      </c>
      <c r="CB57">
        <v>5083.2</v>
      </c>
      <c r="CC57">
        <v>5098.8</v>
      </c>
      <c r="CD57">
        <v>37207.900000000009</v>
      </c>
      <c r="CE57">
        <v>26636</v>
      </c>
      <c r="CF57">
        <v>12011.1</v>
      </c>
      <c r="CG57">
        <v>0</v>
      </c>
      <c r="CH57">
        <v>0</v>
      </c>
      <c r="CI57">
        <v>84195.900000000009</v>
      </c>
      <c r="CJ57">
        <v>28525</v>
      </c>
      <c r="CK57">
        <v>46677.1</v>
      </c>
      <c r="CL57">
        <v>5083.2</v>
      </c>
      <c r="CM57">
        <v>5098.8</v>
      </c>
      <c r="CN57">
        <v>169580</v>
      </c>
      <c r="CO57">
        <v>2015</v>
      </c>
      <c r="CP57">
        <v>117804.1</v>
      </c>
      <c r="CQ57">
        <v>51775.9</v>
      </c>
      <c r="CR57">
        <v>6.0042457837009081E-2</v>
      </c>
      <c r="CS57" t="b">
        <v>1</v>
      </c>
      <c r="CT57" t="b">
        <v>1</v>
      </c>
      <c r="CV57">
        <v>2015</v>
      </c>
      <c r="CW57">
        <v>84.376000000000005</v>
      </c>
      <c r="CX57">
        <v>232.25719191919191</v>
      </c>
      <c r="CY57">
        <v>316.63319191919192</v>
      </c>
      <c r="CZ57">
        <v>0.2664786957064616</v>
      </c>
      <c r="DD57">
        <v>2015</v>
      </c>
      <c r="DE57" s="47">
        <v>46988</v>
      </c>
      <c r="DF57" s="47">
        <v>1889</v>
      </c>
      <c r="DG57" s="47">
        <v>34666</v>
      </c>
      <c r="DH57" s="47">
        <v>5083.2</v>
      </c>
      <c r="DI57" s="47">
        <v>5098.8</v>
      </c>
      <c r="DJ57" s="47">
        <v>37207.900000000009</v>
      </c>
      <c r="DK57" s="47">
        <v>26636</v>
      </c>
      <c r="DL57" s="47">
        <v>12011.1</v>
      </c>
      <c r="DM57" s="130" t="s">
        <v>728</v>
      </c>
      <c r="DN57" s="130" t="s">
        <v>728</v>
      </c>
      <c r="DO57" s="47">
        <v>84195.900000000009</v>
      </c>
      <c r="DP57" s="47">
        <v>28525</v>
      </c>
      <c r="DQ57" s="47">
        <v>46677.1</v>
      </c>
      <c r="DR57" s="47">
        <v>5083.2</v>
      </c>
      <c r="DS57" s="47">
        <v>5098.8</v>
      </c>
      <c r="DT57" s="47">
        <v>169580</v>
      </c>
      <c r="DV57" s="47">
        <f t="shared" si="30"/>
        <v>83543</v>
      </c>
      <c r="DW57" s="47">
        <f t="shared" si="27"/>
        <v>75855.000000000015</v>
      </c>
      <c r="DX57" s="47">
        <f t="shared" si="28"/>
        <v>159398</v>
      </c>
      <c r="DY57" s="242">
        <f t="shared" si="31"/>
        <v>0.47588426454535199</v>
      </c>
      <c r="DZ57" s="276">
        <v>2015</v>
      </c>
      <c r="EA57" s="47">
        <f t="shared" si="29"/>
        <v>10182</v>
      </c>
      <c r="EB57" s="242">
        <v>7.0000000000000007E-2</v>
      </c>
      <c r="EC57" s="47">
        <f t="shared" si="58"/>
        <v>10948.387096774195</v>
      </c>
      <c r="ED57" s="47">
        <f t="shared" si="59"/>
        <v>766.38709677419502</v>
      </c>
      <c r="EE57" s="242">
        <f t="shared" si="60"/>
        <v>7.0000000000000118E-2</v>
      </c>
      <c r="EF57" s="276">
        <v>2015</v>
      </c>
      <c r="EG57" s="47"/>
      <c r="EH57" s="47"/>
      <c r="EI57" s="47"/>
      <c r="EK57">
        <v>1998</v>
      </c>
      <c r="EL57">
        <v>0</v>
      </c>
      <c r="EM57">
        <v>99</v>
      </c>
      <c r="EN57">
        <v>54</v>
      </c>
      <c r="EO57">
        <v>346</v>
      </c>
      <c r="EP57">
        <v>2629</v>
      </c>
      <c r="EQ57">
        <v>3128</v>
      </c>
      <c r="ER57">
        <v>0</v>
      </c>
      <c r="ES57">
        <v>271</v>
      </c>
      <c r="ET57">
        <v>46</v>
      </c>
      <c r="EU57">
        <v>451</v>
      </c>
      <c r="EV57">
        <v>4883</v>
      </c>
      <c r="EW57">
        <v>5651</v>
      </c>
      <c r="EX57">
        <v>0</v>
      </c>
      <c r="EY57">
        <v>23</v>
      </c>
      <c r="EZ57">
        <v>11</v>
      </c>
      <c r="FA57">
        <v>83</v>
      </c>
      <c r="FB57">
        <v>628</v>
      </c>
      <c r="FC57">
        <v>745</v>
      </c>
      <c r="FD57">
        <v>0.11630252100840337</v>
      </c>
      <c r="FE57">
        <v>0.11673699015471167</v>
      </c>
      <c r="FH57">
        <f t="shared" si="57"/>
        <v>9020</v>
      </c>
      <c r="FX57" s="242"/>
      <c r="FY57" s="242"/>
      <c r="FZ57" s="242"/>
      <c r="GA57" s="242"/>
      <c r="GB57" s="242"/>
      <c r="GC57" s="242"/>
      <c r="GD57" s="242"/>
      <c r="GE57" s="242"/>
      <c r="GF57" s="242"/>
      <c r="GG57" s="242"/>
      <c r="GH57" s="242"/>
    </row>
    <row r="58" spans="42:190" x14ac:dyDescent="0.25">
      <c r="AP58">
        <v>2016</v>
      </c>
      <c r="AQ58" s="47">
        <v>119.62853999999997</v>
      </c>
      <c r="AR58" s="47">
        <v>85.318459999999988</v>
      </c>
      <c r="AS58" s="47">
        <v>204.94699999999995</v>
      </c>
      <c r="AT58" s="596">
        <v>0.11278354978354999</v>
      </c>
      <c r="AU58" s="47">
        <v>128.6</v>
      </c>
      <c r="AV58" s="47">
        <v>102.4</v>
      </c>
      <c r="AW58" s="47">
        <v>231</v>
      </c>
      <c r="AX58" s="47">
        <v>10.431799999999999</v>
      </c>
      <c r="AY58" s="460">
        <v>0.1037616418055043</v>
      </c>
      <c r="AZ58">
        <v>11.3</v>
      </c>
      <c r="BB58">
        <v>2016</v>
      </c>
      <c r="BC58">
        <v>6.6121999999999996</v>
      </c>
      <c r="BD58">
        <v>12.279800000000002</v>
      </c>
      <c r="BE58">
        <v>18.892000000000003</v>
      </c>
      <c r="BF58">
        <v>6.4829999999999997</v>
      </c>
      <c r="BG58">
        <v>0.49299999999999999</v>
      </c>
      <c r="BH58">
        <v>6.976</v>
      </c>
      <c r="BI58">
        <v>13.095199999999998</v>
      </c>
      <c r="BJ58">
        <v>12.772800000000002</v>
      </c>
      <c r="BK58">
        <v>25.868000000000002</v>
      </c>
      <c r="BL58">
        <v>10536.2</v>
      </c>
      <c r="BM58">
        <v>12772.800000000001</v>
      </c>
      <c r="BN58">
        <v>23.309000000000001</v>
      </c>
      <c r="BP58">
        <v>2001</v>
      </c>
      <c r="BQ58">
        <v>150.91200000000001</v>
      </c>
      <c r="BR58">
        <v>17.669999999999998</v>
      </c>
      <c r="BS58">
        <v>429.0779</v>
      </c>
      <c r="BT58">
        <v>0.35171235805899115</v>
      </c>
      <c r="BU58">
        <v>4.1181333273049014E-2</v>
      </c>
      <c r="BV58">
        <v>0.39289369133204016</v>
      </c>
      <c r="BX58">
        <v>2016</v>
      </c>
      <c r="BY58">
        <v>63394</v>
      </c>
      <c r="BZ58">
        <v>2089</v>
      </c>
      <c r="CA58">
        <v>63197.999999999993</v>
      </c>
      <c r="CB58">
        <v>10536.2</v>
      </c>
      <c r="CC58">
        <v>12772.800000000001</v>
      </c>
      <c r="CD58">
        <v>13323.34</v>
      </c>
      <c r="CE58">
        <v>30286</v>
      </c>
      <c r="CF58">
        <v>9347.66</v>
      </c>
      <c r="CG58">
        <v>0</v>
      </c>
      <c r="CH58">
        <v>0</v>
      </c>
      <c r="CI58">
        <v>76717.34</v>
      </c>
      <c r="CJ58">
        <v>32375</v>
      </c>
      <c r="CK58">
        <v>72545.659999999989</v>
      </c>
      <c r="CL58">
        <v>10536.2</v>
      </c>
      <c r="CM58">
        <v>12772.800000000001</v>
      </c>
      <c r="CN58">
        <v>204947</v>
      </c>
      <c r="CO58">
        <v>2016</v>
      </c>
      <c r="CP58">
        <v>119628.54</v>
      </c>
      <c r="CQ58">
        <v>85318.459999999992</v>
      </c>
      <c r="CR58">
        <v>0.11373184286669237</v>
      </c>
      <c r="CS58" t="b">
        <v>1</v>
      </c>
      <c r="CT58" t="b">
        <v>1</v>
      </c>
      <c r="CV58">
        <v>2016</v>
      </c>
      <c r="CW58">
        <v>31.703000000000003</v>
      </c>
      <c r="CX58">
        <v>273.8338</v>
      </c>
      <c r="CY58">
        <v>305.53679999999997</v>
      </c>
      <c r="CZ58">
        <v>0.1037616418055043</v>
      </c>
      <c r="DD58">
        <v>2016</v>
      </c>
      <c r="DE58" s="47">
        <v>63394</v>
      </c>
      <c r="DF58" s="47">
        <v>2089</v>
      </c>
      <c r="DG58" s="47">
        <v>63197.999999999993</v>
      </c>
      <c r="DH58" s="47">
        <v>10536.2</v>
      </c>
      <c r="DI58" s="47">
        <v>12772.800000000001</v>
      </c>
      <c r="DJ58" s="47">
        <v>13323.34</v>
      </c>
      <c r="DK58" s="47">
        <v>30286</v>
      </c>
      <c r="DL58" s="47">
        <v>9347.66</v>
      </c>
      <c r="DM58" s="130" t="s">
        <v>728</v>
      </c>
      <c r="DN58" s="130" t="s">
        <v>728</v>
      </c>
      <c r="DO58" s="47">
        <v>76717.34</v>
      </c>
      <c r="DP58" s="47">
        <v>32375</v>
      </c>
      <c r="DQ58" s="47">
        <v>72545.659999999989</v>
      </c>
      <c r="DR58" s="47">
        <v>10536.2</v>
      </c>
      <c r="DS58" s="47">
        <v>12772.800000000001</v>
      </c>
      <c r="DT58" s="47">
        <v>204947</v>
      </c>
      <c r="DV58" s="47">
        <f t="shared" si="30"/>
        <v>128681</v>
      </c>
      <c r="DW58" s="47">
        <f t="shared" si="27"/>
        <v>52957</v>
      </c>
      <c r="DX58" s="47">
        <f t="shared" si="28"/>
        <v>181638</v>
      </c>
      <c r="DY58" s="242">
        <f t="shared" si="31"/>
        <v>0.29155242845660051</v>
      </c>
      <c r="DZ58" s="276">
        <v>2016</v>
      </c>
      <c r="EA58" s="47">
        <f t="shared" si="29"/>
        <v>23309</v>
      </c>
      <c r="EB58" s="242">
        <v>0.02</v>
      </c>
      <c r="EC58" s="47">
        <f t="shared" si="58"/>
        <v>23784.693877551021</v>
      </c>
      <c r="ED58" s="47">
        <f t="shared" si="59"/>
        <v>475.69387755102071</v>
      </c>
      <c r="EE58" s="242">
        <f t="shared" si="60"/>
        <v>2.0000000000000011E-2</v>
      </c>
      <c r="EF58" s="276">
        <v>2016</v>
      </c>
      <c r="EG58" s="47"/>
      <c r="EH58" s="47"/>
      <c r="EI58" s="47"/>
      <c r="EK58">
        <v>1999</v>
      </c>
      <c r="EL58">
        <v>3</v>
      </c>
      <c r="EM58">
        <v>181</v>
      </c>
      <c r="EN58">
        <v>181</v>
      </c>
      <c r="EO58">
        <v>1609</v>
      </c>
      <c r="EP58">
        <v>5201</v>
      </c>
      <c r="EQ58">
        <v>7175</v>
      </c>
      <c r="ER58">
        <v>3</v>
      </c>
      <c r="ES58">
        <v>661</v>
      </c>
      <c r="ET58">
        <v>201</v>
      </c>
      <c r="EU58">
        <v>5749</v>
      </c>
      <c r="EV58">
        <v>9660</v>
      </c>
      <c r="EW58">
        <v>16274</v>
      </c>
      <c r="EX58">
        <v>0</v>
      </c>
      <c r="EY58">
        <v>11</v>
      </c>
      <c r="EZ58">
        <v>12</v>
      </c>
      <c r="FA58">
        <v>123</v>
      </c>
      <c r="FB58">
        <v>400</v>
      </c>
      <c r="FC58">
        <v>546</v>
      </c>
      <c r="FD58">
        <v>0.23627019089574156</v>
      </c>
      <c r="FE58">
        <v>0.23518164435946462</v>
      </c>
      <c r="FH58">
        <f t="shared" si="57"/>
        <v>22742</v>
      </c>
      <c r="FX58" s="242"/>
      <c r="FY58" s="242"/>
      <c r="FZ58" s="242"/>
      <c r="GA58" s="242"/>
      <c r="GB58" s="242"/>
      <c r="GC58" s="242"/>
      <c r="GD58" s="242"/>
      <c r="GE58" s="242"/>
      <c r="GF58" s="242"/>
      <c r="GG58" s="242"/>
      <c r="GH58" s="242"/>
    </row>
    <row r="59" spans="42:190" x14ac:dyDescent="0.25">
      <c r="AP59">
        <v>2017</v>
      </c>
      <c r="AQ59" s="47">
        <v>151.63704000000001</v>
      </c>
      <c r="AR59" s="47">
        <v>84.018960000000007</v>
      </c>
      <c r="AS59" s="47">
        <v>235.65600000000001</v>
      </c>
      <c r="AT59" s="596">
        <v>0.1562620837808808</v>
      </c>
      <c r="AU59" s="47">
        <v>170.9</v>
      </c>
      <c r="AV59" s="47">
        <v>108.4</v>
      </c>
      <c r="AW59" s="47">
        <v>279.3</v>
      </c>
      <c r="AX59" s="47">
        <v>3.0773000000000001</v>
      </c>
      <c r="AY59" s="460">
        <v>0.15015161460237478</v>
      </c>
      <c r="AZ59">
        <v>5.5</v>
      </c>
      <c r="BB59">
        <v>2017</v>
      </c>
      <c r="BC59">
        <v>6.5761499999999993</v>
      </c>
      <c r="BD59">
        <v>12.21285</v>
      </c>
      <c r="BE59">
        <v>18.788999999999998</v>
      </c>
      <c r="BF59">
        <v>12.379</v>
      </c>
      <c r="BG59">
        <v>1.016</v>
      </c>
      <c r="BH59">
        <v>13.395</v>
      </c>
      <c r="BI59">
        <v>18.95515</v>
      </c>
      <c r="BJ59">
        <v>13.22885</v>
      </c>
      <c r="BK59">
        <v>32.183999999999997</v>
      </c>
      <c r="BL59">
        <v>15914.15</v>
      </c>
      <c r="BM59">
        <v>13228.85</v>
      </c>
      <c r="BN59">
        <v>29.143000000000001</v>
      </c>
      <c r="BP59">
        <v>2002</v>
      </c>
      <c r="BQ59">
        <v>46.762</v>
      </c>
      <c r="BR59">
        <v>2.7570000000000001</v>
      </c>
      <c r="BS59">
        <v>226.86985000000001</v>
      </c>
      <c r="BT59">
        <v>0.20611817744843575</v>
      </c>
      <c r="BU59">
        <v>1.2152341970517457E-2</v>
      </c>
      <c r="BV59">
        <v>0.21827051941895317</v>
      </c>
      <c r="BX59">
        <v>2017</v>
      </c>
      <c r="BY59" s="392">
        <v>76801</v>
      </c>
      <c r="BZ59" s="393">
        <v>721</v>
      </c>
      <c r="CA59" s="394">
        <v>62600</v>
      </c>
      <c r="CB59">
        <v>15914.15</v>
      </c>
      <c r="CC59">
        <v>13228.85</v>
      </c>
      <c r="CD59" s="392">
        <v>21305.89</v>
      </c>
      <c r="CE59" s="393">
        <v>36895</v>
      </c>
      <c r="CF59" s="394">
        <v>8190.1100000000006</v>
      </c>
      <c r="CG59">
        <v>0</v>
      </c>
      <c r="CH59">
        <v>0</v>
      </c>
      <c r="CI59" s="392">
        <v>98106.89</v>
      </c>
      <c r="CJ59" s="393">
        <v>37616</v>
      </c>
      <c r="CK59" s="394">
        <v>70790.11</v>
      </c>
      <c r="CL59">
        <v>15914.15</v>
      </c>
      <c r="CM59">
        <v>13228.85</v>
      </c>
      <c r="CN59">
        <v>235656</v>
      </c>
      <c r="CO59">
        <v>2017</v>
      </c>
      <c r="CP59">
        <v>151637.04</v>
      </c>
      <c r="CQ59">
        <v>84018.96</v>
      </c>
      <c r="CR59">
        <v>0.1236675493091625</v>
      </c>
      <c r="CS59" t="b">
        <v>1</v>
      </c>
      <c r="CT59" t="b">
        <v>1</v>
      </c>
      <c r="CV59">
        <v>2017</v>
      </c>
      <c r="CW59">
        <v>49.572000000000003</v>
      </c>
      <c r="CX59">
        <v>280.57429999999999</v>
      </c>
      <c r="CY59">
        <v>330.1463</v>
      </c>
      <c r="CZ59">
        <v>0.15015161460237478</v>
      </c>
      <c r="DD59">
        <v>2017</v>
      </c>
      <c r="DE59" s="47">
        <v>76801</v>
      </c>
      <c r="DF59" s="47">
        <v>721</v>
      </c>
      <c r="DG59" s="47">
        <v>62600</v>
      </c>
      <c r="DH59" s="47">
        <v>15914.15</v>
      </c>
      <c r="DI59" s="47">
        <v>13228.85</v>
      </c>
      <c r="DJ59" s="47">
        <v>21305.89</v>
      </c>
      <c r="DK59" s="47">
        <v>36895</v>
      </c>
      <c r="DL59" s="47">
        <v>8190.1100000000006</v>
      </c>
      <c r="DM59" s="130" t="s">
        <v>728</v>
      </c>
      <c r="DN59" s="130" t="s">
        <v>728</v>
      </c>
      <c r="DO59" s="47">
        <v>98106.89</v>
      </c>
      <c r="DP59" s="47">
        <v>37616</v>
      </c>
      <c r="DQ59" s="47">
        <v>70790.11</v>
      </c>
      <c r="DR59" s="47">
        <v>15914.15</v>
      </c>
      <c r="DS59" s="47">
        <v>13228.85</v>
      </c>
      <c r="DT59" s="47">
        <v>235656</v>
      </c>
      <c r="DV59" s="47">
        <f t="shared" si="30"/>
        <v>140122</v>
      </c>
      <c r="DW59" s="47">
        <f t="shared" si="27"/>
        <v>66391</v>
      </c>
      <c r="DX59" s="47">
        <f t="shared" si="28"/>
        <v>206513</v>
      </c>
      <c r="DY59" s="242">
        <f t="shared" si="31"/>
        <v>0.32148581445235891</v>
      </c>
      <c r="DZ59" s="276">
        <v>2017</v>
      </c>
      <c r="EA59" s="47">
        <f t="shared" si="29"/>
        <v>29143</v>
      </c>
      <c r="EB59" s="242">
        <v>0.04</v>
      </c>
      <c r="EC59" s="47">
        <f t="shared" si="58"/>
        <v>30357.291666666668</v>
      </c>
      <c r="ED59" s="47">
        <f t="shared" si="59"/>
        <v>1214.2916666666679</v>
      </c>
      <c r="EE59" s="242">
        <f t="shared" si="60"/>
        <v>4.0000000000000036E-2</v>
      </c>
      <c r="EF59" s="276">
        <v>2017</v>
      </c>
      <c r="EG59" s="47"/>
      <c r="EH59" s="47"/>
      <c r="EI59" s="47"/>
      <c r="EK59">
        <v>2000</v>
      </c>
      <c r="EL59">
        <v>0</v>
      </c>
      <c r="EM59">
        <v>398</v>
      </c>
      <c r="EN59">
        <v>81</v>
      </c>
      <c r="EO59">
        <v>1416</v>
      </c>
      <c r="EP59">
        <v>3486</v>
      </c>
      <c r="EQ59">
        <v>5381</v>
      </c>
      <c r="ER59">
        <v>2</v>
      </c>
      <c r="ES59">
        <v>1924</v>
      </c>
      <c r="ET59">
        <v>114</v>
      </c>
      <c r="EU59">
        <v>4874</v>
      </c>
      <c r="EV59">
        <v>6473</v>
      </c>
      <c r="EW59">
        <v>13387</v>
      </c>
      <c r="EX59">
        <v>1</v>
      </c>
      <c r="EY59">
        <v>445</v>
      </c>
      <c r="EZ59">
        <v>91</v>
      </c>
      <c r="FA59">
        <v>1590</v>
      </c>
      <c r="FB59">
        <v>3916</v>
      </c>
      <c r="FC59">
        <v>6043</v>
      </c>
      <c r="FD59">
        <v>0.28886168910648713</v>
      </c>
      <c r="FE59">
        <v>0.28877588085724665</v>
      </c>
      <c r="FH59">
        <f t="shared" si="57"/>
        <v>21755</v>
      </c>
      <c r="FX59" s="242"/>
      <c r="FY59" s="242"/>
      <c r="FZ59" s="242"/>
      <c r="GA59" s="242"/>
      <c r="GB59" s="242"/>
      <c r="GC59" s="242"/>
      <c r="GD59" s="242"/>
      <c r="GE59" s="242"/>
      <c r="GF59" s="242"/>
      <c r="GG59" s="242"/>
      <c r="GH59" s="242"/>
    </row>
    <row r="60" spans="42:190" ht="15.75" thickBot="1" x14ac:dyDescent="0.3">
      <c r="BP60">
        <v>2003</v>
      </c>
      <c r="BQ60">
        <v>72.545000000000002</v>
      </c>
      <c r="BR60">
        <v>7.47</v>
      </c>
      <c r="BS60">
        <v>203.02659999999997</v>
      </c>
      <c r="BT60">
        <v>0.35731771107825283</v>
      </c>
      <c r="BU60">
        <v>3.6793208377621456E-2</v>
      </c>
      <c r="BV60">
        <v>0.39411091945587429</v>
      </c>
      <c r="CD60" s="392">
        <f>CD59+BY59</f>
        <v>98106.89</v>
      </c>
      <c r="CE60" s="393">
        <f>CE59+BZ59</f>
        <v>37616</v>
      </c>
      <c r="CF60" s="394">
        <f>CF59+CA59</f>
        <v>70790.11</v>
      </c>
      <c r="CK60">
        <f>SUM(CI59:CK59)</f>
        <v>206513</v>
      </c>
      <c r="CM60">
        <f>SUM(CL59:CM59)</f>
        <v>29143</v>
      </c>
      <c r="CN60">
        <f>SUM(CI59:CM59)</f>
        <v>235656</v>
      </c>
      <c r="DW60" s="47"/>
      <c r="DX60" s="47"/>
      <c r="DY60" s="242"/>
      <c r="DZ60" s="276"/>
      <c r="EA60" s="47"/>
      <c r="EB60" s="242"/>
      <c r="EC60" s="47"/>
      <c r="ED60" s="47"/>
      <c r="EE60" s="242"/>
      <c r="EF60" s="276"/>
      <c r="EK60">
        <v>2001</v>
      </c>
      <c r="EL60">
        <v>10</v>
      </c>
      <c r="EM60">
        <v>331</v>
      </c>
      <c r="EN60">
        <v>145</v>
      </c>
      <c r="EO60">
        <v>2541</v>
      </c>
      <c r="EP60">
        <v>7121</v>
      </c>
      <c r="EQ60">
        <v>10148</v>
      </c>
      <c r="ER60">
        <v>14</v>
      </c>
      <c r="ES60">
        <v>1369</v>
      </c>
      <c r="ET60">
        <v>205</v>
      </c>
      <c r="EU60">
        <v>9093</v>
      </c>
      <c r="EV60">
        <v>13225</v>
      </c>
      <c r="EW60">
        <v>23906</v>
      </c>
      <c r="EX60">
        <v>10</v>
      </c>
      <c r="EY60">
        <v>345</v>
      </c>
      <c r="EZ60">
        <v>152</v>
      </c>
      <c r="FA60">
        <v>2637</v>
      </c>
      <c r="FB60">
        <v>7394</v>
      </c>
      <c r="FC60">
        <v>10538</v>
      </c>
      <c r="FD60">
        <v>0.26298902918650385</v>
      </c>
      <c r="FE60">
        <v>0.26288505632539128</v>
      </c>
      <c r="FH60">
        <f t="shared" si="57"/>
        <v>42011</v>
      </c>
      <c r="FX60" s="242"/>
      <c r="FY60" s="242"/>
      <c r="FZ60" s="242"/>
      <c r="GA60" s="242"/>
      <c r="GB60" s="242"/>
      <c r="GC60" s="242"/>
      <c r="GD60" s="242"/>
      <c r="GE60" s="242"/>
      <c r="GF60" s="242"/>
      <c r="GG60" s="242"/>
      <c r="GH60" s="242"/>
    </row>
    <row r="61" spans="42:190" ht="15.75" x14ac:dyDescent="0.25">
      <c r="BP61">
        <v>2004</v>
      </c>
      <c r="BQ61">
        <v>49.984999999999999</v>
      </c>
      <c r="BR61">
        <v>2.4269699999999998</v>
      </c>
      <c r="BS61">
        <v>161.23302000000001</v>
      </c>
      <c r="BT61">
        <v>0.31001714165001681</v>
      </c>
      <c r="BU61">
        <v>1.5052561813951012E-2</v>
      </c>
      <c r="BV61">
        <v>0.3250697034639678</v>
      </c>
      <c r="CH61" s="710" t="s">
        <v>460</v>
      </c>
      <c r="CI61" s="711"/>
      <c r="CJ61" s="711"/>
      <c r="CK61" s="711"/>
      <c r="CL61" s="711"/>
      <c r="CM61" s="711"/>
      <c r="CN61" s="711"/>
      <c r="CO61" s="711"/>
      <c r="CP61" s="711"/>
      <c r="CQ61" s="711"/>
      <c r="CR61" s="401"/>
      <c r="DD61" s="407" t="s">
        <v>729</v>
      </c>
      <c r="DV61" s="47">
        <f>AVERAGE(DV50:DV59)</f>
        <v>268626.78590102709</v>
      </c>
      <c r="DW61" s="47">
        <f>AVERAGE(DW50:DW59)</f>
        <v>115933.5</v>
      </c>
      <c r="DX61" s="47">
        <f>AVERAGE(DX50:DX59)</f>
        <v>384560.28590102709</v>
      </c>
      <c r="DY61" s="242">
        <f>AVERAGE(DY50:DY59)</f>
        <v>0.29954968748761257</v>
      </c>
      <c r="DZ61" s="276" t="s">
        <v>732</v>
      </c>
      <c r="EA61" s="47"/>
      <c r="EB61" s="242"/>
      <c r="EC61" s="47">
        <f>AVERAGE(EC50:EC59)</f>
        <v>33455.865192080098</v>
      </c>
      <c r="ED61" s="47">
        <f>AVERAGE(ED50:ED59)</f>
        <v>1881.3783271127363</v>
      </c>
      <c r="EE61" s="242">
        <f>AVERAGE(EE50:EE59)</f>
        <v>5.4000000000000027E-2</v>
      </c>
      <c r="EF61" s="276" t="s">
        <v>732</v>
      </c>
      <c r="EG61" s="47"/>
      <c r="EH61" s="47"/>
      <c r="EI61" s="47"/>
      <c r="EK61">
        <v>2002</v>
      </c>
      <c r="EL61">
        <v>3</v>
      </c>
      <c r="EM61">
        <v>568</v>
      </c>
      <c r="EN61">
        <v>300</v>
      </c>
      <c r="EO61">
        <v>1850</v>
      </c>
      <c r="EP61">
        <v>12411</v>
      </c>
      <c r="EQ61">
        <v>15132</v>
      </c>
      <c r="ER61">
        <v>34</v>
      </c>
      <c r="ES61">
        <v>2435</v>
      </c>
      <c r="ET61">
        <v>408</v>
      </c>
      <c r="EU61">
        <v>11959</v>
      </c>
      <c r="EV61">
        <v>23050</v>
      </c>
      <c r="EW61">
        <v>37886</v>
      </c>
      <c r="EX61">
        <v>1</v>
      </c>
      <c r="EY61">
        <v>102</v>
      </c>
      <c r="EZ61">
        <v>55</v>
      </c>
      <c r="FA61">
        <v>337</v>
      </c>
      <c r="FB61">
        <v>2261</v>
      </c>
      <c r="FC61">
        <v>2756</v>
      </c>
      <c r="FD61">
        <v>0.12972442325222636</v>
      </c>
      <c r="FE61">
        <v>0.12971516551193227</v>
      </c>
      <c r="FH61">
        <f t="shared" si="57"/>
        <v>51868</v>
      </c>
      <c r="FX61" s="242"/>
      <c r="FY61" s="242"/>
      <c r="FZ61" s="242"/>
      <c r="GA61" s="242"/>
      <c r="GB61" s="242"/>
      <c r="GC61" s="242"/>
      <c r="GD61" s="242"/>
      <c r="GE61" s="242"/>
      <c r="GF61" s="242"/>
      <c r="GG61" s="242"/>
      <c r="GH61" s="242"/>
    </row>
    <row r="62" spans="42:190" x14ac:dyDescent="0.25">
      <c r="BP62">
        <v>2005</v>
      </c>
      <c r="BQ62">
        <v>15.943</v>
      </c>
      <c r="BR62">
        <v>1.17014</v>
      </c>
      <c r="BS62">
        <v>103.04658389316965</v>
      </c>
      <c r="BT62">
        <v>0.15471643404043758</v>
      </c>
      <c r="BU62">
        <v>1.1355446787184195E-2</v>
      </c>
      <c r="BV62">
        <v>0.16607188082762178</v>
      </c>
      <c r="CH62" s="273"/>
      <c r="CI62" s="2"/>
      <c r="CJ62" s="2"/>
      <c r="CK62" s="274" t="s">
        <v>44</v>
      </c>
      <c r="CL62" s="2"/>
      <c r="CM62" s="274" t="s">
        <v>423</v>
      </c>
      <c r="CN62" s="274" t="s">
        <v>10</v>
      </c>
      <c r="CO62" s="2"/>
      <c r="CP62" s="2"/>
      <c r="CQ62" s="2"/>
      <c r="CR62" s="267"/>
      <c r="DZ62" s="2" t="s">
        <v>733</v>
      </c>
      <c r="EF62" s="2" t="s">
        <v>733</v>
      </c>
      <c r="EK62">
        <v>2003</v>
      </c>
      <c r="EL62">
        <v>7</v>
      </c>
      <c r="EM62">
        <v>647</v>
      </c>
      <c r="EN62">
        <v>585</v>
      </c>
      <c r="EO62">
        <v>2701</v>
      </c>
      <c r="EP62">
        <v>11846</v>
      </c>
      <c r="EQ62">
        <v>15786</v>
      </c>
      <c r="ER62">
        <v>31</v>
      </c>
      <c r="ES62">
        <v>3410</v>
      </c>
      <c r="ET62">
        <v>981</v>
      </c>
      <c r="EU62">
        <v>20791</v>
      </c>
      <c r="EV62">
        <v>21955</v>
      </c>
      <c r="EW62">
        <v>47168</v>
      </c>
      <c r="EX62">
        <v>2</v>
      </c>
      <c r="EY62">
        <v>263</v>
      </c>
      <c r="EZ62">
        <v>240</v>
      </c>
      <c r="FA62">
        <v>1100</v>
      </c>
      <c r="FB62">
        <v>4825</v>
      </c>
      <c r="FC62">
        <v>6430</v>
      </c>
      <c r="FD62">
        <v>0.18567402213514814</v>
      </c>
      <c r="FE62">
        <v>0.18565400843881857</v>
      </c>
      <c r="FH62">
        <f t="shared" si="57"/>
        <v>63218</v>
      </c>
      <c r="FX62" s="242"/>
      <c r="FY62" s="242"/>
      <c r="FZ62" s="242"/>
      <c r="GA62" s="242"/>
      <c r="GB62" s="242"/>
      <c r="GC62" s="242"/>
      <c r="GD62" s="242"/>
      <c r="GE62" s="242"/>
      <c r="GF62" s="242"/>
      <c r="GG62" s="242"/>
      <c r="GH62" s="242"/>
    </row>
    <row r="63" spans="42:190" ht="15.75" x14ac:dyDescent="0.25">
      <c r="BP63">
        <v>2006</v>
      </c>
      <c r="BQ63">
        <v>17.963999999999999</v>
      </c>
      <c r="BR63">
        <v>1.0765400000000001</v>
      </c>
      <c r="BS63">
        <v>165.93070376327765</v>
      </c>
      <c r="BT63">
        <v>0.10826206116517199</v>
      </c>
      <c r="BU63">
        <v>6.4878890740789506E-3</v>
      </c>
      <c r="BV63">
        <v>0.11474995023925094</v>
      </c>
      <c r="CH63" s="266" t="s">
        <v>454</v>
      </c>
      <c r="CK63">
        <f>SUM(CI59:CK59)</f>
        <v>206513</v>
      </c>
      <c r="CM63">
        <f>SUM(CL59:CM59)</f>
        <v>29143</v>
      </c>
      <c r="CN63">
        <f>SUM(CK63:CM63)</f>
        <v>235656</v>
      </c>
      <c r="CO63" t="s">
        <v>458</v>
      </c>
      <c r="CR63" s="267"/>
      <c r="DW63" s="407" t="s">
        <v>731</v>
      </c>
      <c r="EK63">
        <v>2004</v>
      </c>
      <c r="EL63">
        <v>2</v>
      </c>
      <c r="EM63">
        <v>488</v>
      </c>
      <c r="EN63">
        <v>317</v>
      </c>
      <c r="EO63">
        <v>899</v>
      </c>
      <c r="EP63">
        <v>6809</v>
      </c>
      <c r="EQ63">
        <v>8515</v>
      </c>
      <c r="ER63">
        <v>18</v>
      </c>
      <c r="ES63">
        <v>1787</v>
      </c>
      <c r="ET63">
        <v>473</v>
      </c>
      <c r="EU63">
        <v>6326</v>
      </c>
      <c r="EV63">
        <v>12669</v>
      </c>
      <c r="EW63">
        <v>21273</v>
      </c>
      <c r="EX63">
        <v>1</v>
      </c>
      <c r="EY63">
        <v>327</v>
      </c>
      <c r="EZ63">
        <v>211</v>
      </c>
      <c r="FA63">
        <v>600</v>
      </c>
      <c r="FB63">
        <v>4540</v>
      </c>
      <c r="FC63">
        <v>5679</v>
      </c>
      <c r="FD63">
        <v>0.11663207057602491</v>
      </c>
      <c r="FE63">
        <v>0.11673151750972763</v>
      </c>
      <c r="FH63">
        <f t="shared" si="57"/>
        <v>31843</v>
      </c>
      <c r="FX63" s="242"/>
      <c r="FY63" s="242"/>
      <c r="FZ63" s="242"/>
      <c r="GA63" s="242"/>
      <c r="GB63" s="242"/>
      <c r="GC63" s="242"/>
      <c r="GD63" s="242"/>
      <c r="GE63" s="242"/>
      <c r="GF63" s="242"/>
      <c r="GG63" s="242"/>
      <c r="GH63" s="242"/>
    </row>
    <row r="64" spans="42:190" x14ac:dyDescent="0.25">
      <c r="BP64">
        <v>2007</v>
      </c>
      <c r="BQ64">
        <v>22.283000000000001</v>
      </c>
      <c r="BR64">
        <v>1.42103</v>
      </c>
      <c r="BS64">
        <v>128.37860894849746</v>
      </c>
      <c r="BT64">
        <v>0.1735725303655489</v>
      </c>
      <c r="BU64">
        <v>1.1069055909229275E-2</v>
      </c>
      <c r="BV64">
        <v>0.18464158627477817</v>
      </c>
      <c r="CH64" s="266" t="s">
        <v>447</v>
      </c>
      <c r="CK64" s="242">
        <v>0.15</v>
      </c>
      <c r="CL64" s="268"/>
      <c r="CM64" s="242"/>
      <c r="CO64" t="s">
        <v>471</v>
      </c>
      <c r="CR64" s="267"/>
      <c r="EK64">
        <v>2005</v>
      </c>
      <c r="EL64">
        <v>5</v>
      </c>
      <c r="EM64">
        <v>157</v>
      </c>
      <c r="EN64">
        <v>51</v>
      </c>
      <c r="EO64">
        <v>198</v>
      </c>
      <c r="EP64">
        <v>4570</v>
      </c>
      <c r="EQ64">
        <v>4981</v>
      </c>
      <c r="ER64">
        <v>21</v>
      </c>
      <c r="ES64">
        <v>895</v>
      </c>
      <c r="ET64">
        <v>106</v>
      </c>
      <c r="EU64">
        <v>3350</v>
      </c>
      <c r="EV64">
        <v>11856</v>
      </c>
      <c r="EW64">
        <v>16228</v>
      </c>
      <c r="EX64">
        <v>3</v>
      </c>
      <c r="EY64">
        <v>107</v>
      </c>
      <c r="EZ64">
        <v>35</v>
      </c>
      <c r="FA64">
        <v>133</v>
      </c>
      <c r="FB64">
        <v>3076</v>
      </c>
      <c r="FC64">
        <v>3354</v>
      </c>
      <c r="FD64">
        <v>4.1526845637583895E-2</v>
      </c>
      <c r="FE64">
        <v>4.1445933312558428E-2</v>
      </c>
      <c r="FH64">
        <f t="shared" si="57"/>
        <v>23183</v>
      </c>
      <c r="FX64" s="242"/>
      <c r="FY64" s="242"/>
      <c r="FZ64" s="242"/>
      <c r="GA64" s="242"/>
      <c r="GB64" s="242"/>
      <c r="GC64" s="242"/>
      <c r="GD64" s="242"/>
      <c r="GE64" s="242"/>
      <c r="GF64" s="242"/>
      <c r="GG64" s="242"/>
      <c r="GH64" s="242"/>
    </row>
    <row r="65" spans="2:190" x14ac:dyDescent="0.25">
      <c r="BP65">
        <v>2008</v>
      </c>
      <c r="BQ65">
        <v>8.6925000000000008</v>
      </c>
      <c r="BR65">
        <v>2.0714899999999998</v>
      </c>
      <c r="BS65">
        <v>200.91580462228788</v>
      </c>
      <c r="BT65">
        <v>4.3264391352096393E-2</v>
      </c>
      <c r="BU65">
        <v>1.0310239176526218E-2</v>
      </c>
      <c r="BV65">
        <v>5.3574630528622609E-2</v>
      </c>
      <c r="CH65" s="266" t="s">
        <v>447</v>
      </c>
      <c r="CK65" s="242"/>
      <c r="CL65" s="268"/>
      <c r="CM65" s="242">
        <v>7.0000000000000007E-2</v>
      </c>
      <c r="CO65" t="s">
        <v>449</v>
      </c>
      <c r="CR65" s="267"/>
      <c r="EK65">
        <v>2006</v>
      </c>
      <c r="EL65">
        <v>7</v>
      </c>
      <c r="EM65">
        <v>334</v>
      </c>
      <c r="EN65">
        <v>162</v>
      </c>
      <c r="EO65">
        <v>714</v>
      </c>
      <c r="EP65">
        <v>7179</v>
      </c>
      <c r="EQ65">
        <v>8396</v>
      </c>
      <c r="ER65">
        <v>20</v>
      </c>
      <c r="ES65">
        <v>910</v>
      </c>
      <c r="ET65">
        <v>153</v>
      </c>
      <c r="EU65">
        <v>840</v>
      </c>
      <c r="EV65">
        <v>11887</v>
      </c>
      <c r="EW65">
        <v>13810</v>
      </c>
      <c r="EX65">
        <v>7</v>
      </c>
      <c r="EY65">
        <v>301</v>
      </c>
      <c r="EZ65">
        <v>148</v>
      </c>
      <c r="FA65">
        <v>644</v>
      </c>
      <c r="FB65">
        <v>6481</v>
      </c>
      <c r="FC65">
        <v>7581</v>
      </c>
      <c r="FD65">
        <v>9.0459901178259222E-2</v>
      </c>
      <c r="FE65">
        <v>9.0385964912280709E-2</v>
      </c>
      <c r="FH65">
        <f t="shared" si="57"/>
        <v>27745</v>
      </c>
      <c r="FX65" s="242"/>
      <c r="FY65" s="242"/>
      <c r="FZ65" s="242"/>
      <c r="GA65" s="242"/>
      <c r="GB65" s="242"/>
      <c r="GC65" s="242"/>
      <c r="GD65" s="242"/>
      <c r="GE65" s="242"/>
      <c r="GF65" s="242"/>
      <c r="GG65" s="242"/>
      <c r="GH65" s="242"/>
    </row>
    <row r="66" spans="2:190" x14ac:dyDescent="0.25">
      <c r="BP66">
        <v>2009</v>
      </c>
      <c r="BQ66">
        <v>23.081</v>
      </c>
      <c r="BR66">
        <v>8.0973799999999994</v>
      </c>
      <c r="BS66">
        <v>270.40037999999998</v>
      </c>
      <c r="BT66">
        <v>8.5358607854027421E-2</v>
      </c>
      <c r="BU66">
        <v>2.9945889868941752E-2</v>
      </c>
      <c r="BV66">
        <v>0.11530449772296918</v>
      </c>
      <c r="CH66" s="266" t="s">
        <v>396</v>
      </c>
      <c r="CK66" s="219">
        <f>CK63/(1-0.150152)</f>
        <v>242999.9246924156</v>
      </c>
      <c r="CM66" s="219">
        <f>CM63/0.93</f>
        <v>31336.559139784946</v>
      </c>
      <c r="CN66" s="219">
        <f>SUM(CK66:CM66)</f>
        <v>274336.48383220052</v>
      </c>
      <c r="CO66" t="s">
        <v>451</v>
      </c>
      <c r="CR66" s="267"/>
      <c r="EK66">
        <v>2007</v>
      </c>
      <c r="EL66">
        <v>5</v>
      </c>
      <c r="EM66">
        <v>317</v>
      </c>
      <c r="EN66">
        <v>233</v>
      </c>
      <c r="EO66">
        <v>398</v>
      </c>
      <c r="EP66">
        <v>4672</v>
      </c>
      <c r="EQ66">
        <v>5625</v>
      </c>
      <c r="ER66">
        <v>19</v>
      </c>
      <c r="ES66">
        <v>915</v>
      </c>
      <c r="ET66">
        <v>210</v>
      </c>
      <c r="EU66">
        <v>810</v>
      </c>
      <c r="EV66">
        <v>7455</v>
      </c>
      <c r="EW66">
        <v>9409</v>
      </c>
      <c r="EX66">
        <v>5</v>
      </c>
      <c r="EY66">
        <v>306</v>
      </c>
      <c r="EZ66">
        <v>227</v>
      </c>
      <c r="FA66">
        <v>383</v>
      </c>
      <c r="FB66">
        <v>4544</v>
      </c>
      <c r="FC66">
        <v>5465</v>
      </c>
      <c r="FD66">
        <v>7.850098619329389E-2</v>
      </c>
      <c r="FE66">
        <v>7.7734929977674047E-2</v>
      </c>
      <c r="FH66">
        <f t="shared" si="57"/>
        <v>18262</v>
      </c>
      <c r="FX66" s="242"/>
      <c r="FY66" s="242"/>
      <c r="FZ66" s="242"/>
      <c r="GA66" s="242"/>
      <c r="GB66" s="242"/>
      <c r="GC66" s="242"/>
      <c r="GD66" s="242"/>
      <c r="GE66" s="242"/>
      <c r="GF66" s="242"/>
      <c r="GG66" s="242"/>
      <c r="GH66" s="242"/>
    </row>
    <row r="67" spans="2:190" ht="15.75" thickBot="1" x14ac:dyDescent="0.3">
      <c r="J67" t="s">
        <v>204</v>
      </c>
      <c r="BP67">
        <v>2010</v>
      </c>
      <c r="BQ67">
        <v>15.904999999999999</v>
      </c>
      <c r="BR67">
        <v>1.9464000000000001</v>
      </c>
      <c r="BS67">
        <v>221.59420000000003</v>
      </c>
      <c r="BT67">
        <v>7.1775344300527705E-2</v>
      </c>
      <c r="BU67">
        <v>8.7836233980853277E-3</v>
      </c>
      <c r="BV67">
        <v>8.0558967698613038E-2</v>
      </c>
      <c r="CH67" s="269" t="s">
        <v>448</v>
      </c>
      <c r="CI67" s="270"/>
      <c r="CJ67" s="270"/>
      <c r="CK67" s="271">
        <f>CK66-CK63</f>
        <v>36486.924692415603</v>
      </c>
      <c r="CL67" s="270"/>
      <c r="CM67" s="271">
        <f>CM66-CM63</f>
        <v>2193.5591397849457</v>
      </c>
      <c r="CN67" s="271">
        <f>SUM(CK67:CM67)</f>
        <v>38680.483832200553</v>
      </c>
      <c r="CO67" s="270" t="s">
        <v>450</v>
      </c>
      <c r="CP67" s="270"/>
      <c r="CQ67" s="270"/>
      <c r="CR67" s="272"/>
      <c r="EK67">
        <v>2008</v>
      </c>
      <c r="EL67">
        <v>1</v>
      </c>
      <c r="EM67">
        <v>202</v>
      </c>
      <c r="EN67">
        <v>42</v>
      </c>
      <c r="EO67">
        <v>47</v>
      </c>
      <c r="EP67">
        <v>8749</v>
      </c>
      <c r="EQ67">
        <v>9041</v>
      </c>
      <c r="ER67">
        <v>23</v>
      </c>
      <c r="ES67">
        <v>590</v>
      </c>
      <c r="ET67">
        <v>41</v>
      </c>
      <c r="EU67">
        <v>30</v>
      </c>
      <c r="EV67">
        <v>17021</v>
      </c>
      <c r="EW67">
        <v>17705</v>
      </c>
      <c r="EX67">
        <v>0</v>
      </c>
      <c r="EY67">
        <v>43</v>
      </c>
      <c r="EZ67">
        <v>10</v>
      </c>
      <c r="FA67">
        <v>10</v>
      </c>
      <c r="FB67">
        <v>1891</v>
      </c>
      <c r="FC67">
        <v>1954</v>
      </c>
      <c r="FD67">
        <v>5.3433378808549342E-3</v>
      </c>
      <c r="FE67">
        <v>5.2603892688058915E-3</v>
      </c>
      <c r="FH67">
        <f t="shared" si="57"/>
        <v>27748</v>
      </c>
      <c r="FX67" s="242"/>
      <c r="FY67" s="242"/>
      <c r="FZ67" s="242"/>
      <c r="GA67" s="242"/>
      <c r="GB67" s="242"/>
      <c r="GC67" s="242"/>
      <c r="GD67" s="242"/>
      <c r="GE67" s="242"/>
      <c r="GF67" s="242"/>
      <c r="GG67" s="242"/>
      <c r="GH67" s="242"/>
    </row>
    <row r="68" spans="2:190" ht="15.75" thickBot="1" x14ac:dyDescent="0.3">
      <c r="J68" s="169" t="s">
        <v>180</v>
      </c>
      <c r="K68" s="169" t="s">
        <v>200</v>
      </c>
      <c r="L68" s="169" t="s">
        <v>175</v>
      </c>
      <c r="BP68">
        <v>2011</v>
      </c>
      <c r="BQ68">
        <v>7.2930000000000001</v>
      </c>
      <c r="BR68">
        <v>1.75082</v>
      </c>
      <c r="BS68">
        <v>124.93762000000001</v>
      </c>
      <c r="BT68">
        <v>5.8373130527058219E-2</v>
      </c>
      <c r="BU68">
        <v>1.4013553323650634E-2</v>
      </c>
      <c r="BV68">
        <v>7.2386683850708858E-2</v>
      </c>
      <c r="EK68">
        <v>2009</v>
      </c>
      <c r="EL68">
        <v>6</v>
      </c>
      <c r="EM68">
        <v>550</v>
      </c>
      <c r="EN68">
        <v>280</v>
      </c>
      <c r="EO68">
        <v>174</v>
      </c>
      <c r="EP68">
        <v>6950</v>
      </c>
      <c r="EQ68">
        <v>7960</v>
      </c>
      <c r="ER68">
        <v>19</v>
      </c>
      <c r="ES68">
        <v>1793</v>
      </c>
      <c r="ET68">
        <v>297</v>
      </c>
      <c r="EU68">
        <v>197</v>
      </c>
      <c r="EV68">
        <v>9356</v>
      </c>
      <c r="EW68">
        <v>11662</v>
      </c>
      <c r="EX68">
        <v>5</v>
      </c>
      <c r="EY68">
        <v>406</v>
      </c>
      <c r="EZ68">
        <v>207</v>
      </c>
      <c r="FA68">
        <v>129</v>
      </c>
      <c r="FB68">
        <v>17269</v>
      </c>
      <c r="FC68">
        <v>18016</v>
      </c>
      <c r="FD68">
        <v>2.4424480628860192E-2</v>
      </c>
      <c r="FE68">
        <v>7.4146453615358083E-3</v>
      </c>
      <c r="FH68">
        <f t="shared" si="57"/>
        <v>34075</v>
      </c>
      <c r="FX68" s="242"/>
      <c r="FY68" s="242"/>
      <c r="FZ68" s="242"/>
      <c r="GA68" s="242"/>
      <c r="GB68" s="242"/>
      <c r="GC68" s="242"/>
      <c r="GD68" s="242"/>
      <c r="GE68" s="242"/>
      <c r="GF68" s="242"/>
      <c r="GG68" s="242"/>
      <c r="GH68" s="242"/>
    </row>
    <row r="69" spans="2:190" ht="15.75" thickBot="1" x14ac:dyDescent="0.3">
      <c r="B69" t="s">
        <v>360</v>
      </c>
      <c r="BP69">
        <v>2012</v>
      </c>
      <c r="BQ69">
        <v>1.792</v>
      </c>
      <c r="BR69">
        <v>1.3568</v>
      </c>
      <c r="BS69">
        <v>49.530149999999999</v>
      </c>
      <c r="BT69">
        <v>3.6179983303099225E-2</v>
      </c>
      <c r="BU69">
        <v>2.7393415929489413E-2</v>
      </c>
      <c r="BV69">
        <v>6.3573399232588632E-2</v>
      </c>
      <c r="CH69" s="712" t="s">
        <v>461</v>
      </c>
      <c r="CI69" s="713"/>
      <c r="CJ69" s="713"/>
      <c r="CK69" s="713"/>
      <c r="CL69" s="713"/>
      <c r="CM69" s="713"/>
      <c r="CN69" s="713"/>
      <c r="CO69" s="713"/>
      <c r="CP69" s="713"/>
      <c r="CQ69" s="402"/>
      <c r="CS69" s="712" t="s">
        <v>469</v>
      </c>
      <c r="CT69" s="713"/>
      <c r="CU69" s="713"/>
      <c r="CV69" s="713"/>
      <c r="CW69" s="713"/>
      <c r="CX69" s="713"/>
      <c r="CY69" s="713"/>
      <c r="CZ69" s="713"/>
      <c r="DA69" s="714"/>
      <c r="DB69" s="2"/>
      <c r="DC69" s="2"/>
      <c r="DU69" s="2"/>
      <c r="DV69" s="2"/>
      <c r="EG69" s="2"/>
      <c r="EH69" s="2"/>
      <c r="EI69" s="2"/>
      <c r="EK69">
        <v>2010</v>
      </c>
      <c r="EL69">
        <v>1</v>
      </c>
      <c r="EM69">
        <v>233</v>
      </c>
      <c r="EN69">
        <v>116</v>
      </c>
      <c r="EO69">
        <v>222</v>
      </c>
      <c r="EP69">
        <v>9052</v>
      </c>
      <c r="EQ69">
        <v>9624</v>
      </c>
      <c r="ER69">
        <v>11</v>
      </c>
      <c r="ES69">
        <v>798</v>
      </c>
      <c r="ET69">
        <v>127</v>
      </c>
      <c r="EU69">
        <v>1419</v>
      </c>
      <c r="EV69">
        <v>15600</v>
      </c>
      <c r="EW69">
        <v>17955</v>
      </c>
      <c r="EX69">
        <v>5</v>
      </c>
      <c r="EY69">
        <v>623</v>
      </c>
      <c r="EZ69">
        <v>305</v>
      </c>
      <c r="FA69">
        <v>2348</v>
      </c>
      <c r="FB69">
        <v>22302</v>
      </c>
      <c r="FC69">
        <v>25583</v>
      </c>
      <c r="FD69">
        <v>2.3937890877722665E-2</v>
      </c>
      <c r="FE69">
        <v>9.5253549695740361E-2</v>
      </c>
      <c r="FH69">
        <f t="shared" si="57"/>
        <v>50943</v>
      </c>
      <c r="FX69" s="242"/>
      <c r="FY69" s="242"/>
      <c r="FZ69" s="242"/>
      <c r="GA69" s="242"/>
      <c r="GB69" s="242"/>
      <c r="GC69" s="242"/>
      <c r="GD69" s="242"/>
      <c r="GE69" s="242"/>
      <c r="GF69" s="242"/>
      <c r="GG69" s="242"/>
      <c r="GH69" s="242"/>
    </row>
    <row r="70" spans="2:190" x14ac:dyDescent="0.25">
      <c r="BP70">
        <v>2013</v>
      </c>
      <c r="BQ70">
        <v>6.1219999999999999</v>
      </c>
      <c r="BR70">
        <v>1.3383500000000002</v>
      </c>
      <c r="BS70">
        <v>94.865726470588243</v>
      </c>
      <c r="BT70">
        <v>6.4533317013052524E-2</v>
      </c>
      <c r="BU70">
        <v>1.4107834829209224E-2</v>
      </c>
      <c r="BV70">
        <v>7.8641151842261753E-2</v>
      </c>
      <c r="CH70" s="266" t="s">
        <v>396</v>
      </c>
      <c r="CK70" s="219">
        <f>CM66</f>
        <v>31336.559139784946</v>
      </c>
      <c r="CM70" t="s">
        <v>459</v>
      </c>
      <c r="CQ70" s="267"/>
      <c r="CS70" s="266" t="s">
        <v>454</v>
      </c>
      <c r="CV70">
        <f>CK63</f>
        <v>206513</v>
      </c>
      <c r="CX70" t="s">
        <v>459</v>
      </c>
      <c r="DA70" s="267"/>
      <c r="EK70">
        <v>2011</v>
      </c>
      <c r="EL70">
        <v>5</v>
      </c>
      <c r="EM70">
        <v>175</v>
      </c>
      <c r="EN70">
        <v>59</v>
      </c>
      <c r="EO70">
        <v>249</v>
      </c>
      <c r="EP70">
        <v>4831</v>
      </c>
      <c r="EQ70">
        <v>5319</v>
      </c>
      <c r="ER70">
        <v>27</v>
      </c>
      <c r="ES70">
        <v>987</v>
      </c>
      <c r="ET70">
        <v>129</v>
      </c>
      <c r="EU70">
        <v>971</v>
      </c>
      <c r="EV70">
        <v>14284</v>
      </c>
      <c r="EW70">
        <v>16398</v>
      </c>
      <c r="EX70">
        <v>7</v>
      </c>
      <c r="EY70">
        <v>260</v>
      </c>
      <c r="EZ70">
        <v>87</v>
      </c>
      <c r="FA70">
        <v>364</v>
      </c>
      <c r="FB70">
        <v>7067</v>
      </c>
      <c r="FC70">
        <v>7785</v>
      </c>
      <c r="FD70">
        <v>4.9015748031496061E-2</v>
      </c>
      <c r="FE70">
        <v>4.8983986004575431E-2</v>
      </c>
      <c r="FH70">
        <f t="shared" si="57"/>
        <v>27766</v>
      </c>
      <c r="FX70" s="242"/>
      <c r="FY70" s="242"/>
      <c r="FZ70" s="242"/>
      <c r="GA70" s="242"/>
      <c r="GB70" s="242"/>
      <c r="GC70" s="242"/>
      <c r="GD70" s="242"/>
      <c r="GE70" s="242"/>
      <c r="GF70" s="242"/>
      <c r="GG70" s="242"/>
      <c r="GH70" s="242"/>
    </row>
    <row r="71" spans="2:190" x14ac:dyDescent="0.25">
      <c r="J71" s="699" t="s">
        <v>108</v>
      </c>
      <c r="K71" s="699" t="s">
        <v>312</v>
      </c>
      <c r="L71" s="699" t="s">
        <v>313</v>
      </c>
      <c r="BP71">
        <v>2014</v>
      </c>
      <c r="BQ71">
        <v>52.236499999999999</v>
      </c>
      <c r="BR71">
        <v>10.783720000000001</v>
      </c>
      <c r="BS71">
        <v>397.15386999999993</v>
      </c>
      <c r="BT71">
        <v>0.13152710812058815</v>
      </c>
      <c r="BU71">
        <v>2.7152498853907688E-2</v>
      </c>
      <c r="BV71">
        <v>0.15867960697449585</v>
      </c>
      <c r="CH71" s="266" t="s">
        <v>452</v>
      </c>
      <c r="CK71" s="242">
        <v>0.04</v>
      </c>
      <c r="CM71" t="s">
        <v>449</v>
      </c>
      <c r="CQ71" s="267"/>
      <c r="CS71" s="266" t="s">
        <v>463</v>
      </c>
      <c r="CV71">
        <f>(BQ30+BR30)*1000</f>
        <v>22168</v>
      </c>
      <c r="CX71" t="s">
        <v>462</v>
      </c>
      <c r="DA71" s="267"/>
      <c r="DW71" s="2"/>
      <c r="DX71" s="2"/>
      <c r="DY71" s="2"/>
      <c r="DZ71" s="2"/>
      <c r="EA71" s="2"/>
      <c r="EB71" s="2"/>
      <c r="EC71" s="2"/>
      <c r="ED71" s="2"/>
      <c r="EE71" s="2"/>
      <c r="EF71" s="2"/>
      <c r="EK71">
        <v>2012</v>
      </c>
      <c r="EL71">
        <v>0</v>
      </c>
      <c r="EM71">
        <v>172</v>
      </c>
      <c r="EN71">
        <v>90</v>
      </c>
      <c r="EO71">
        <v>220</v>
      </c>
      <c r="EP71">
        <v>2412</v>
      </c>
      <c r="EQ71">
        <v>2894</v>
      </c>
      <c r="ER71">
        <v>3</v>
      </c>
      <c r="ES71">
        <v>548</v>
      </c>
      <c r="ET71">
        <v>107</v>
      </c>
      <c r="EU71">
        <v>585</v>
      </c>
      <c r="EV71">
        <v>4263</v>
      </c>
      <c r="EW71">
        <v>5506</v>
      </c>
      <c r="EX71">
        <v>0</v>
      </c>
      <c r="EY71">
        <v>272</v>
      </c>
      <c r="EZ71">
        <v>140</v>
      </c>
      <c r="FA71">
        <v>344</v>
      </c>
      <c r="FB71">
        <v>3784</v>
      </c>
      <c r="FC71">
        <v>4540</v>
      </c>
      <c r="FD71">
        <v>8.3586626139817627E-2</v>
      </c>
      <c r="FE71">
        <v>8.3333333333333329E-2</v>
      </c>
      <c r="FH71">
        <f t="shared" si="57"/>
        <v>11608</v>
      </c>
      <c r="FX71" s="242"/>
      <c r="FY71" s="242"/>
      <c r="FZ71" s="242"/>
      <c r="GA71" s="242"/>
      <c r="GB71" s="242"/>
      <c r="GC71" s="242"/>
      <c r="GD71" s="242"/>
      <c r="GE71" s="242"/>
      <c r="GF71" s="242"/>
      <c r="GG71" s="242"/>
      <c r="GH71" s="242"/>
    </row>
    <row r="72" spans="2:190" x14ac:dyDescent="0.25">
      <c r="J72" s="700"/>
      <c r="K72" s="700"/>
      <c r="L72" s="700"/>
      <c r="BP72">
        <v>2015</v>
      </c>
      <c r="BQ72">
        <v>3.2174999999999998</v>
      </c>
      <c r="BR72">
        <v>5.2726000000000006</v>
      </c>
      <c r="BS72">
        <v>51.775900000000007</v>
      </c>
      <c r="BT72">
        <v>6.2142811616987814E-2</v>
      </c>
      <c r="BU72">
        <v>0.10183502363068532</v>
      </c>
      <c r="BV72">
        <v>0.16397783524767312</v>
      </c>
      <c r="CH72" s="266" t="s">
        <v>455</v>
      </c>
      <c r="CK72" s="219">
        <f>CK70*CK71</f>
        <v>1253.4623655913979</v>
      </c>
      <c r="CM72" t="s">
        <v>453</v>
      </c>
      <c r="CQ72" s="267"/>
      <c r="CS72" s="266" t="s">
        <v>464</v>
      </c>
      <c r="CV72" s="219">
        <f>CK72</f>
        <v>1253.4623655913979</v>
      </c>
      <c r="CX72" t="s">
        <v>465</v>
      </c>
      <c r="DA72" s="267"/>
      <c r="EK72">
        <v>2013</v>
      </c>
      <c r="EL72">
        <v>14</v>
      </c>
      <c r="EM72">
        <v>612</v>
      </c>
      <c r="EN72">
        <v>277</v>
      </c>
      <c r="EO72">
        <v>103</v>
      </c>
      <c r="EP72">
        <v>9575</v>
      </c>
      <c r="EQ72">
        <v>10581</v>
      </c>
      <c r="ER72">
        <v>32</v>
      </c>
      <c r="ES72">
        <v>2020</v>
      </c>
      <c r="ET72">
        <v>310</v>
      </c>
      <c r="EU72">
        <v>63</v>
      </c>
      <c r="EV72">
        <v>18143</v>
      </c>
      <c r="EW72">
        <v>20568</v>
      </c>
      <c r="EX72">
        <v>6</v>
      </c>
      <c r="EY72">
        <v>325</v>
      </c>
      <c r="EZ72">
        <v>150</v>
      </c>
      <c r="FA72">
        <v>55</v>
      </c>
      <c r="FB72">
        <v>5117</v>
      </c>
      <c r="FC72">
        <v>5653</v>
      </c>
      <c r="FD72">
        <v>1.0642694771647034E-2</v>
      </c>
      <c r="FE72">
        <v>1.0634184068058779E-2</v>
      </c>
      <c r="FH72">
        <f t="shared" si="57"/>
        <v>33056</v>
      </c>
      <c r="FX72" s="242"/>
      <c r="FY72" s="242"/>
      <c r="FZ72" s="242"/>
      <c r="GA72" s="242"/>
      <c r="GB72" s="242"/>
      <c r="GC72" s="242"/>
      <c r="GD72" s="242"/>
      <c r="GE72" s="242"/>
      <c r="GF72" s="242"/>
      <c r="GG72" s="242"/>
      <c r="GH72" s="242"/>
    </row>
    <row r="73" spans="2:190" x14ac:dyDescent="0.25">
      <c r="BP73">
        <v>2016</v>
      </c>
      <c r="BQ73">
        <v>0.25800000000000001</v>
      </c>
      <c r="BR73">
        <v>1.8896600000000001</v>
      </c>
      <c r="BS73">
        <v>85.318459999999988</v>
      </c>
      <c r="BT73">
        <v>3.0239645675742394E-3</v>
      </c>
      <c r="BU73">
        <v>2.2148313506830764E-2</v>
      </c>
      <c r="BV73">
        <v>2.5172278074405006E-2</v>
      </c>
      <c r="CH73" s="266" t="s">
        <v>454</v>
      </c>
      <c r="CK73" s="219">
        <f>CM63</f>
        <v>29143</v>
      </c>
      <c r="CM73" t="s">
        <v>459</v>
      </c>
      <c r="CQ73" s="267"/>
      <c r="CS73" s="266" t="s">
        <v>466</v>
      </c>
      <c r="CV73" s="219">
        <f>CV71-CV72</f>
        <v>20914.537634408603</v>
      </c>
      <c r="CX73" t="s">
        <v>467</v>
      </c>
      <c r="DA73" s="267"/>
      <c r="EK73">
        <v>2014</v>
      </c>
      <c r="EL73">
        <v>30</v>
      </c>
      <c r="EM73">
        <v>2133</v>
      </c>
      <c r="EN73">
        <v>1049</v>
      </c>
      <c r="EO73">
        <v>2109</v>
      </c>
      <c r="EP73">
        <v>23758</v>
      </c>
      <c r="EQ73">
        <v>29079</v>
      </c>
      <c r="ER73">
        <v>67</v>
      </c>
      <c r="ES73">
        <v>5112</v>
      </c>
      <c r="ET73">
        <v>1322</v>
      </c>
      <c r="EU73">
        <v>5845</v>
      </c>
      <c r="EV73">
        <v>43744</v>
      </c>
      <c r="EW73">
        <v>56090</v>
      </c>
      <c r="EX73">
        <v>21</v>
      </c>
      <c r="EY73">
        <v>1727</v>
      </c>
      <c r="EZ73">
        <v>847</v>
      </c>
      <c r="FA73">
        <v>1730</v>
      </c>
      <c r="FB73">
        <v>19217</v>
      </c>
      <c r="FC73">
        <v>23542</v>
      </c>
      <c r="FD73">
        <v>8.1532454478679392E-2</v>
      </c>
      <c r="FE73">
        <v>8.2589392275743537E-2</v>
      </c>
      <c r="FH73">
        <f t="shared" si="57"/>
        <v>96403</v>
      </c>
      <c r="FX73" s="242"/>
      <c r="FY73" s="242"/>
      <c r="FZ73" s="242"/>
      <c r="GA73" s="242"/>
      <c r="GB73" s="242"/>
      <c r="GC73" s="242"/>
      <c r="GD73" s="242"/>
      <c r="GE73" s="242"/>
      <c r="GF73" s="242"/>
      <c r="GG73" s="242"/>
      <c r="GH73" s="242"/>
    </row>
    <row r="74" spans="2:190" ht="15.75" thickBot="1" x14ac:dyDescent="0.3">
      <c r="BP74">
        <v>2017</v>
      </c>
      <c r="BQ74">
        <v>0.35699999999999998</v>
      </c>
      <c r="BR74">
        <v>4.3331100000000005</v>
      </c>
      <c r="BS74">
        <v>84.018960000000007</v>
      </c>
      <c r="BT74">
        <v>4.2490409307613421E-3</v>
      </c>
      <c r="BU74">
        <v>5.157300209381311E-2</v>
      </c>
      <c r="BV74">
        <v>5.5822043024574455E-2</v>
      </c>
      <c r="CH74" s="269" t="s">
        <v>456</v>
      </c>
      <c r="CI74" s="270"/>
      <c r="CJ74" s="270"/>
      <c r="CK74" s="275">
        <f>CK72/CM63</f>
        <v>4.3010752688172046E-2</v>
      </c>
      <c r="CL74" s="270"/>
      <c r="CM74" s="270" t="s">
        <v>457</v>
      </c>
      <c r="CN74" s="270"/>
      <c r="CO74" s="270"/>
      <c r="CP74" s="270"/>
      <c r="CQ74" s="272"/>
      <c r="CS74" s="269" t="s">
        <v>456</v>
      </c>
      <c r="CT74" s="270"/>
      <c r="CU74" s="270"/>
      <c r="CV74" s="275">
        <f>CV73/CV70</f>
        <v>0.10127467827404862</v>
      </c>
      <c r="CW74" s="270"/>
      <c r="CX74" s="270" t="s">
        <v>468</v>
      </c>
      <c r="CY74" s="270"/>
      <c r="CZ74" s="270"/>
      <c r="DA74" s="272"/>
      <c r="EK74">
        <v>2015</v>
      </c>
      <c r="EL74">
        <v>9</v>
      </c>
      <c r="EM74">
        <v>608</v>
      </c>
      <c r="EN74">
        <v>247</v>
      </c>
      <c r="EO74">
        <v>593</v>
      </c>
      <c r="EP74">
        <v>4475</v>
      </c>
      <c r="EQ74">
        <v>5932</v>
      </c>
      <c r="ER74">
        <v>26</v>
      </c>
      <c r="ES74">
        <v>1928</v>
      </c>
      <c r="ET74">
        <v>257</v>
      </c>
      <c r="EU74">
        <v>720</v>
      </c>
      <c r="EV74">
        <v>8427</v>
      </c>
      <c r="EW74">
        <v>11358</v>
      </c>
      <c r="EX74">
        <v>5</v>
      </c>
      <c r="EY74">
        <v>372</v>
      </c>
      <c r="EZ74">
        <v>151</v>
      </c>
      <c r="FA74">
        <v>360</v>
      </c>
      <c r="FB74">
        <v>2721</v>
      </c>
      <c r="FC74">
        <v>3609</v>
      </c>
      <c r="FD74">
        <v>0.117008681925809</v>
      </c>
      <c r="FE74">
        <v>0.11684518013631938</v>
      </c>
      <c r="FH74">
        <f t="shared" si="57"/>
        <v>17296</v>
      </c>
      <c r="FX74" s="242"/>
      <c r="FY74" s="242"/>
      <c r="FZ74" s="242"/>
      <c r="GA74" s="242"/>
      <c r="GB74" s="242"/>
      <c r="GC74" s="242"/>
      <c r="GD74" s="242"/>
      <c r="GE74" s="242"/>
      <c r="GF74" s="242"/>
      <c r="GG74" s="242"/>
      <c r="GH74" s="242"/>
    </row>
    <row r="75" spans="2:190" x14ac:dyDescent="0.25">
      <c r="EK75">
        <v>2016</v>
      </c>
      <c r="EL75">
        <v>8</v>
      </c>
      <c r="EM75">
        <v>263</v>
      </c>
      <c r="EN75">
        <v>123</v>
      </c>
      <c r="EO75">
        <v>237</v>
      </c>
      <c r="EP75">
        <v>6293</v>
      </c>
      <c r="EQ75">
        <v>6924</v>
      </c>
      <c r="ER75">
        <v>35</v>
      </c>
      <c r="ES75">
        <v>982</v>
      </c>
      <c r="ET75">
        <v>167</v>
      </c>
      <c r="EU75">
        <v>211</v>
      </c>
      <c r="EV75">
        <v>12233</v>
      </c>
      <c r="EW75">
        <v>13628</v>
      </c>
      <c r="EX75">
        <v>6</v>
      </c>
      <c r="EY75">
        <v>172</v>
      </c>
      <c r="EZ75">
        <v>80</v>
      </c>
      <c r="FA75">
        <v>156</v>
      </c>
      <c r="FB75">
        <v>4122</v>
      </c>
      <c r="FC75">
        <v>4536</v>
      </c>
      <c r="FD75">
        <v>3.6294027565084229E-2</v>
      </c>
      <c r="FE75">
        <v>3.6465638148667601E-2</v>
      </c>
      <c r="FH75">
        <f t="shared" si="57"/>
        <v>23252</v>
      </c>
      <c r="FX75" s="242"/>
      <c r="FY75" s="242"/>
      <c r="FZ75" s="242"/>
      <c r="GA75" s="242"/>
      <c r="GB75" s="242"/>
      <c r="GC75" s="242"/>
      <c r="GD75" s="242"/>
      <c r="GE75" s="242"/>
      <c r="GF75" s="242"/>
      <c r="GG75" s="242"/>
      <c r="GH75" s="242"/>
    </row>
    <row r="76" spans="2:190" x14ac:dyDescent="0.25">
      <c r="BP76" t="s">
        <v>419</v>
      </c>
      <c r="BQ76">
        <v>12.4382</v>
      </c>
      <c r="BR76">
        <v>4.7234880000000006</v>
      </c>
      <c r="BS76">
        <v>142.62658329411764</v>
      </c>
      <c r="BT76">
        <v>5.3095248449792819E-2</v>
      </c>
      <c r="BU76">
        <v>4.3363334582889226E-2</v>
      </c>
      <c r="BV76">
        <v>9.6458583032682038E-2</v>
      </c>
      <c r="CH76" t="s">
        <v>476</v>
      </c>
      <c r="DD76" s="2"/>
      <c r="DE76" s="2"/>
      <c r="DF76" s="2"/>
      <c r="DG76" s="2"/>
      <c r="DH76" s="2"/>
      <c r="DI76" s="2"/>
      <c r="DJ76" s="2"/>
      <c r="DK76" s="2"/>
      <c r="DL76" s="2"/>
      <c r="DM76" s="2"/>
      <c r="DN76" s="2"/>
      <c r="DO76" s="2"/>
      <c r="DP76" s="2"/>
      <c r="DQ76" s="2"/>
      <c r="DR76" s="2"/>
      <c r="DS76" s="2"/>
      <c r="DT76" s="2"/>
      <c r="EK76">
        <v>2017</v>
      </c>
      <c r="EL76">
        <v>6</v>
      </c>
      <c r="EM76">
        <v>260</v>
      </c>
      <c r="EN76">
        <v>175</v>
      </c>
      <c r="EO76">
        <v>246</v>
      </c>
      <c r="EP76">
        <v>6330</v>
      </c>
      <c r="EQ76">
        <v>7017</v>
      </c>
      <c r="ER76">
        <v>20</v>
      </c>
      <c r="ES76">
        <v>893</v>
      </c>
      <c r="ET76">
        <v>244</v>
      </c>
      <c r="EU76">
        <v>199</v>
      </c>
      <c r="EV76">
        <v>12020</v>
      </c>
      <c r="EW76">
        <v>13376</v>
      </c>
      <c r="EX76">
        <v>11</v>
      </c>
      <c r="EY76">
        <v>399</v>
      </c>
      <c r="EZ76">
        <v>270</v>
      </c>
      <c r="FA76">
        <v>381</v>
      </c>
      <c r="FB76">
        <v>9768</v>
      </c>
      <c r="FC76">
        <v>10829</v>
      </c>
      <c r="FD76">
        <v>3.7408759124087594E-2</v>
      </c>
      <c r="FE76">
        <v>3.75406443984629E-2</v>
      </c>
      <c r="FH76">
        <f>FB76+FA76+EV76+EU76++EP76+EO76</f>
        <v>28944</v>
      </c>
      <c r="FX76" s="242"/>
      <c r="FY76" s="242"/>
      <c r="FZ76" s="242"/>
      <c r="GA76" s="242"/>
      <c r="GB76" s="242"/>
      <c r="GC76" s="242"/>
      <c r="GD76" s="242"/>
      <c r="GE76" s="242"/>
      <c r="GF76" s="242"/>
      <c r="GG76" s="242"/>
      <c r="GH76" s="242"/>
    </row>
    <row r="77" spans="2:190" ht="15.75" thickBot="1" x14ac:dyDescent="0.3">
      <c r="FX77" s="242"/>
      <c r="FY77" s="242"/>
      <c r="FZ77" s="242"/>
      <c r="GA77" s="242"/>
      <c r="GB77" s="242"/>
      <c r="GC77" s="242"/>
      <c r="GD77" s="242"/>
      <c r="GE77" s="242"/>
      <c r="GF77" s="242"/>
      <c r="GG77" s="242"/>
      <c r="GH77" s="242"/>
    </row>
    <row r="78" spans="2:190" ht="18.75" thickBot="1" x14ac:dyDescent="0.3">
      <c r="CH78" s="641" t="s">
        <v>479</v>
      </c>
      <c r="CI78" s="641"/>
      <c r="CJ78" s="641"/>
      <c r="CK78" s="641"/>
      <c r="CL78" s="641"/>
      <c r="CM78" s="641"/>
      <c r="CN78" s="641"/>
      <c r="CO78" s="641"/>
      <c r="CQ78" s="641" t="s">
        <v>44</v>
      </c>
      <c r="CR78" s="641"/>
      <c r="CS78" s="641"/>
      <c r="CT78" s="641"/>
      <c r="CU78" s="641"/>
      <c r="CV78" s="641"/>
      <c r="CW78" s="641"/>
      <c r="CX78" s="641"/>
      <c r="CY78" s="641"/>
      <c r="DA78" s="224"/>
      <c r="DB78" s="224"/>
      <c r="DC78" s="224"/>
      <c r="DU78" s="224"/>
      <c r="DV78" s="224"/>
      <c r="EG78" s="224"/>
      <c r="EH78" s="224"/>
      <c r="EI78" s="224"/>
      <c r="EK78" s="373" t="s">
        <v>717</v>
      </c>
      <c r="EL78" s="702" t="s">
        <v>706</v>
      </c>
      <c r="EM78" s="703"/>
      <c r="EN78" s="703"/>
      <c r="EO78" s="703"/>
      <c r="EP78" s="703"/>
      <c r="EQ78" s="703"/>
      <c r="ER78" s="703"/>
      <c r="ES78" s="703"/>
      <c r="ET78" s="703"/>
      <c r="EU78" s="703"/>
      <c r="EV78" s="703"/>
      <c r="EW78" s="703"/>
      <c r="EX78" s="703"/>
      <c r="EY78" s="703"/>
      <c r="EZ78" s="703"/>
      <c r="FA78" s="703"/>
      <c r="FB78" s="703"/>
      <c r="FC78" s="704"/>
      <c r="FD78" s="390"/>
      <c r="FE78" s="374"/>
      <c r="FX78" s="242"/>
      <c r="FY78" s="242"/>
      <c r="FZ78" s="242"/>
      <c r="GA78" s="242"/>
      <c r="GB78" s="242"/>
      <c r="GC78" s="242"/>
      <c r="GD78" s="242"/>
      <c r="GE78" s="242"/>
      <c r="GF78" s="242"/>
      <c r="GG78" s="242"/>
      <c r="GH78" s="242"/>
    </row>
    <row r="79" spans="2:190" x14ac:dyDescent="0.25">
      <c r="CI79" s="224" t="s">
        <v>470</v>
      </c>
      <c r="CJ79" s="224" t="s">
        <v>432</v>
      </c>
      <c r="CK79" s="224" t="s">
        <v>432</v>
      </c>
      <c r="CL79" s="224" t="s">
        <v>432</v>
      </c>
      <c r="CM79" s="224" t="s">
        <v>474</v>
      </c>
      <c r="CN79" s="224" t="s">
        <v>470</v>
      </c>
      <c r="CO79" s="224" t="s">
        <v>470</v>
      </c>
      <c r="CR79" s="224" t="s">
        <v>470</v>
      </c>
      <c r="CS79" s="224" t="s">
        <v>432</v>
      </c>
      <c r="CT79" s="224" t="s">
        <v>432</v>
      </c>
      <c r="CU79" s="224" t="s">
        <v>432</v>
      </c>
      <c r="CV79" s="224" t="s">
        <v>470</v>
      </c>
      <c r="CW79" s="224" t="s">
        <v>477</v>
      </c>
      <c r="CX79" s="224" t="s">
        <v>478</v>
      </c>
      <c r="CY79" s="224" t="s">
        <v>470</v>
      </c>
      <c r="DA79" s="224"/>
      <c r="DB79" s="224"/>
      <c r="DC79" s="224"/>
      <c r="DU79" s="224"/>
      <c r="DV79" s="224"/>
      <c r="EG79" s="224"/>
      <c r="EH79" s="224"/>
      <c r="EI79" s="224"/>
      <c r="EK79" s="384" t="s">
        <v>707</v>
      </c>
      <c r="EL79" s="705" t="s">
        <v>718</v>
      </c>
      <c r="EM79" s="706"/>
      <c r="EN79" s="706"/>
      <c r="EO79" s="706"/>
      <c r="EP79" s="706"/>
      <c r="EQ79" s="706"/>
      <c r="ER79" s="705"/>
      <c r="ES79" s="706"/>
      <c r="ET79" s="706"/>
      <c r="EU79" s="706"/>
      <c r="EV79" s="706"/>
      <c r="EW79" s="706"/>
      <c r="EX79" s="705"/>
      <c r="EY79" s="706"/>
      <c r="EZ79" s="706"/>
      <c r="FA79" s="706"/>
      <c r="FB79" s="706"/>
      <c r="FC79" s="707"/>
      <c r="FD79" s="389"/>
      <c r="FE79" s="389"/>
      <c r="FX79" s="242"/>
      <c r="FY79" s="242"/>
      <c r="FZ79" s="242"/>
      <c r="GA79" s="242"/>
      <c r="GB79" s="242"/>
      <c r="GC79" s="242"/>
      <c r="GD79" s="242"/>
      <c r="GE79" s="242"/>
      <c r="GF79" s="242"/>
      <c r="GG79" s="242"/>
      <c r="GH79" s="242"/>
    </row>
    <row r="80" spans="2:190" ht="15.75" thickBot="1" x14ac:dyDescent="0.3">
      <c r="CH80" s="274" t="s">
        <v>387</v>
      </c>
      <c r="CI80" s="277" t="s">
        <v>42</v>
      </c>
      <c r="CJ80" s="277" t="s">
        <v>472</v>
      </c>
      <c r="CK80" s="277" t="s">
        <v>473</v>
      </c>
      <c r="CL80" s="277" t="s">
        <v>353</v>
      </c>
      <c r="CM80" s="277" t="s">
        <v>472</v>
      </c>
      <c r="CN80" s="277" t="s">
        <v>353</v>
      </c>
      <c r="CO80" s="277" t="s">
        <v>475</v>
      </c>
      <c r="CQ80" s="274" t="s">
        <v>387</v>
      </c>
      <c r="CR80" s="277" t="s">
        <v>42</v>
      </c>
      <c r="CS80" s="277" t="s">
        <v>472</v>
      </c>
      <c r="CT80" s="277" t="s">
        <v>473</v>
      </c>
      <c r="CU80" s="277" t="s">
        <v>353</v>
      </c>
      <c r="CV80" s="277" t="s">
        <v>42</v>
      </c>
      <c r="CW80" s="277" t="s">
        <v>353</v>
      </c>
      <c r="CX80" s="277" t="s">
        <v>353</v>
      </c>
      <c r="CY80" s="277" t="s">
        <v>475</v>
      </c>
      <c r="DA80" s="277"/>
      <c r="DB80" s="277"/>
      <c r="DC80" s="277"/>
      <c r="DU80" s="277"/>
      <c r="DV80" s="277"/>
      <c r="DW80" s="224"/>
      <c r="DX80" s="224"/>
      <c r="DY80" s="224"/>
      <c r="DZ80" s="224"/>
      <c r="EA80" s="224"/>
      <c r="EB80" s="224"/>
      <c r="EC80" s="224"/>
      <c r="ED80" s="224"/>
      <c r="EE80" s="224"/>
      <c r="EF80" s="224"/>
      <c r="EG80" s="277"/>
      <c r="EH80" s="277"/>
      <c r="EI80" s="277"/>
      <c r="EK80" s="386" t="s">
        <v>387</v>
      </c>
      <c r="EL80" s="382" t="s">
        <v>679</v>
      </c>
      <c r="EM80" s="387" t="s">
        <v>680</v>
      </c>
      <c r="EN80" s="387" t="s">
        <v>681</v>
      </c>
      <c r="EO80" s="387" t="s">
        <v>710</v>
      </c>
      <c r="EP80" s="387" t="s">
        <v>711</v>
      </c>
      <c r="EQ80" s="387" t="s">
        <v>10</v>
      </c>
      <c r="ER80" s="382"/>
      <c r="ES80" s="387"/>
      <c r="ET80" s="387"/>
      <c r="EU80" s="387"/>
      <c r="EV80" s="387"/>
      <c r="EW80" s="387"/>
      <c r="EX80" s="382"/>
      <c r="EY80" s="387"/>
      <c r="EZ80" s="387"/>
      <c r="FA80" s="387"/>
      <c r="FB80" s="387"/>
      <c r="FC80" s="383"/>
      <c r="FD80" s="381"/>
      <c r="FE80" s="381"/>
      <c r="FX80" s="242"/>
      <c r="FY80" s="242"/>
      <c r="FZ80" s="242"/>
      <c r="GA80" s="242"/>
      <c r="GB80" s="242"/>
      <c r="GC80" s="242"/>
      <c r="GD80" s="242"/>
      <c r="GE80" s="242"/>
      <c r="GF80" s="242"/>
      <c r="GG80" s="242"/>
      <c r="GH80" s="242"/>
    </row>
    <row r="81" spans="86:190" x14ac:dyDescent="0.25">
      <c r="CH81" s="2">
        <v>2005</v>
      </c>
      <c r="CI81" s="47">
        <f>SUM(CL47:CM47)</f>
        <v>15689.605989491782</v>
      </c>
      <c r="CJ81" s="369">
        <v>0.11</v>
      </c>
      <c r="CK81" s="47">
        <f t="shared" ref="CK81:CK93" si="61">CI81/(1-CJ81)</f>
        <v>17628.770774709868</v>
      </c>
      <c r="CL81" s="47">
        <f t="shared" ref="CL81:CL93" si="62">CK81-CI81</f>
        <v>1939.1647852180868</v>
      </c>
      <c r="CM81" s="370">
        <v>7.0000000000000007E-2</v>
      </c>
      <c r="CN81" s="47">
        <f t="shared" ref="CN81:CN92" si="63">CK81*CM81</f>
        <v>1234.0139542296909</v>
      </c>
      <c r="CO81" s="242">
        <f t="shared" ref="CO81:CO92" si="64">CN81/CI81</f>
        <v>7.8651685393258439E-2</v>
      </c>
      <c r="CQ81" s="2">
        <v>2005</v>
      </c>
      <c r="CR81" s="47">
        <f>SUM(CI47:CK47)</f>
        <v>338027</v>
      </c>
      <c r="CS81" s="242">
        <f t="shared" ref="CS81:CS93" si="65">CZ47</f>
        <v>0.1205</v>
      </c>
      <c r="CT81" s="47">
        <f t="shared" ref="CT81:CT93" si="66">CR81/(1-CS81)</f>
        <v>384339.96588971006</v>
      </c>
      <c r="CU81" s="47">
        <f t="shared" ref="CU81:CU93" si="67">CT81-CR81</f>
        <v>46312.96588971006</v>
      </c>
      <c r="CV81" s="47">
        <f t="shared" ref="CV81:CV93" si="68">SUM(CI47:CK47)</f>
        <v>338027</v>
      </c>
      <c r="CW81" s="47">
        <f t="shared" ref="CW81:CW93" si="69">SUM(BQ18:BR18)*1000</f>
        <v>37748</v>
      </c>
      <c r="CX81" s="47">
        <f t="shared" ref="CX81:CX93" si="70">CW81-CN81</f>
        <v>36513.986045770311</v>
      </c>
      <c r="CY81" s="242">
        <f t="shared" ref="CY81:CY92" si="71">CX81/CV81</f>
        <v>0.1080209156244037</v>
      </c>
      <c r="DA81" s="47"/>
      <c r="DB81" s="47"/>
      <c r="DC81" s="47"/>
      <c r="DU81" s="47"/>
      <c r="DV81" s="47"/>
      <c r="DW81" s="224"/>
      <c r="DX81" s="224"/>
      <c r="DY81" s="224"/>
      <c r="DZ81" s="224"/>
      <c r="EA81" s="224"/>
      <c r="EB81" s="224"/>
      <c r="EC81" s="224"/>
      <c r="ED81" s="224"/>
      <c r="EE81" s="224"/>
      <c r="EF81" s="224"/>
      <c r="EG81" s="47"/>
      <c r="EH81" s="47"/>
      <c r="EI81" s="47"/>
      <c r="EK81">
        <v>1986</v>
      </c>
      <c r="EL81">
        <v>45770</v>
      </c>
      <c r="EM81">
        <v>195026</v>
      </c>
      <c r="EN81">
        <v>133280</v>
      </c>
      <c r="EO81">
        <v>618872</v>
      </c>
      <c r="EP81">
        <v>135828</v>
      </c>
      <c r="EQ81">
        <v>1128776</v>
      </c>
      <c r="FX81" s="242"/>
      <c r="FY81" s="242"/>
      <c r="FZ81" s="242"/>
      <c r="GA81" s="242"/>
      <c r="GB81" s="242"/>
      <c r="GC81" s="242"/>
      <c r="GD81" s="242"/>
      <c r="GE81" s="242"/>
      <c r="GF81" s="242"/>
      <c r="GG81" s="242"/>
      <c r="GH81" s="242"/>
    </row>
    <row r="82" spans="86:190" x14ac:dyDescent="0.25">
      <c r="CH82" s="2">
        <v>2006</v>
      </c>
      <c r="CI82" s="47">
        <f>SUM(CL48:CM48)</f>
        <v>27151.021174273308</v>
      </c>
      <c r="CJ82" s="369">
        <v>7.0000000000000007E-2</v>
      </c>
      <c r="CK82" s="47">
        <f t="shared" si="61"/>
        <v>29194.646423949795</v>
      </c>
      <c r="CL82" s="47">
        <f t="shared" si="62"/>
        <v>2043.6252496764864</v>
      </c>
      <c r="CM82" s="370">
        <v>7.0000000000000007E-2</v>
      </c>
      <c r="CN82" s="47">
        <f t="shared" si="63"/>
        <v>2043.6252496764857</v>
      </c>
      <c r="CO82" s="242">
        <f t="shared" si="64"/>
        <v>7.5268817204301078E-2</v>
      </c>
      <c r="CQ82" s="2">
        <v>2006</v>
      </c>
      <c r="CR82" s="47">
        <f>SUM(CI48:CK48)</f>
        <v>382541</v>
      </c>
      <c r="CS82" s="242">
        <f t="shared" si="65"/>
        <v>8.7828215519553887E-2</v>
      </c>
      <c r="CT82" s="47">
        <f t="shared" si="66"/>
        <v>419373.85754360654</v>
      </c>
      <c r="CU82" s="47">
        <f t="shared" si="67"/>
        <v>36832.857543606544</v>
      </c>
      <c r="CV82" s="47">
        <f t="shared" si="68"/>
        <v>382541</v>
      </c>
      <c r="CW82" s="47">
        <f t="shared" si="69"/>
        <v>32073</v>
      </c>
      <c r="CX82" s="47">
        <f t="shared" si="70"/>
        <v>30029.374750323514</v>
      </c>
      <c r="CY82" s="242">
        <f t="shared" si="71"/>
        <v>7.8499754929075613E-2</v>
      </c>
      <c r="DA82" s="47"/>
      <c r="DB82" s="47"/>
      <c r="DC82" s="47"/>
      <c r="DU82" s="47"/>
      <c r="DV82" s="47"/>
      <c r="DW82" s="277"/>
      <c r="DX82" s="277"/>
      <c r="DY82" s="277"/>
      <c r="DZ82" s="277"/>
      <c r="EA82" s="277"/>
      <c r="EB82" s="277"/>
      <c r="EC82" s="277"/>
      <c r="ED82" s="277"/>
      <c r="EE82" s="277"/>
      <c r="EF82" s="277"/>
      <c r="EG82" s="47"/>
      <c r="EH82" s="47"/>
      <c r="EI82" s="47"/>
      <c r="EK82">
        <v>1987</v>
      </c>
      <c r="EL82">
        <v>9257</v>
      </c>
      <c r="EM82">
        <v>59083</v>
      </c>
      <c r="EN82">
        <v>32802</v>
      </c>
      <c r="EO82">
        <v>76630</v>
      </c>
      <c r="EP82">
        <v>36468</v>
      </c>
      <c r="EQ82">
        <v>214240</v>
      </c>
      <c r="FX82" s="242"/>
      <c r="FY82" s="242"/>
      <c r="FZ82" s="242"/>
      <c r="GA82" s="242"/>
      <c r="GB82" s="242"/>
      <c r="GC82" s="242"/>
      <c r="GD82" s="242"/>
      <c r="GE82" s="242"/>
      <c r="GF82" s="242"/>
      <c r="GG82" s="242"/>
      <c r="GH82" s="242"/>
    </row>
    <row r="83" spans="86:190" x14ac:dyDescent="0.25">
      <c r="CH83" s="2">
        <v>2007</v>
      </c>
      <c r="CI83" s="47">
        <f>SUM(CL49:CM49)</f>
        <v>19219.275305380725</v>
      </c>
      <c r="CJ83" s="369">
        <v>0.12</v>
      </c>
      <c r="CK83" s="47">
        <f t="shared" si="61"/>
        <v>21840.085574296278</v>
      </c>
      <c r="CL83" s="47">
        <f t="shared" si="62"/>
        <v>2620.810268915553</v>
      </c>
      <c r="CM83" s="370">
        <v>7.0000000000000007E-2</v>
      </c>
      <c r="CN83" s="47">
        <f t="shared" si="63"/>
        <v>1528.8059902007396</v>
      </c>
      <c r="CO83" s="242">
        <f t="shared" si="64"/>
        <v>7.9545454545454558E-2</v>
      </c>
      <c r="CQ83" s="2">
        <v>2007</v>
      </c>
      <c r="CR83" s="47">
        <f>SUM(CI49:CK49)</f>
        <v>329803</v>
      </c>
      <c r="CS83" s="242">
        <f t="shared" si="65"/>
        <v>0.27963498866291214</v>
      </c>
      <c r="CT83" s="47">
        <f t="shared" si="66"/>
        <v>457827.62184388196</v>
      </c>
      <c r="CU83" s="47">
        <f t="shared" si="67"/>
        <v>128024.62184388196</v>
      </c>
      <c r="CV83" s="47">
        <f t="shared" si="68"/>
        <v>329803</v>
      </c>
      <c r="CW83" s="47">
        <f t="shared" si="69"/>
        <v>39430</v>
      </c>
      <c r="CX83" s="47">
        <f t="shared" si="70"/>
        <v>37901.194009799263</v>
      </c>
      <c r="CY83" s="242">
        <f t="shared" si="71"/>
        <v>0.11492070723977424</v>
      </c>
      <c r="DA83" s="47"/>
      <c r="DB83" s="47"/>
      <c r="DC83" s="47"/>
      <c r="DU83" s="47"/>
      <c r="DV83" s="47"/>
      <c r="DW83" s="47"/>
      <c r="DX83" s="47"/>
      <c r="DY83" s="47"/>
      <c r="DZ83" s="47"/>
      <c r="EA83" s="47"/>
      <c r="EB83" s="47"/>
      <c r="EC83" s="47"/>
      <c r="ED83" s="47"/>
      <c r="EE83" s="47"/>
      <c r="EF83" s="47"/>
      <c r="EG83" s="47"/>
      <c r="EH83" s="47"/>
      <c r="EI83" s="47"/>
      <c r="EK83">
        <v>1988</v>
      </c>
      <c r="EL83">
        <v>20261</v>
      </c>
      <c r="EM83">
        <v>44504</v>
      </c>
      <c r="EN83">
        <v>215161</v>
      </c>
      <c r="EO83">
        <v>310812</v>
      </c>
      <c r="EP83">
        <v>70714</v>
      </c>
      <c r="EQ83">
        <v>661452</v>
      </c>
    </row>
    <row r="84" spans="86:190" x14ac:dyDescent="0.25">
      <c r="CH84" s="2">
        <v>2008</v>
      </c>
      <c r="CI84" s="47">
        <f t="shared" ref="CI84:CI93" si="72">SUM(CL50:CM50)</f>
        <v>28309.868649673652</v>
      </c>
      <c r="CJ84" s="242">
        <v>0.04</v>
      </c>
      <c r="CK84" s="47">
        <f t="shared" si="61"/>
        <v>29489.446510076723</v>
      </c>
      <c r="CL84" s="47">
        <f t="shared" si="62"/>
        <v>1179.5778604030711</v>
      </c>
      <c r="CM84" s="242">
        <v>0.04</v>
      </c>
      <c r="CN84" s="47">
        <f t="shared" si="63"/>
        <v>1179.5778604030691</v>
      </c>
      <c r="CO84" s="242">
        <f t="shared" si="64"/>
        <v>4.1666666666666671E-2</v>
      </c>
      <c r="CQ84" s="2">
        <v>2008</v>
      </c>
      <c r="CR84" s="47">
        <f t="shared" ref="CR84:CR93" si="73">SUM(CI50:CK50)</f>
        <v>492454</v>
      </c>
      <c r="CS84" s="242">
        <f t="shared" si="65"/>
        <v>3.8818092655785341E-2</v>
      </c>
      <c r="CT84" s="47">
        <f t="shared" si="66"/>
        <v>512342.14485026122</v>
      </c>
      <c r="CU84" s="47">
        <f t="shared" si="67"/>
        <v>19888.144850261218</v>
      </c>
      <c r="CV84" s="47">
        <f t="shared" si="68"/>
        <v>492454</v>
      </c>
      <c r="CW84" s="47">
        <f t="shared" si="69"/>
        <v>23928.000000000004</v>
      </c>
      <c r="CX84" s="47">
        <f t="shared" si="70"/>
        <v>22748.422139596936</v>
      </c>
      <c r="CY84" s="242">
        <f t="shared" si="71"/>
        <v>4.6194004190435935E-2</v>
      </c>
      <c r="DA84" s="47"/>
      <c r="DB84" s="47"/>
      <c r="DC84" s="47"/>
      <c r="DU84" s="47"/>
      <c r="DV84" s="47"/>
      <c r="DW84" s="47"/>
      <c r="DX84" s="47"/>
      <c r="DY84" s="47"/>
      <c r="DZ84" s="47"/>
      <c r="EA84" s="47"/>
      <c r="EB84" s="47"/>
      <c r="EC84" s="47"/>
      <c r="ED84" s="47"/>
      <c r="EE84" s="47"/>
      <c r="EF84" s="47"/>
      <c r="EG84" s="47"/>
      <c r="EH84" s="47"/>
      <c r="EI84" s="47"/>
      <c r="EK84">
        <v>1989</v>
      </c>
      <c r="EL84">
        <v>61496</v>
      </c>
      <c r="EM84">
        <v>177412</v>
      </c>
      <c r="EN84">
        <v>205215</v>
      </c>
      <c r="EO84">
        <v>268400</v>
      </c>
      <c r="EP84">
        <v>94260</v>
      </c>
      <c r="EQ84">
        <v>806783</v>
      </c>
    </row>
    <row r="85" spans="86:190" x14ac:dyDescent="0.25">
      <c r="CH85" s="2">
        <v>2009</v>
      </c>
      <c r="CI85" s="47">
        <f t="shared" si="72"/>
        <v>36656</v>
      </c>
      <c r="CJ85" s="242">
        <v>0.11</v>
      </c>
      <c r="CK85" s="47">
        <f t="shared" si="61"/>
        <v>41186.516853932582</v>
      </c>
      <c r="CL85" s="47">
        <f t="shared" si="62"/>
        <v>4530.5168539325823</v>
      </c>
      <c r="CM85" s="242">
        <v>0.11</v>
      </c>
      <c r="CN85" s="47">
        <f t="shared" si="63"/>
        <v>4530.5168539325841</v>
      </c>
      <c r="CO85" s="242">
        <f t="shared" si="64"/>
        <v>0.12359550561797752</v>
      </c>
      <c r="CQ85" s="2">
        <v>2009</v>
      </c>
      <c r="CR85" s="47">
        <f t="shared" si="73"/>
        <v>723505</v>
      </c>
      <c r="CS85" s="242">
        <f t="shared" si="65"/>
        <v>0.18693812226248979</v>
      </c>
      <c r="CT85" s="47">
        <f t="shared" si="66"/>
        <v>889852.32220367005</v>
      </c>
      <c r="CU85" s="47">
        <f t="shared" si="67"/>
        <v>166347.32220367005</v>
      </c>
      <c r="CV85" s="47">
        <f t="shared" si="68"/>
        <v>723505</v>
      </c>
      <c r="CW85" s="47">
        <f t="shared" si="69"/>
        <v>95932.000000000015</v>
      </c>
      <c r="CX85" s="47">
        <f t="shared" si="70"/>
        <v>91401.483146067432</v>
      </c>
      <c r="CY85" s="242">
        <f t="shared" si="71"/>
        <v>0.12633151553350347</v>
      </c>
      <c r="DA85" s="47"/>
      <c r="DB85" s="47"/>
      <c r="DC85" s="47"/>
      <c r="DD85" s="224"/>
      <c r="DE85" s="224"/>
      <c r="DF85" s="224"/>
      <c r="DG85" s="224"/>
      <c r="DH85" s="224"/>
      <c r="DI85" s="224"/>
      <c r="DJ85" s="224"/>
      <c r="DK85" s="224"/>
      <c r="DL85" s="224"/>
      <c r="DM85" s="224"/>
      <c r="DN85" s="224"/>
      <c r="DO85" s="224"/>
      <c r="DP85" s="224"/>
      <c r="DQ85" s="224"/>
      <c r="DR85" s="224"/>
      <c r="DS85" s="224"/>
      <c r="DT85" s="224"/>
      <c r="DU85" s="47"/>
      <c r="DV85" s="47"/>
      <c r="DW85" s="47"/>
      <c r="DX85" s="47"/>
      <c r="DY85" s="47"/>
      <c r="DZ85" s="47"/>
      <c r="EA85" s="47"/>
      <c r="EB85" s="47"/>
      <c r="EC85" s="47"/>
      <c r="ED85" s="47"/>
      <c r="EE85" s="47"/>
      <c r="EF85" s="47"/>
      <c r="EG85" s="47"/>
      <c r="EH85" s="47"/>
      <c r="EI85" s="47"/>
      <c r="EK85">
        <v>1990</v>
      </c>
      <c r="EL85">
        <v>10161</v>
      </c>
      <c r="EM85">
        <v>58486</v>
      </c>
      <c r="EN85">
        <v>19653</v>
      </c>
      <c r="EO85">
        <v>31324</v>
      </c>
      <c r="EP85">
        <v>49841</v>
      </c>
      <c r="EQ85">
        <v>169465</v>
      </c>
    </row>
    <row r="86" spans="86:190" x14ac:dyDescent="0.25">
      <c r="CH86" s="2">
        <v>2010</v>
      </c>
      <c r="CI86" s="47">
        <f t="shared" si="72"/>
        <v>28227</v>
      </c>
      <c r="CJ86" s="242">
        <v>0.08</v>
      </c>
      <c r="CK86" s="47">
        <f t="shared" si="61"/>
        <v>30681.521739130432</v>
      </c>
      <c r="CL86" s="47">
        <f t="shared" si="62"/>
        <v>2454.5217391304323</v>
      </c>
      <c r="CM86" s="242">
        <v>7.0000000000000007E-2</v>
      </c>
      <c r="CN86" s="47">
        <f t="shared" si="63"/>
        <v>2147.7065217391305</v>
      </c>
      <c r="CO86" s="242">
        <f t="shared" si="64"/>
        <v>7.6086956521739135E-2</v>
      </c>
      <c r="CQ86" s="2">
        <v>2010</v>
      </c>
      <c r="CR86" s="47">
        <f t="shared" si="73"/>
        <v>438303</v>
      </c>
      <c r="CS86" s="242">
        <f t="shared" si="65"/>
        <v>6.3359471364640957E-2</v>
      </c>
      <c r="CT86" s="47">
        <f t="shared" si="66"/>
        <v>467952.20428757952</v>
      </c>
      <c r="CU86" s="47">
        <f t="shared" si="67"/>
        <v>29649.204287579516</v>
      </c>
      <c r="CV86" s="47">
        <f t="shared" si="68"/>
        <v>438303</v>
      </c>
      <c r="CW86" s="47">
        <f t="shared" si="69"/>
        <v>28484</v>
      </c>
      <c r="CX86" s="47">
        <f t="shared" si="70"/>
        <v>26336.293478260868</v>
      </c>
      <c r="CY86" s="242">
        <f t="shared" si="71"/>
        <v>6.0086956918526384E-2</v>
      </c>
      <c r="DA86" s="47"/>
      <c r="DB86" s="47"/>
      <c r="DC86" s="47"/>
      <c r="DD86" s="224"/>
      <c r="DE86" s="224"/>
      <c r="DF86" s="224"/>
      <c r="DG86" s="224"/>
      <c r="DH86" s="224"/>
      <c r="DI86" s="224"/>
      <c r="DJ86" s="224"/>
      <c r="DK86" s="224"/>
      <c r="DL86" s="224"/>
      <c r="DM86" s="224"/>
      <c r="DN86" s="224"/>
      <c r="DO86" s="224"/>
      <c r="DP86" s="224"/>
      <c r="DQ86" s="224"/>
      <c r="DR86" s="224"/>
      <c r="DS86" s="224"/>
      <c r="DT86" s="224"/>
      <c r="DU86" s="47"/>
      <c r="DV86" s="47"/>
      <c r="DW86" s="47"/>
      <c r="DX86" s="47"/>
      <c r="DY86" s="47"/>
      <c r="DZ86" s="47"/>
      <c r="EA86" s="47"/>
      <c r="EB86" s="47"/>
      <c r="EC86" s="47"/>
      <c r="ED86" s="47"/>
      <c r="EE86" s="47"/>
      <c r="EF86" s="47"/>
      <c r="EG86" s="47"/>
      <c r="EH86" s="47"/>
      <c r="EI86" s="47"/>
      <c r="EK86">
        <v>1991</v>
      </c>
      <c r="EL86">
        <v>29381</v>
      </c>
      <c r="EM86">
        <v>152748</v>
      </c>
      <c r="EN86">
        <v>179073</v>
      </c>
      <c r="EO86">
        <v>324553</v>
      </c>
      <c r="EP86">
        <v>130057</v>
      </c>
      <c r="EQ86">
        <v>815812</v>
      </c>
    </row>
    <row r="87" spans="86:190" x14ac:dyDescent="0.25">
      <c r="CH87" s="2">
        <v>2011</v>
      </c>
      <c r="CI87" s="47">
        <f t="shared" si="72"/>
        <v>31984</v>
      </c>
      <c r="CJ87" s="242">
        <v>0.06</v>
      </c>
      <c r="CK87" s="47">
        <f t="shared" si="61"/>
        <v>34025.531914893618</v>
      </c>
      <c r="CL87" s="47">
        <f t="shared" si="62"/>
        <v>2041.5319148936178</v>
      </c>
      <c r="CM87" s="242">
        <v>0.08</v>
      </c>
      <c r="CN87" s="47">
        <f t="shared" si="63"/>
        <v>2722.0425531914893</v>
      </c>
      <c r="CO87" s="242">
        <f t="shared" si="64"/>
        <v>8.5106382978723402E-2</v>
      </c>
      <c r="CQ87" s="2">
        <v>2011</v>
      </c>
      <c r="CR87" s="47">
        <f t="shared" si="73"/>
        <v>346066</v>
      </c>
      <c r="CS87" s="242">
        <f t="shared" si="65"/>
        <v>7.0077759666035522E-2</v>
      </c>
      <c r="CT87" s="47">
        <f t="shared" si="66"/>
        <v>372145.09449275758</v>
      </c>
      <c r="CU87" s="47">
        <f t="shared" si="67"/>
        <v>26079.094492757577</v>
      </c>
      <c r="CV87" s="47">
        <f t="shared" si="68"/>
        <v>346066</v>
      </c>
      <c r="CW87" s="47">
        <f t="shared" si="69"/>
        <v>22762.999999999996</v>
      </c>
      <c r="CX87" s="47">
        <f t="shared" si="70"/>
        <v>20040.957446808508</v>
      </c>
      <c r="CY87" s="242">
        <f t="shared" si="71"/>
        <v>5.7910795763838424E-2</v>
      </c>
      <c r="DA87" s="47"/>
      <c r="DB87" s="47"/>
      <c r="DC87" s="47"/>
      <c r="DD87" s="277"/>
      <c r="DE87" s="277"/>
      <c r="DF87" s="277"/>
      <c r="DG87" s="277"/>
      <c r="DH87" s="277"/>
      <c r="DI87" s="277"/>
      <c r="DJ87" s="277"/>
      <c r="DK87" s="277"/>
      <c r="DL87" s="277"/>
      <c r="DM87" s="277"/>
      <c r="DN87" s="277"/>
      <c r="DO87" s="277"/>
      <c r="DP87" s="277"/>
      <c r="DQ87" s="277"/>
      <c r="DR87" s="277"/>
      <c r="DS87" s="277"/>
      <c r="DT87" s="277"/>
      <c r="DU87" s="47"/>
      <c r="DV87" s="47"/>
      <c r="EG87" s="47"/>
      <c r="EH87" s="47"/>
      <c r="EI87" s="47"/>
      <c r="EK87">
        <v>1992</v>
      </c>
      <c r="EL87">
        <v>10789</v>
      </c>
      <c r="EM87">
        <v>57145</v>
      </c>
      <c r="EN87">
        <v>37861</v>
      </c>
      <c r="EO87">
        <v>52212</v>
      </c>
      <c r="EP87">
        <v>47455</v>
      </c>
      <c r="EQ87">
        <v>205462</v>
      </c>
    </row>
    <row r="88" spans="86:190" x14ac:dyDescent="0.25">
      <c r="CH88" s="2">
        <v>2012</v>
      </c>
      <c r="CI88" s="47">
        <f t="shared" si="72"/>
        <v>19743</v>
      </c>
      <c r="CJ88" s="242">
        <v>0.1</v>
      </c>
      <c r="CK88" s="47">
        <f t="shared" si="61"/>
        <v>21936.666666666668</v>
      </c>
      <c r="CL88" s="47">
        <f t="shared" si="62"/>
        <v>2193.6666666666679</v>
      </c>
      <c r="CM88" s="242">
        <v>0.03</v>
      </c>
      <c r="CN88" s="47">
        <f t="shared" si="63"/>
        <v>658.1</v>
      </c>
      <c r="CO88" s="242">
        <f t="shared" si="64"/>
        <v>3.3333333333333333E-2</v>
      </c>
      <c r="CQ88" s="2">
        <v>2012</v>
      </c>
      <c r="CR88" s="47">
        <f t="shared" si="73"/>
        <v>132633</v>
      </c>
      <c r="CS88" s="242">
        <f t="shared" si="65"/>
        <v>0.15227326732553403</v>
      </c>
      <c r="CT88" s="47">
        <f t="shared" si="66"/>
        <v>156457.25784954356</v>
      </c>
      <c r="CU88" s="47">
        <f t="shared" si="67"/>
        <v>23824.257849543559</v>
      </c>
      <c r="CV88" s="47">
        <f t="shared" si="68"/>
        <v>132633</v>
      </c>
      <c r="CW88" s="47">
        <f t="shared" si="69"/>
        <v>10884</v>
      </c>
      <c r="CX88" s="47">
        <f t="shared" si="70"/>
        <v>10225.9</v>
      </c>
      <c r="CY88" s="242">
        <f t="shared" si="71"/>
        <v>7.7099213619536616E-2</v>
      </c>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K88">
        <v>1993</v>
      </c>
      <c r="EL88">
        <v>5716</v>
      </c>
      <c r="EM88">
        <v>21036</v>
      </c>
      <c r="EN88">
        <v>6156</v>
      </c>
      <c r="EO88">
        <v>21054</v>
      </c>
      <c r="EP88">
        <v>18809</v>
      </c>
      <c r="EQ88">
        <v>72771</v>
      </c>
    </row>
    <row r="89" spans="86:190" x14ac:dyDescent="0.25">
      <c r="CH89" s="2">
        <v>2013</v>
      </c>
      <c r="CI89" s="47">
        <f t="shared" si="72"/>
        <v>25958</v>
      </c>
      <c r="CJ89" s="242">
        <v>0.1</v>
      </c>
      <c r="CK89" s="47">
        <f t="shared" si="61"/>
        <v>28842.222222222223</v>
      </c>
      <c r="CL89" s="47">
        <f t="shared" si="62"/>
        <v>2884.2222222222226</v>
      </c>
      <c r="CM89" s="242">
        <v>0.03</v>
      </c>
      <c r="CN89" s="47">
        <f t="shared" si="63"/>
        <v>865.26666666666665</v>
      </c>
      <c r="CO89" s="242">
        <f t="shared" si="64"/>
        <v>3.3333333333333333E-2</v>
      </c>
      <c r="CQ89" s="2">
        <v>2013</v>
      </c>
      <c r="CR89" s="47">
        <f t="shared" si="73"/>
        <v>226805.85901027077</v>
      </c>
      <c r="CS89" s="242">
        <f t="shared" si="65"/>
        <v>0.13603065634093911</v>
      </c>
      <c r="CT89" s="47">
        <f t="shared" si="66"/>
        <v>262516.0958254704</v>
      </c>
      <c r="CU89" s="47">
        <f t="shared" si="67"/>
        <v>35710.236815199634</v>
      </c>
      <c r="CV89" s="47">
        <f t="shared" si="68"/>
        <v>226805.85901027077</v>
      </c>
      <c r="CW89" s="47">
        <f t="shared" si="69"/>
        <v>18338</v>
      </c>
      <c r="CX89" s="47">
        <f t="shared" si="70"/>
        <v>17472.733333333334</v>
      </c>
      <c r="CY89" s="242">
        <f t="shared" si="71"/>
        <v>7.7038280270096959E-2</v>
      </c>
      <c r="DA89" s="47"/>
      <c r="DB89" s="47"/>
      <c r="DC89" s="47"/>
      <c r="DD89" s="47"/>
      <c r="DE89" s="47"/>
      <c r="DF89" s="47"/>
      <c r="DG89" s="47"/>
      <c r="DH89" s="47"/>
      <c r="DI89" s="47"/>
      <c r="DJ89" s="47"/>
      <c r="DK89" s="47"/>
      <c r="DL89" s="47"/>
      <c r="DM89" s="47"/>
      <c r="DN89" s="47"/>
      <c r="DO89" s="47"/>
      <c r="DP89" s="47"/>
      <c r="DQ89" s="47"/>
      <c r="DR89" s="47"/>
      <c r="DS89" s="47"/>
      <c r="DT89" s="47"/>
      <c r="DU89" s="47"/>
      <c r="DV89" s="47"/>
      <c r="EG89" s="47"/>
      <c r="EH89" s="47"/>
      <c r="EI89" s="47"/>
      <c r="EK89">
        <v>1994</v>
      </c>
      <c r="EL89">
        <v>5354</v>
      </c>
      <c r="EM89">
        <v>166</v>
      </c>
      <c r="EN89">
        <v>0</v>
      </c>
      <c r="EO89">
        <v>4126</v>
      </c>
      <c r="EP89">
        <v>25818</v>
      </c>
      <c r="EQ89">
        <v>35464</v>
      </c>
    </row>
    <row r="90" spans="86:190" x14ac:dyDescent="0.25">
      <c r="CH90" s="2">
        <v>2014</v>
      </c>
      <c r="CI90" s="47">
        <f t="shared" si="72"/>
        <v>82233</v>
      </c>
      <c r="CJ90" s="242">
        <v>0.12</v>
      </c>
      <c r="CK90" s="47">
        <f t="shared" si="61"/>
        <v>93446.590909090912</v>
      </c>
      <c r="CL90" s="47">
        <f t="shared" si="62"/>
        <v>11213.590909090912</v>
      </c>
      <c r="CM90" s="242">
        <v>0.05</v>
      </c>
      <c r="CN90" s="47">
        <f t="shared" si="63"/>
        <v>4672.329545454546</v>
      </c>
      <c r="CO90" s="242">
        <f t="shared" si="64"/>
        <v>5.6818181818181823E-2</v>
      </c>
      <c r="CQ90" s="2">
        <v>2014</v>
      </c>
      <c r="CR90" s="47">
        <f t="shared" si="73"/>
        <v>938287</v>
      </c>
      <c r="CS90" s="242">
        <f t="shared" si="65"/>
        <v>0.12788358000898972</v>
      </c>
      <c r="CT90" s="47">
        <f t="shared" si="66"/>
        <v>1075873.5628549131</v>
      </c>
      <c r="CU90" s="47">
        <f t="shared" si="67"/>
        <v>137586.56285491306</v>
      </c>
      <c r="CV90" s="47">
        <f t="shared" si="68"/>
        <v>938287</v>
      </c>
      <c r="CW90" s="47">
        <f t="shared" si="69"/>
        <v>133948</v>
      </c>
      <c r="CX90" s="47">
        <f t="shared" si="70"/>
        <v>129275.67045454546</v>
      </c>
      <c r="CY90" s="242">
        <f t="shared" si="71"/>
        <v>0.13777838812063414</v>
      </c>
      <c r="DA90" s="47"/>
      <c r="DB90" s="47"/>
      <c r="DC90" s="47"/>
      <c r="DD90" s="47"/>
      <c r="DE90" s="47"/>
      <c r="DF90" s="47"/>
      <c r="DG90" s="47"/>
      <c r="DH90" s="47"/>
      <c r="DI90" s="47"/>
      <c r="DJ90" s="47"/>
      <c r="DK90" s="47"/>
      <c r="DL90" s="47"/>
      <c r="DM90" s="47"/>
      <c r="DN90" s="47"/>
      <c r="DO90" s="47"/>
      <c r="DP90" s="47"/>
      <c r="DQ90" s="47"/>
      <c r="DR90" s="47"/>
      <c r="DS90" s="47"/>
      <c r="DT90" s="47"/>
      <c r="DU90" s="47"/>
      <c r="DV90" s="47"/>
      <c r="EG90" s="47"/>
      <c r="EH90" s="47"/>
      <c r="EI90" s="47"/>
      <c r="EK90">
        <v>1995</v>
      </c>
      <c r="EL90">
        <v>3164</v>
      </c>
      <c r="EM90">
        <v>4264</v>
      </c>
      <c r="EN90">
        <v>36</v>
      </c>
      <c r="EO90">
        <v>1692</v>
      </c>
      <c r="EP90">
        <v>14511</v>
      </c>
      <c r="EQ90">
        <v>23667</v>
      </c>
    </row>
    <row r="91" spans="86:190" x14ac:dyDescent="0.25">
      <c r="CH91" s="2">
        <v>2015</v>
      </c>
      <c r="CI91" s="47">
        <f t="shared" si="72"/>
        <v>10182</v>
      </c>
      <c r="CJ91" s="242">
        <v>0.17</v>
      </c>
      <c r="CK91" s="47">
        <f t="shared" si="61"/>
        <v>12267.469879518072</v>
      </c>
      <c r="CL91" s="47">
        <f t="shared" si="62"/>
        <v>2085.469879518072</v>
      </c>
      <c r="CM91" s="242">
        <v>7.0000000000000007E-2</v>
      </c>
      <c r="CN91" s="47">
        <f t="shared" si="63"/>
        <v>858.72289156626516</v>
      </c>
      <c r="CO91" s="242">
        <f t="shared" si="64"/>
        <v>8.4337349397590369E-2</v>
      </c>
      <c r="CQ91" s="2">
        <v>2015</v>
      </c>
      <c r="CR91" s="47">
        <f t="shared" si="73"/>
        <v>159398</v>
      </c>
      <c r="CS91" s="242">
        <f t="shared" si="65"/>
        <v>0.2664786957064616</v>
      </c>
      <c r="CT91" s="47">
        <f t="shared" si="66"/>
        <v>217305.20854267181</v>
      </c>
      <c r="CU91" s="47">
        <f t="shared" si="67"/>
        <v>57907.208542671811</v>
      </c>
      <c r="CV91" s="47">
        <f t="shared" si="68"/>
        <v>159398</v>
      </c>
      <c r="CW91" s="47">
        <f t="shared" si="69"/>
        <v>42371.000000000007</v>
      </c>
      <c r="CX91" s="47">
        <f t="shared" si="70"/>
        <v>41512.277108433744</v>
      </c>
      <c r="CY91" s="242">
        <f t="shared" si="71"/>
        <v>0.2604316058447016</v>
      </c>
      <c r="DD91" s="47"/>
      <c r="DE91" s="47"/>
      <c r="DF91" s="47"/>
      <c r="DG91" s="47"/>
      <c r="DH91" s="47"/>
      <c r="DI91" s="47"/>
      <c r="DJ91" s="47"/>
      <c r="DK91" s="47"/>
      <c r="DL91" s="47"/>
      <c r="DM91" s="47"/>
      <c r="DN91" s="47"/>
      <c r="DO91" s="47"/>
      <c r="DP91" s="47"/>
      <c r="DQ91" s="47"/>
      <c r="DR91" s="47"/>
      <c r="DS91" s="47"/>
      <c r="DT91" s="47"/>
      <c r="EK91">
        <v>1996</v>
      </c>
      <c r="EL91">
        <v>2306</v>
      </c>
      <c r="EM91">
        <v>8348</v>
      </c>
      <c r="EN91">
        <v>0</v>
      </c>
      <c r="EO91">
        <v>6090</v>
      </c>
      <c r="EP91">
        <v>24706</v>
      </c>
      <c r="EQ91">
        <v>41450</v>
      </c>
    </row>
    <row r="92" spans="86:190" x14ac:dyDescent="0.25">
      <c r="CH92" s="2">
        <v>2016</v>
      </c>
      <c r="CI92" s="47">
        <f t="shared" si="72"/>
        <v>23309</v>
      </c>
      <c r="CJ92" s="242">
        <v>0.08</v>
      </c>
      <c r="CK92" s="47">
        <f t="shared" si="61"/>
        <v>25335.869565217392</v>
      </c>
      <c r="CL92" s="47">
        <f t="shared" si="62"/>
        <v>2026.8695652173919</v>
      </c>
      <c r="CM92" s="242">
        <v>0.02</v>
      </c>
      <c r="CN92" s="47">
        <f t="shared" si="63"/>
        <v>506.71739130434787</v>
      </c>
      <c r="CO92" s="242">
        <f t="shared" si="64"/>
        <v>2.1739130434782612E-2</v>
      </c>
      <c r="CQ92" s="2">
        <v>2016</v>
      </c>
      <c r="CR92" s="47">
        <f t="shared" si="73"/>
        <v>181638</v>
      </c>
      <c r="CS92" s="242">
        <f t="shared" si="65"/>
        <v>0.1037616418055043</v>
      </c>
      <c r="CT92" s="47">
        <f t="shared" si="66"/>
        <v>202667.06768266007</v>
      </c>
      <c r="CU92" s="47">
        <f t="shared" si="67"/>
        <v>21029.067682660068</v>
      </c>
      <c r="CV92" s="47">
        <f t="shared" si="68"/>
        <v>181638</v>
      </c>
      <c r="CW92" s="47">
        <f t="shared" si="69"/>
        <v>11677.999999999998</v>
      </c>
      <c r="CX92" s="47">
        <f t="shared" si="70"/>
        <v>11171.28260869565</v>
      </c>
      <c r="CY92" s="242">
        <f t="shared" si="71"/>
        <v>6.1503003824616272E-2</v>
      </c>
      <c r="DA92" s="47"/>
      <c r="DB92" s="47"/>
      <c r="DC92" s="47"/>
      <c r="DD92" s="47"/>
      <c r="DE92" s="47"/>
      <c r="DF92" s="47"/>
      <c r="DG92" s="47"/>
      <c r="DH92" s="47"/>
      <c r="DI92" s="47"/>
      <c r="DJ92" s="47"/>
      <c r="DK92" s="47"/>
      <c r="DL92" s="47"/>
      <c r="DM92" s="47"/>
      <c r="DN92" s="47"/>
      <c r="DO92" s="47"/>
      <c r="DP92" s="47"/>
      <c r="DQ92" s="47"/>
      <c r="DR92" s="47"/>
      <c r="DS92" s="47"/>
      <c r="DT92" s="47"/>
      <c r="DU92" s="47"/>
      <c r="DV92" s="47"/>
      <c r="EG92" s="47"/>
      <c r="EH92" s="47"/>
      <c r="EI92" s="47"/>
      <c r="EK92">
        <v>1997</v>
      </c>
      <c r="EL92">
        <v>70</v>
      </c>
      <c r="EM92">
        <v>12042</v>
      </c>
      <c r="EN92">
        <v>0</v>
      </c>
      <c r="EO92">
        <v>13510</v>
      </c>
      <c r="EP92">
        <v>36398</v>
      </c>
      <c r="EQ92">
        <v>62020</v>
      </c>
    </row>
    <row r="93" spans="86:190" x14ac:dyDescent="0.25">
      <c r="CH93" s="2">
        <v>2017</v>
      </c>
      <c r="CI93" s="47">
        <f t="shared" si="72"/>
        <v>29143</v>
      </c>
      <c r="CJ93" s="242">
        <v>7.0000000000000007E-2</v>
      </c>
      <c r="CK93" s="47">
        <f t="shared" si="61"/>
        <v>31336.559139784949</v>
      </c>
      <c r="CL93" s="47">
        <f t="shared" si="62"/>
        <v>2193.5591397849494</v>
      </c>
      <c r="CM93" s="242">
        <v>0.04</v>
      </c>
      <c r="CN93" s="47">
        <f>CK93*CM93</f>
        <v>1253.4623655913981</v>
      </c>
      <c r="CO93" s="242">
        <f>CN93/CI93</f>
        <v>4.3010752688172053E-2</v>
      </c>
      <c r="CQ93" s="2">
        <v>2017</v>
      </c>
      <c r="CR93" s="47">
        <f t="shared" si="73"/>
        <v>206513</v>
      </c>
      <c r="CS93" s="242">
        <f t="shared" si="65"/>
        <v>0.15015161460237478</v>
      </c>
      <c r="CT93" s="47">
        <f t="shared" si="66"/>
        <v>242999.81449441379</v>
      </c>
      <c r="CU93" s="47">
        <f t="shared" si="67"/>
        <v>36486.814494413789</v>
      </c>
      <c r="CV93" s="47">
        <f t="shared" si="68"/>
        <v>206513</v>
      </c>
      <c r="CW93" s="47">
        <f t="shared" si="69"/>
        <v>22168</v>
      </c>
      <c r="CX93" s="47">
        <f t="shared" si="70"/>
        <v>20914.537634408603</v>
      </c>
      <c r="CY93" s="242">
        <f>CX93/CV93</f>
        <v>0.10127467827404862</v>
      </c>
      <c r="DD93" s="47"/>
      <c r="DE93" s="47"/>
      <c r="DF93" s="47"/>
      <c r="DG93" s="47"/>
      <c r="DH93" s="47"/>
      <c r="DI93" s="47"/>
      <c r="DJ93" s="47"/>
      <c r="DK93" s="47"/>
      <c r="DL93" s="47"/>
      <c r="DM93" s="47"/>
      <c r="DN93" s="47"/>
      <c r="DO93" s="47"/>
      <c r="DP93" s="47"/>
      <c r="DQ93" s="47"/>
      <c r="DR93" s="47"/>
      <c r="DS93" s="47"/>
      <c r="DT93" s="47"/>
      <c r="EK93">
        <v>1998</v>
      </c>
      <c r="EL93">
        <v>1</v>
      </c>
      <c r="EM93">
        <v>4371</v>
      </c>
      <c r="EN93">
        <v>447</v>
      </c>
      <c r="EO93">
        <v>4740</v>
      </c>
      <c r="EP93">
        <v>44717</v>
      </c>
      <c r="EQ93">
        <v>54276</v>
      </c>
    </row>
    <row r="94" spans="86:190" x14ac:dyDescent="0.25">
      <c r="DD94" s="47"/>
      <c r="DE94" s="47"/>
      <c r="DF94" s="47"/>
      <c r="DG94" s="47"/>
      <c r="DH94" s="47"/>
      <c r="DI94" s="47"/>
      <c r="DJ94" s="47"/>
      <c r="DK94" s="47"/>
      <c r="DL94" s="47"/>
      <c r="DM94" s="47"/>
      <c r="DN94" s="47"/>
      <c r="DO94" s="47"/>
      <c r="DP94" s="47"/>
      <c r="DQ94" s="47"/>
      <c r="DR94" s="47"/>
      <c r="DS94" s="47"/>
      <c r="DT94" s="47"/>
      <c r="EK94">
        <v>1999</v>
      </c>
      <c r="EL94">
        <v>28</v>
      </c>
      <c r="EM94">
        <v>26213</v>
      </c>
      <c r="EN94">
        <v>3280</v>
      </c>
      <c r="EO94">
        <v>46960</v>
      </c>
      <c r="EP94">
        <v>72293</v>
      </c>
      <c r="EQ94">
        <v>148774</v>
      </c>
    </row>
    <row r="95" spans="86:190" x14ac:dyDescent="0.25">
      <c r="CH95" t="s">
        <v>480</v>
      </c>
      <c r="CI95" s="47">
        <f>AVERAGE(CI84:CI93)</f>
        <v>31574.486864967366</v>
      </c>
      <c r="CJ95" s="242">
        <f>AVERAGE(CJ84:CJ93)</f>
        <v>9.2999999999999999E-2</v>
      </c>
      <c r="CL95" s="47">
        <f>AVERAGE(CL84:CL93)</f>
        <v>3280.3526750859919</v>
      </c>
      <c r="CM95" s="242"/>
      <c r="CN95" s="47">
        <f>AVERAGE(CN84:CN93)</f>
        <v>1939.4442649849493</v>
      </c>
      <c r="CO95" s="242">
        <f>AVERAGE(CO84:CO93)</f>
        <v>5.9902759279050019E-2</v>
      </c>
      <c r="CQ95" t="s">
        <v>480</v>
      </c>
      <c r="CR95" s="47">
        <f>AVERAGE(CR84:CR93)</f>
        <v>384560.28590102709</v>
      </c>
      <c r="CS95" s="242">
        <f>AVERAGE(CS84:CS93)</f>
        <v>0.12957729017387551</v>
      </c>
      <c r="CU95" s="47">
        <f>AVERAGE(CU84:CU93)</f>
        <v>55450.791407367025</v>
      </c>
      <c r="CW95" s="47">
        <f>AVERAGE(CW84:CW93)</f>
        <v>41049.4</v>
      </c>
      <c r="CX95" s="47">
        <f>AVERAGE(CX84:CX93)</f>
        <v>39109.955735015057</v>
      </c>
      <c r="CY95" s="242">
        <f>AVERAGE(CY84:CY93)</f>
        <v>0.10056484423599384</v>
      </c>
      <c r="DD95" s="47"/>
      <c r="DE95" s="47"/>
      <c r="DF95" s="47"/>
      <c r="DG95" s="47"/>
      <c r="DH95" s="47"/>
      <c r="DI95" s="47"/>
      <c r="DJ95" s="47"/>
      <c r="DK95" s="47"/>
      <c r="DL95" s="47"/>
      <c r="DM95" s="47"/>
      <c r="DN95" s="47"/>
      <c r="DO95" s="47"/>
      <c r="DP95" s="47"/>
      <c r="DQ95" s="47"/>
      <c r="DR95" s="47"/>
      <c r="DS95" s="47"/>
      <c r="DT95" s="47"/>
      <c r="EK95">
        <v>2000</v>
      </c>
      <c r="EL95">
        <v>49</v>
      </c>
      <c r="EM95">
        <v>47611</v>
      </c>
      <c r="EN95">
        <v>6449</v>
      </c>
      <c r="EO95">
        <v>98866</v>
      </c>
      <c r="EP95">
        <v>118439</v>
      </c>
      <c r="EQ95">
        <v>271414</v>
      </c>
    </row>
    <row r="96" spans="86:190" x14ac:dyDescent="0.25">
      <c r="DD96" s="47"/>
      <c r="DE96" s="47"/>
      <c r="DF96" s="47"/>
      <c r="DG96" s="47"/>
      <c r="DH96" s="47"/>
      <c r="DI96" s="47"/>
      <c r="DJ96" s="47"/>
      <c r="DK96" s="47"/>
      <c r="DL96" s="47"/>
      <c r="DM96" s="47"/>
      <c r="DN96" s="47"/>
      <c r="DO96" s="47"/>
      <c r="DP96" s="47"/>
      <c r="DQ96" s="47"/>
      <c r="DR96" s="47"/>
      <c r="DS96" s="47"/>
      <c r="DT96" s="47"/>
      <c r="EK96">
        <v>2001</v>
      </c>
      <c r="EL96">
        <v>275</v>
      </c>
      <c r="EM96">
        <v>115685</v>
      </c>
      <c r="EN96">
        <v>17220</v>
      </c>
      <c r="EO96">
        <v>181491</v>
      </c>
      <c r="EP96">
        <v>210777</v>
      </c>
      <c r="EQ96">
        <v>525448</v>
      </c>
    </row>
    <row r="97" spans="91:147" x14ac:dyDescent="0.25">
      <c r="DD97" s="47"/>
      <c r="DE97" s="47"/>
      <c r="DF97" s="47"/>
      <c r="DG97" s="47"/>
      <c r="DH97" s="47"/>
      <c r="DI97" s="47"/>
      <c r="DJ97" s="47"/>
      <c r="DK97" s="47"/>
      <c r="DL97" s="47"/>
      <c r="DM97" s="47"/>
      <c r="DN97" s="47"/>
      <c r="DO97" s="47"/>
      <c r="DP97" s="47"/>
      <c r="DQ97" s="47"/>
      <c r="DR97" s="47"/>
      <c r="DS97" s="47"/>
      <c r="DT97" s="47"/>
      <c r="EK97">
        <v>2002</v>
      </c>
      <c r="EL97">
        <v>238</v>
      </c>
      <c r="EM97">
        <v>58494</v>
      </c>
      <c r="EN97">
        <v>8646</v>
      </c>
      <c r="EO97">
        <v>81050</v>
      </c>
      <c r="EP97">
        <v>148282</v>
      </c>
      <c r="EQ97">
        <v>296710</v>
      </c>
    </row>
    <row r="98" spans="91:147" x14ac:dyDescent="0.25">
      <c r="CM98" s="278"/>
      <c r="EK98">
        <v>2003</v>
      </c>
      <c r="EL98">
        <v>942</v>
      </c>
      <c r="EM98">
        <v>78984</v>
      </c>
      <c r="EN98">
        <v>19214</v>
      </c>
      <c r="EO98">
        <v>104621</v>
      </c>
      <c r="EP98">
        <v>96192</v>
      </c>
      <c r="EQ98">
        <v>299953</v>
      </c>
    </row>
    <row r="99" spans="91:147" x14ac:dyDescent="0.25">
      <c r="CM99" s="277"/>
      <c r="DD99" s="47"/>
      <c r="DE99" s="47"/>
      <c r="DF99" s="47"/>
      <c r="DG99" s="47"/>
      <c r="DH99" s="47"/>
      <c r="DI99" s="47"/>
      <c r="DJ99" s="47"/>
      <c r="DK99" s="47"/>
      <c r="DL99" s="47"/>
      <c r="DM99" s="47"/>
      <c r="DN99" s="47"/>
      <c r="DO99" s="47"/>
      <c r="DP99" s="47"/>
      <c r="DQ99" s="47"/>
      <c r="DR99" s="47"/>
      <c r="DS99" s="47"/>
      <c r="DT99" s="47"/>
      <c r="EK99">
        <v>2004</v>
      </c>
      <c r="EL99">
        <v>914</v>
      </c>
      <c r="EM99">
        <v>61896</v>
      </c>
      <c r="EN99">
        <v>13780</v>
      </c>
      <c r="EO99">
        <v>51543</v>
      </c>
      <c r="EP99">
        <v>94021</v>
      </c>
      <c r="EQ99">
        <v>222154</v>
      </c>
    </row>
    <row r="100" spans="91:147" x14ac:dyDescent="0.25">
      <c r="CM100" s="47"/>
      <c r="EK100">
        <v>2005</v>
      </c>
      <c r="EL100">
        <v>621</v>
      </c>
      <c r="EM100">
        <v>21204</v>
      </c>
      <c r="EN100">
        <v>1285</v>
      </c>
      <c r="EO100">
        <v>21914</v>
      </c>
      <c r="EP100">
        <v>65467</v>
      </c>
      <c r="EQ100">
        <v>110491</v>
      </c>
    </row>
    <row r="101" spans="91:147" x14ac:dyDescent="0.25">
      <c r="CM101" s="47"/>
      <c r="EK101">
        <v>2006</v>
      </c>
      <c r="EL101">
        <v>1135</v>
      </c>
      <c r="EM101">
        <v>29716</v>
      </c>
      <c r="EN101">
        <v>3671</v>
      </c>
      <c r="EO101">
        <v>14725</v>
      </c>
      <c r="EP101">
        <v>145189</v>
      </c>
      <c r="EQ101">
        <v>194436</v>
      </c>
    </row>
    <row r="102" spans="91:147" x14ac:dyDescent="0.25">
      <c r="CM102" s="47"/>
      <c r="EK102">
        <v>2007</v>
      </c>
      <c r="EL102">
        <v>1432</v>
      </c>
      <c r="EM102">
        <v>57943</v>
      </c>
      <c r="EN102">
        <v>11804</v>
      </c>
      <c r="EO102">
        <v>23111</v>
      </c>
      <c r="EP102">
        <v>100900</v>
      </c>
      <c r="EQ102">
        <v>195190</v>
      </c>
    </row>
    <row r="103" spans="91:147" x14ac:dyDescent="0.25">
      <c r="CM103" s="47"/>
      <c r="EK103">
        <v>2008</v>
      </c>
      <c r="EL103">
        <v>1379</v>
      </c>
      <c r="EM103">
        <v>15205</v>
      </c>
      <c r="EN103">
        <v>2036</v>
      </c>
      <c r="EO103">
        <v>1336</v>
      </c>
      <c r="EP103">
        <v>182284</v>
      </c>
      <c r="EQ103">
        <v>202240</v>
      </c>
    </row>
    <row r="104" spans="91:147" x14ac:dyDescent="0.25">
      <c r="CM104" s="47"/>
      <c r="EK104">
        <v>2009</v>
      </c>
      <c r="EL104">
        <v>1964</v>
      </c>
      <c r="EM104">
        <v>100823</v>
      </c>
      <c r="EN104">
        <v>18781</v>
      </c>
      <c r="EO104">
        <v>12960</v>
      </c>
      <c r="EP104">
        <v>249764</v>
      </c>
      <c r="EQ104">
        <v>384292</v>
      </c>
    </row>
    <row r="105" spans="91:147" x14ac:dyDescent="0.25">
      <c r="CM105" s="47"/>
      <c r="EK105">
        <v>2010</v>
      </c>
      <c r="EL105">
        <v>731</v>
      </c>
      <c r="EM105">
        <v>29696</v>
      </c>
      <c r="EN105">
        <v>4765</v>
      </c>
      <c r="EO105">
        <v>17914</v>
      </c>
      <c r="EP105">
        <v>189200</v>
      </c>
      <c r="EQ105">
        <v>242306</v>
      </c>
    </row>
    <row r="106" spans="91:147" x14ac:dyDescent="0.25">
      <c r="CM106" s="47"/>
      <c r="EK106">
        <v>2011</v>
      </c>
      <c r="EL106">
        <v>1387</v>
      </c>
      <c r="EM106">
        <v>21797</v>
      </c>
      <c r="EN106">
        <v>1995</v>
      </c>
      <c r="EO106">
        <v>9015</v>
      </c>
      <c r="EP106">
        <v>96495</v>
      </c>
      <c r="EQ106">
        <v>130689</v>
      </c>
    </row>
    <row r="107" spans="91:147" x14ac:dyDescent="0.25">
      <c r="CM107" s="47"/>
      <c r="EK107">
        <v>2012</v>
      </c>
      <c r="EL107">
        <v>161</v>
      </c>
      <c r="EM107">
        <v>9456</v>
      </c>
      <c r="EN107">
        <v>1243</v>
      </c>
      <c r="EO107">
        <v>7792</v>
      </c>
      <c r="EP107">
        <v>31583</v>
      </c>
      <c r="EQ107">
        <v>50235</v>
      </c>
    </row>
    <row r="108" spans="91:147" x14ac:dyDescent="0.25">
      <c r="CM108" s="47"/>
      <c r="EK108">
        <v>2013</v>
      </c>
      <c r="EL108">
        <v>896</v>
      </c>
      <c r="EM108">
        <v>23014</v>
      </c>
      <c r="EN108">
        <v>2681</v>
      </c>
      <c r="EO108">
        <v>1096</v>
      </c>
      <c r="EP108">
        <v>80343</v>
      </c>
      <c r="EQ108">
        <v>108030</v>
      </c>
    </row>
    <row r="109" spans="91:147" x14ac:dyDescent="0.25">
      <c r="CM109" s="47"/>
      <c r="EK109">
        <v>2014</v>
      </c>
      <c r="EL109">
        <v>2196</v>
      </c>
      <c r="EM109">
        <v>88402</v>
      </c>
      <c r="EN109">
        <v>20081</v>
      </c>
      <c r="EO109">
        <v>52687</v>
      </c>
      <c r="EP109">
        <v>297017</v>
      </c>
      <c r="EQ109">
        <v>460383</v>
      </c>
    </row>
    <row r="110" spans="91:147" x14ac:dyDescent="0.25">
      <c r="EK110">
        <v>2015</v>
      </c>
      <c r="EL110">
        <v>650</v>
      </c>
      <c r="EM110">
        <v>31925</v>
      </c>
      <c r="EN110">
        <v>3746</v>
      </c>
      <c r="EO110">
        <v>10052</v>
      </c>
      <c r="EP110">
        <v>36256</v>
      </c>
      <c r="EQ110">
        <v>82629</v>
      </c>
    </row>
    <row r="111" spans="91:147" x14ac:dyDescent="0.25">
      <c r="EK111">
        <v>2016</v>
      </c>
      <c r="EL111">
        <v>556</v>
      </c>
      <c r="EM111">
        <v>13960</v>
      </c>
      <c r="EN111">
        <v>1318</v>
      </c>
      <c r="EO111">
        <v>8288</v>
      </c>
      <c r="EP111">
        <v>64624</v>
      </c>
      <c r="EQ111">
        <v>88746</v>
      </c>
    </row>
    <row r="112" spans="91:147" x14ac:dyDescent="0.25">
      <c r="EK112">
        <v>2017</v>
      </c>
      <c r="EL112">
        <v>572</v>
      </c>
      <c r="EM112">
        <v>20745</v>
      </c>
      <c r="EN112">
        <v>2677</v>
      </c>
      <c r="EO112">
        <v>7545</v>
      </c>
      <c r="EP112">
        <v>63522</v>
      </c>
      <c r="EQ112">
        <v>95061</v>
      </c>
    </row>
  </sheetData>
  <mergeCells count="62">
    <mergeCell ref="DW1:ED1"/>
    <mergeCell ref="DW2:ED2"/>
    <mergeCell ref="EA10:EE10"/>
    <mergeCell ref="CV3:EJ3"/>
    <mergeCell ref="DD8:DT8"/>
    <mergeCell ref="DE9:DI9"/>
    <mergeCell ref="DJ9:DN9"/>
    <mergeCell ref="DO9:DS9"/>
    <mergeCell ref="EL79:EQ79"/>
    <mergeCell ref="ER79:EW79"/>
    <mergeCell ref="EX79:FC79"/>
    <mergeCell ref="GD47:GG47"/>
    <mergeCell ref="FF43:FG43"/>
    <mergeCell ref="FX47:GA47"/>
    <mergeCell ref="CH78:CO78"/>
    <mergeCell ref="CQ78:CY78"/>
    <mergeCell ref="EK1:FE2"/>
    <mergeCell ref="EL6:FC6"/>
    <mergeCell ref="EL8:EQ8"/>
    <mergeCell ref="ER8:EW8"/>
    <mergeCell ref="EX8:FC8"/>
    <mergeCell ref="FD8:FE8"/>
    <mergeCell ref="EL43:EQ43"/>
    <mergeCell ref="ER43:EW43"/>
    <mergeCell ref="CH61:CQ61"/>
    <mergeCell ref="CH69:CP69"/>
    <mergeCell ref="CS69:DA69"/>
    <mergeCell ref="EX43:FC43"/>
    <mergeCell ref="EL78:FC78"/>
    <mergeCell ref="DD1:DT2"/>
    <mergeCell ref="J71:J72"/>
    <mergeCell ref="K71:K72"/>
    <mergeCell ref="L71:L72"/>
    <mergeCell ref="HS8:HU8"/>
    <mergeCell ref="GJ10:GP11"/>
    <mergeCell ref="GX8:GZ8"/>
    <mergeCell ref="HB8:HE8"/>
    <mergeCell ref="HG8:HI8"/>
    <mergeCell ref="HK8:HM8"/>
    <mergeCell ref="HO8:HQ8"/>
    <mergeCell ref="FN8:FQ8"/>
    <mergeCell ref="FT8:FV8"/>
    <mergeCell ref="FX8:GA8"/>
    <mergeCell ref="B8:B23"/>
    <mergeCell ref="AQ10:AS10"/>
    <mergeCell ref="AU10:AW10"/>
    <mergeCell ref="GJ13:GP15"/>
    <mergeCell ref="GJ17:GP19"/>
    <mergeCell ref="GJ21:GP22"/>
    <mergeCell ref="FH8:FK8"/>
    <mergeCell ref="GD8:GG8"/>
    <mergeCell ref="DV10:DY10"/>
    <mergeCell ref="EG10:EI10"/>
    <mergeCell ref="FG3:GH3"/>
    <mergeCell ref="B4:B7"/>
    <mergeCell ref="C4:C7"/>
    <mergeCell ref="BP3:BV3"/>
    <mergeCell ref="BX3:CT3"/>
    <mergeCell ref="B2:D3"/>
    <mergeCell ref="E2:F2"/>
    <mergeCell ref="G2:I2"/>
    <mergeCell ref="J2:M2"/>
  </mergeCells>
  <pageMargins left="0.7" right="0.7" top="0.75" bottom="0.75" header="0.3" footer="0.3"/>
  <pageSetup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B137"/>
  <sheetViews>
    <sheetView zoomScale="90" zoomScaleNormal="90" workbookViewId="0">
      <pane xSplit="2" ySplit="4" topLeftCell="O5" activePane="bottomRight" state="frozen"/>
      <selection pane="topRight" activeCell="C1" sqref="C1"/>
      <selection pane="bottomLeft" activeCell="A5" sqref="A5"/>
      <selection pane="bottomRight" activeCell="A3" sqref="A3"/>
    </sheetView>
  </sheetViews>
  <sheetFormatPr defaultRowHeight="15" x14ac:dyDescent="0.25"/>
  <cols>
    <col min="1" max="1" width="13.42578125" customWidth="1"/>
    <col min="2" max="2" width="12.5703125" customWidth="1"/>
    <col min="3" max="3" width="13.28515625" customWidth="1"/>
    <col min="4" max="4" width="13.140625" customWidth="1"/>
    <col min="5" max="5" width="16" customWidth="1"/>
    <col min="6" max="6" width="11.28515625" customWidth="1"/>
    <col min="10" max="10" width="9.140625" customWidth="1"/>
    <col min="11" max="11" width="17.85546875" customWidth="1"/>
    <col min="12" max="14" width="12" customWidth="1"/>
    <col min="16" max="16" width="11" bestFit="1" customWidth="1"/>
    <col min="18" max="18" width="9.5703125" customWidth="1"/>
    <col min="19" max="19" width="12.28515625" customWidth="1"/>
    <col min="20" max="20" width="9.140625" customWidth="1"/>
    <col min="21" max="21" width="10.140625" customWidth="1"/>
    <col min="22" max="22" width="9.140625" customWidth="1"/>
    <col min="24" max="24" width="10" customWidth="1"/>
    <col min="25" max="25" width="11.42578125" customWidth="1"/>
    <col min="26" max="26" width="11.5703125" customWidth="1"/>
    <col min="27" max="27" width="11.28515625" customWidth="1"/>
    <col min="28" max="28" width="23.140625" customWidth="1"/>
    <col min="29" max="32" width="11.42578125" customWidth="1"/>
    <col min="33" max="33" width="11" customWidth="1"/>
    <col min="34" max="34" width="11.140625" customWidth="1"/>
    <col min="35" max="35" width="10.5703125" customWidth="1"/>
    <col min="54" max="54" width="22.7109375" customWidth="1"/>
  </cols>
  <sheetData>
    <row r="1" spans="1:54" s="23" customFormat="1" ht="18.75" x14ac:dyDescent="0.3">
      <c r="A1" s="192" t="s">
        <v>251</v>
      </c>
    </row>
    <row r="2" spans="1:54" s="23" customFormat="1" x14ac:dyDescent="0.25">
      <c r="A2" s="193" t="s">
        <v>299</v>
      </c>
    </row>
    <row r="3" spans="1:54" s="189" customFormat="1" ht="15.75" customHeight="1" x14ac:dyDescent="0.25">
      <c r="B3" s="722"/>
      <c r="C3" s="722"/>
      <c r="D3" s="722" t="s">
        <v>21</v>
      </c>
      <c r="E3" s="722"/>
      <c r="F3" s="722" t="s">
        <v>2</v>
      </c>
      <c r="G3" s="722"/>
      <c r="H3" s="722"/>
      <c r="I3" s="722"/>
      <c r="J3" s="722"/>
      <c r="K3" s="722"/>
      <c r="L3" s="190"/>
      <c r="M3" s="190"/>
      <c r="N3" s="190"/>
    </row>
    <row r="4" spans="1:54" s="189" customFormat="1" x14ac:dyDescent="0.25">
      <c r="B4" s="722"/>
      <c r="C4" s="722"/>
      <c r="D4" s="190" t="s">
        <v>3</v>
      </c>
      <c r="E4" s="190" t="s">
        <v>4</v>
      </c>
      <c r="F4" s="190" t="s">
        <v>204</v>
      </c>
      <c r="G4" s="190" t="s">
        <v>58</v>
      </c>
      <c r="H4" s="190" t="s">
        <v>59</v>
      </c>
      <c r="I4" s="190" t="s">
        <v>163</v>
      </c>
      <c r="J4" s="190" t="s">
        <v>160</v>
      </c>
      <c r="K4" s="190" t="s">
        <v>60</v>
      </c>
      <c r="L4" s="190"/>
      <c r="M4" s="190" t="s">
        <v>46</v>
      </c>
      <c r="N4" s="190"/>
      <c r="O4" s="190"/>
      <c r="P4" s="190"/>
      <c r="Q4" s="191"/>
    </row>
    <row r="5" spans="1:54" x14ac:dyDescent="0.25">
      <c r="A5" t="s">
        <v>45</v>
      </c>
      <c r="B5" s="1" t="s">
        <v>51</v>
      </c>
      <c r="C5" s="170"/>
      <c r="D5" s="187">
        <v>75000</v>
      </c>
      <c r="E5" s="187">
        <v>148931</v>
      </c>
      <c r="F5" s="187">
        <v>75000</v>
      </c>
      <c r="G5" s="170"/>
      <c r="H5" s="170"/>
      <c r="I5" s="170"/>
      <c r="J5" s="170"/>
      <c r="K5" s="170"/>
      <c r="L5" s="170"/>
      <c r="M5" s="148"/>
      <c r="N5" s="170"/>
      <c r="S5" s="282" t="s">
        <v>514</v>
      </c>
      <c r="AC5" s="641" t="s">
        <v>611</v>
      </c>
      <c r="AD5" s="641"/>
      <c r="AE5" s="641"/>
    </row>
    <row r="6" spans="1:54" x14ac:dyDescent="0.25">
      <c r="B6" s="1" t="s">
        <v>76</v>
      </c>
      <c r="C6" s="170"/>
      <c r="D6" s="187">
        <v>700000</v>
      </c>
      <c r="E6" s="187">
        <v>25100</v>
      </c>
      <c r="F6" s="187">
        <v>700000</v>
      </c>
      <c r="G6" s="170"/>
      <c r="H6" s="170"/>
      <c r="I6" s="170"/>
      <c r="J6" s="170"/>
      <c r="K6" s="170"/>
      <c r="L6" s="170"/>
      <c r="M6" s="148"/>
      <c r="N6" s="170"/>
      <c r="AC6" s="224">
        <v>2015</v>
      </c>
      <c r="AD6" s="224">
        <v>2016</v>
      </c>
      <c r="AE6" s="224" t="s">
        <v>518</v>
      </c>
      <c r="AF6" s="224" t="s">
        <v>535</v>
      </c>
      <c r="AH6" s="641" t="s">
        <v>608</v>
      </c>
      <c r="AI6" s="641"/>
    </row>
    <row r="7" spans="1:54" ht="15" customHeight="1" x14ac:dyDescent="0.25">
      <c r="B7" s="1" t="s">
        <v>12</v>
      </c>
      <c r="C7" s="170"/>
      <c r="D7" s="187">
        <v>150000</v>
      </c>
      <c r="E7" s="187">
        <v>402606</v>
      </c>
      <c r="F7" s="187">
        <v>150000</v>
      </c>
      <c r="G7" s="170"/>
      <c r="H7" s="170"/>
      <c r="I7" s="170"/>
      <c r="J7" s="170"/>
      <c r="K7" s="170"/>
      <c r="L7" s="170"/>
      <c r="M7" s="148"/>
      <c r="N7" s="170"/>
      <c r="R7" s="283"/>
      <c r="S7" s="281" t="s">
        <v>516</v>
      </c>
      <c r="T7" s="281"/>
      <c r="W7" s="283"/>
      <c r="X7" s="281" t="s">
        <v>517</v>
      </c>
      <c r="Y7" s="281"/>
      <c r="AC7" s="337" t="s">
        <v>45</v>
      </c>
      <c r="AD7" s="337" t="s">
        <v>45</v>
      </c>
      <c r="AE7" s="337" t="s">
        <v>480</v>
      </c>
      <c r="AF7" s="337" t="s">
        <v>536</v>
      </c>
      <c r="AG7" s="337" t="s">
        <v>534</v>
      </c>
      <c r="AH7" s="337" t="s">
        <v>518</v>
      </c>
      <c r="AI7" s="337" t="s">
        <v>519</v>
      </c>
    </row>
    <row r="8" spans="1:54" x14ac:dyDescent="0.25">
      <c r="B8" s="1" t="s">
        <v>79</v>
      </c>
      <c r="C8" s="170"/>
      <c r="D8" s="187">
        <f>F8</f>
        <v>3745000</v>
      </c>
      <c r="E8" s="187"/>
      <c r="F8" s="187">
        <v>3745000</v>
      </c>
      <c r="G8" s="170"/>
      <c r="H8" s="170"/>
      <c r="I8" s="170"/>
      <c r="J8" s="170"/>
      <c r="K8" s="170"/>
      <c r="L8" s="170"/>
      <c r="M8" s="148"/>
      <c r="N8" s="170"/>
      <c r="R8" s="282"/>
      <c r="S8" s="284" t="s">
        <v>515</v>
      </c>
      <c r="T8" s="285"/>
      <c r="U8" t="s">
        <v>10</v>
      </c>
      <c r="W8" s="282"/>
      <c r="X8" s="284" t="s">
        <v>481</v>
      </c>
      <c r="Y8" s="285"/>
      <c r="Z8" t="s">
        <v>10</v>
      </c>
      <c r="BB8" t="s">
        <v>621</v>
      </c>
    </row>
    <row r="9" spans="1:54" ht="15.75" thickBot="1" x14ac:dyDescent="0.3">
      <c r="B9" s="1" t="s">
        <v>80</v>
      </c>
      <c r="C9" s="170"/>
      <c r="D9" s="187">
        <v>11000</v>
      </c>
      <c r="E9" s="187"/>
      <c r="F9" s="187">
        <v>11000</v>
      </c>
      <c r="G9" s="170"/>
      <c r="H9" s="170"/>
      <c r="I9" s="170"/>
      <c r="J9" s="170"/>
      <c r="K9" s="170"/>
      <c r="L9" s="170"/>
      <c r="M9" s="148"/>
      <c r="N9" s="170"/>
      <c r="R9" s="286" t="s">
        <v>482</v>
      </c>
      <c r="S9" s="286" t="s">
        <v>483</v>
      </c>
      <c r="T9" s="287"/>
      <c r="U9" t="s">
        <v>513</v>
      </c>
      <c r="W9" s="286" t="s">
        <v>482</v>
      </c>
      <c r="X9" s="286" t="s">
        <v>483</v>
      </c>
      <c r="Y9" s="287"/>
      <c r="Z9" t="s">
        <v>513</v>
      </c>
      <c r="AB9" t="s">
        <v>290</v>
      </c>
      <c r="AC9" s="47">
        <f>U15</f>
        <v>165000</v>
      </c>
      <c r="AD9" s="47">
        <f>Z15</f>
        <v>156000</v>
      </c>
      <c r="AE9" s="47">
        <f>AVERAGE(AC9:AD9)</f>
        <v>160500</v>
      </c>
      <c r="AF9" s="47">
        <v>75000</v>
      </c>
      <c r="AG9" s="47">
        <v>150000</v>
      </c>
      <c r="AH9" s="47">
        <v>161000</v>
      </c>
      <c r="AI9" s="320">
        <v>75000</v>
      </c>
    </row>
    <row r="10" spans="1:54" x14ac:dyDescent="0.25">
      <c r="B10" s="1" t="s">
        <v>52</v>
      </c>
      <c r="C10" s="170"/>
      <c r="D10" s="187">
        <v>978000</v>
      </c>
      <c r="E10" s="187">
        <v>1591218</v>
      </c>
      <c r="F10" s="187">
        <v>735000</v>
      </c>
      <c r="G10" s="170"/>
      <c r="H10" s="170"/>
      <c r="I10" s="170"/>
      <c r="J10" s="170"/>
      <c r="K10" s="170"/>
      <c r="L10" s="170"/>
      <c r="M10" s="148"/>
      <c r="N10" s="170"/>
      <c r="O10" t="s">
        <v>344</v>
      </c>
      <c r="P10" s="47">
        <f>SUM(D5:D20)</f>
        <v>10993000</v>
      </c>
      <c r="R10" s="281"/>
      <c r="S10" s="281"/>
      <c r="T10" s="288"/>
      <c r="W10" s="281"/>
      <c r="X10" s="281"/>
      <c r="Y10" s="288"/>
      <c r="AB10" t="s">
        <v>291</v>
      </c>
      <c r="AC10" s="47">
        <f>U43</f>
        <v>654000</v>
      </c>
      <c r="AD10" s="47">
        <f>Z43</f>
        <v>920000</v>
      </c>
      <c r="AE10" s="47">
        <f t="shared" ref="AE10:AE25" si="0">AVERAGE(AC10:AD10)</f>
        <v>787000</v>
      </c>
      <c r="AF10" s="47">
        <v>700000</v>
      </c>
      <c r="AG10" s="47"/>
      <c r="AH10" s="47">
        <v>787000</v>
      </c>
      <c r="AI10" s="320">
        <v>700000</v>
      </c>
    </row>
    <row r="11" spans="1:54" ht="15.75" customHeight="1" thickBot="1" x14ac:dyDescent="0.3">
      <c r="B11" s="1" t="s">
        <v>84</v>
      </c>
      <c r="C11" s="170"/>
      <c r="D11" s="187">
        <v>978000</v>
      </c>
      <c r="E11" s="187">
        <v>1591218</v>
      </c>
      <c r="F11" s="187">
        <v>978000</v>
      </c>
      <c r="G11" s="170"/>
      <c r="H11" s="170"/>
      <c r="I11" s="170"/>
      <c r="J11" s="170"/>
      <c r="K11" s="170"/>
      <c r="L11" s="170"/>
      <c r="M11" s="148"/>
      <c r="N11" s="170"/>
      <c r="O11" t="s">
        <v>345</v>
      </c>
      <c r="P11" s="47">
        <f>SUM(D23:D25)</f>
        <v>5000000</v>
      </c>
      <c r="R11" s="289" t="s">
        <v>484</v>
      </c>
      <c r="S11" s="290"/>
      <c r="T11" s="291"/>
      <c r="W11" s="289" t="s">
        <v>484</v>
      </c>
      <c r="X11" s="290"/>
      <c r="Y11" s="291"/>
      <c r="AB11" t="s">
        <v>12</v>
      </c>
      <c r="AC11" s="47"/>
      <c r="AD11" s="47"/>
      <c r="AE11" s="47"/>
      <c r="AF11" s="47">
        <v>150000</v>
      </c>
      <c r="AG11" s="47">
        <v>0</v>
      </c>
      <c r="AH11" s="47">
        <v>0</v>
      </c>
      <c r="AI11" s="320">
        <v>150000</v>
      </c>
    </row>
    <row r="12" spans="1:54" ht="15.75" customHeight="1" x14ac:dyDescent="0.25">
      <c r="B12" s="1" t="s">
        <v>83</v>
      </c>
      <c r="C12" s="170"/>
      <c r="D12" s="187">
        <v>1200000</v>
      </c>
      <c r="E12" s="187"/>
      <c r="F12" s="187">
        <v>1200000</v>
      </c>
      <c r="G12" s="170"/>
      <c r="H12" s="170"/>
      <c r="I12" s="170"/>
      <c r="J12" s="170"/>
      <c r="K12" s="170"/>
      <c r="L12" s="170"/>
      <c r="M12" s="148"/>
      <c r="N12" s="170"/>
      <c r="O12" t="s">
        <v>346</v>
      </c>
      <c r="P12" s="47">
        <f>SUM(D26:D27)</f>
        <v>1500000</v>
      </c>
      <c r="R12" s="281"/>
      <c r="S12" s="281"/>
      <c r="T12" s="288"/>
      <c r="W12" s="281"/>
      <c r="X12" s="281"/>
      <c r="Y12" s="288"/>
      <c r="AB12" t="s">
        <v>292</v>
      </c>
      <c r="AC12" s="47">
        <f>U56</f>
        <v>3352658</v>
      </c>
      <c r="AD12" s="47">
        <f>Z56</f>
        <v>3945158</v>
      </c>
      <c r="AE12" s="47">
        <f t="shared" si="0"/>
        <v>3648908</v>
      </c>
      <c r="AF12" s="47">
        <v>3745000</v>
      </c>
      <c r="AG12" s="47"/>
      <c r="AH12" s="47">
        <v>3745000</v>
      </c>
      <c r="AI12" s="320">
        <v>3745000</v>
      </c>
    </row>
    <row r="13" spans="1:54" x14ac:dyDescent="0.25">
      <c r="B13" s="1" t="s">
        <v>66</v>
      </c>
      <c r="C13" s="170"/>
      <c r="D13" s="187">
        <v>90000</v>
      </c>
      <c r="E13" s="187">
        <v>95618</v>
      </c>
      <c r="F13" s="187">
        <v>90000</v>
      </c>
      <c r="G13" s="170"/>
      <c r="H13" s="170"/>
      <c r="I13" s="170"/>
      <c r="J13" s="170"/>
      <c r="K13" s="170"/>
      <c r="L13" s="170"/>
      <c r="M13" s="148"/>
      <c r="N13" s="170"/>
      <c r="O13" t="s">
        <v>347</v>
      </c>
      <c r="P13" s="219">
        <f>D28</f>
        <v>1330000</v>
      </c>
      <c r="R13" s="281" t="s">
        <v>485</v>
      </c>
      <c r="S13" s="281"/>
      <c r="T13" s="288"/>
      <c r="U13">
        <v>3880774</v>
      </c>
      <c r="V13">
        <v>3880774</v>
      </c>
      <c r="W13" s="281" t="s">
        <v>485</v>
      </c>
      <c r="X13" s="281"/>
      <c r="Y13" s="288"/>
      <c r="Z13">
        <v>3447449</v>
      </c>
      <c r="AB13" t="s">
        <v>80</v>
      </c>
      <c r="AC13" s="47"/>
      <c r="AD13" s="47"/>
      <c r="AE13" s="47"/>
      <c r="AF13" s="47">
        <v>11000</v>
      </c>
      <c r="AG13" s="47"/>
      <c r="AH13" s="47">
        <v>9000</v>
      </c>
      <c r="AI13" s="320">
        <v>9000</v>
      </c>
    </row>
    <row r="14" spans="1:54" x14ac:dyDescent="0.25">
      <c r="B14" s="1" t="s">
        <v>81</v>
      </c>
      <c r="C14" s="170"/>
      <c r="D14" s="187">
        <v>108000</v>
      </c>
      <c r="E14" s="43">
        <f>166321+198000</f>
        <v>364321</v>
      </c>
      <c r="F14" s="187">
        <v>108000</v>
      </c>
      <c r="G14" s="170"/>
      <c r="H14" s="170"/>
      <c r="I14" s="170"/>
      <c r="J14" s="170"/>
      <c r="K14" s="170"/>
      <c r="L14" s="170"/>
      <c r="M14" s="148"/>
      <c r="N14" s="170"/>
      <c r="R14" s="281"/>
      <c r="S14" s="281"/>
      <c r="T14" s="288"/>
      <c r="W14" s="281"/>
      <c r="X14" s="281"/>
      <c r="Y14" s="288"/>
      <c r="AB14" t="s">
        <v>293</v>
      </c>
      <c r="AC14" s="47">
        <f>U46</f>
        <v>537661</v>
      </c>
      <c r="AD14" s="47">
        <f>Z46</f>
        <v>568328</v>
      </c>
      <c r="AE14" s="47">
        <f t="shared" si="0"/>
        <v>552994.5</v>
      </c>
      <c r="AF14" s="47">
        <v>978000</v>
      </c>
      <c r="AG14" s="47"/>
      <c r="AH14" s="47">
        <v>543000</v>
      </c>
      <c r="AI14" s="320">
        <v>735000</v>
      </c>
    </row>
    <row r="15" spans="1:54" x14ac:dyDescent="0.25">
      <c r="B15" s="1" t="s">
        <v>85</v>
      </c>
      <c r="C15" s="170"/>
      <c r="D15" s="187">
        <v>1100000</v>
      </c>
      <c r="E15" s="187">
        <v>1236000</v>
      </c>
      <c r="F15" s="187">
        <v>1100000</v>
      </c>
      <c r="G15" s="170"/>
      <c r="H15" s="170"/>
      <c r="I15" s="170"/>
      <c r="J15" s="170"/>
      <c r="K15" s="170"/>
      <c r="L15" s="170"/>
      <c r="M15" s="148"/>
      <c r="N15" s="170"/>
      <c r="P15" s="47">
        <f>SUM(P10:P13)</f>
        <v>18823000</v>
      </c>
      <c r="R15" s="281" t="s">
        <v>486</v>
      </c>
      <c r="S15" s="281" t="s">
        <v>487</v>
      </c>
      <c r="T15" s="288"/>
      <c r="U15">
        <v>165000</v>
      </c>
      <c r="V15">
        <v>165000</v>
      </c>
      <c r="W15" s="281" t="s">
        <v>486</v>
      </c>
      <c r="X15" s="281" t="s">
        <v>487</v>
      </c>
      <c r="Y15" s="288"/>
      <c r="Z15">
        <v>156000</v>
      </c>
      <c r="AB15" t="s">
        <v>294</v>
      </c>
      <c r="AC15" s="731">
        <f>U16</f>
        <v>2261971</v>
      </c>
      <c r="AD15" s="731">
        <f>Z16</f>
        <v>2112914</v>
      </c>
      <c r="AE15" s="731">
        <f t="shared" si="0"/>
        <v>2187442.5</v>
      </c>
      <c r="AF15" s="47">
        <v>978000</v>
      </c>
      <c r="AG15" s="47">
        <v>978000</v>
      </c>
      <c r="AH15" s="47"/>
      <c r="AI15" s="320">
        <v>978000</v>
      </c>
    </row>
    <row r="16" spans="1:54" x14ac:dyDescent="0.25">
      <c r="B16" s="1" t="s">
        <v>86</v>
      </c>
      <c r="C16" s="170"/>
      <c r="D16" s="187">
        <f>F16</f>
        <v>900000</v>
      </c>
      <c r="E16" s="187"/>
      <c r="F16" s="187">
        <v>900000</v>
      </c>
      <c r="G16" s="170"/>
      <c r="H16" s="170"/>
      <c r="I16" s="170"/>
      <c r="J16" s="170"/>
      <c r="K16" s="170"/>
      <c r="L16" s="170"/>
      <c r="M16" s="170"/>
      <c r="N16" s="170"/>
      <c r="R16" s="281" t="s">
        <v>486</v>
      </c>
      <c r="S16" s="281" t="s">
        <v>488</v>
      </c>
      <c r="T16" s="288"/>
      <c r="U16">
        <v>2261971</v>
      </c>
      <c r="V16">
        <v>2261971</v>
      </c>
      <c r="W16" s="281" t="s">
        <v>486</v>
      </c>
      <c r="X16" s="281" t="s">
        <v>488</v>
      </c>
      <c r="Y16" s="288"/>
      <c r="Z16">
        <v>2112914</v>
      </c>
      <c r="AB16" t="s">
        <v>295</v>
      </c>
      <c r="AC16" s="731"/>
      <c r="AD16" s="731"/>
      <c r="AE16" s="731"/>
      <c r="AF16" s="47">
        <v>1200000</v>
      </c>
      <c r="AG16" s="47">
        <v>1200000</v>
      </c>
      <c r="AH16" s="47"/>
      <c r="AI16" s="320">
        <v>1200000</v>
      </c>
    </row>
    <row r="17" spans="1:35" x14ac:dyDescent="0.25">
      <c r="B17" s="1" t="s">
        <v>53</v>
      </c>
      <c r="C17" s="170"/>
      <c r="D17" s="187">
        <v>108000</v>
      </c>
      <c r="E17" s="187">
        <v>777122</v>
      </c>
      <c r="F17" s="187">
        <v>108000</v>
      </c>
      <c r="G17" s="170"/>
      <c r="H17" s="170"/>
      <c r="I17" s="170"/>
      <c r="J17" s="170"/>
      <c r="K17" s="170"/>
      <c r="L17" s="170"/>
      <c r="M17" s="170"/>
      <c r="N17" s="170"/>
      <c r="R17" s="281" t="s">
        <v>486</v>
      </c>
      <c r="S17" s="281" t="s">
        <v>489</v>
      </c>
      <c r="T17" s="288"/>
      <c r="U17">
        <v>329906</v>
      </c>
      <c r="V17">
        <v>329906</v>
      </c>
      <c r="W17" s="281" t="s">
        <v>486</v>
      </c>
      <c r="X17" s="281" t="s">
        <v>489</v>
      </c>
      <c r="Y17" s="288"/>
      <c r="Z17">
        <v>89680</v>
      </c>
      <c r="AB17" t="s">
        <v>66</v>
      </c>
      <c r="AC17" s="47">
        <f>U38</f>
        <v>163993</v>
      </c>
      <c r="AD17" s="47">
        <f>Z38</f>
        <v>25355</v>
      </c>
      <c r="AE17" s="47">
        <f t="shared" si="0"/>
        <v>94674</v>
      </c>
      <c r="AF17" s="47">
        <v>90000</v>
      </c>
      <c r="AG17" s="47">
        <v>150000</v>
      </c>
      <c r="AH17" s="47">
        <v>163000</v>
      </c>
      <c r="AI17" s="320">
        <v>90000</v>
      </c>
    </row>
    <row r="18" spans="1:35" x14ac:dyDescent="0.25">
      <c r="B18" s="1" t="s">
        <v>73</v>
      </c>
      <c r="C18" s="170"/>
      <c r="D18" s="187">
        <v>350000</v>
      </c>
      <c r="E18" s="187">
        <v>1500000</v>
      </c>
      <c r="F18" s="187"/>
      <c r="G18" s="170"/>
      <c r="H18" s="170"/>
      <c r="I18" s="170"/>
      <c r="J18" s="170"/>
      <c r="K18" s="170"/>
      <c r="L18" s="170"/>
      <c r="M18" s="170"/>
      <c r="N18" s="170"/>
      <c r="R18" s="281" t="s">
        <v>486</v>
      </c>
      <c r="S18" s="281" t="s">
        <v>490</v>
      </c>
      <c r="T18" s="288"/>
      <c r="U18">
        <v>969998</v>
      </c>
      <c r="V18">
        <v>969998</v>
      </c>
      <c r="W18" s="281" t="s">
        <v>486</v>
      </c>
      <c r="X18" s="281" t="s">
        <v>490</v>
      </c>
      <c r="Y18" s="288"/>
      <c r="Z18">
        <v>935240</v>
      </c>
      <c r="AB18" t="s">
        <v>16</v>
      </c>
      <c r="AC18" s="47">
        <f>U17</f>
        <v>329906</v>
      </c>
      <c r="AD18" s="47">
        <f>Z17</f>
        <v>89680</v>
      </c>
      <c r="AE18" s="47">
        <f t="shared" si="0"/>
        <v>209793</v>
      </c>
      <c r="AF18" s="47">
        <v>108000</v>
      </c>
      <c r="AG18" s="130" t="s">
        <v>537</v>
      </c>
      <c r="AH18" s="47">
        <v>459000</v>
      </c>
      <c r="AI18" s="320">
        <v>300000</v>
      </c>
    </row>
    <row r="19" spans="1:35" x14ac:dyDescent="0.25">
      <c r="B19" s="1" t="s">
        <v>72</v>
      </c>
      <c r="C19" s="170"/>
      <c r="D19" s="187">
        <v>300000</v>
      </c>
      <c r="E19" s="187">
        <v>1200000</v>
      </c>
      <c r="F19" s="187">
        <v>300000</v>
      </c>
      <c r="G19" s="170"/>
      <c r="H19" s="170"/>
      <c r="I19" s="170"/>
      <c r="J19" s="170"/>
      <c r="K19" s="170"/>
      <c r="L19" s="170"/>
      <c r="M19" s="170"/>
      <c r="N19" s="170"/>
      <c r="R19" s="281" t="s">
        <v>486</v>
      </c>
      <c r="S19" s="281" t="s">
        <v>491</v>
      </c>
      <c r="T19" s="288"/>
      <c r="U19">
        <v>153899</v>
      </c>
      <c r="V19">
        <v>153899</v>
      </c>
      <c r="W19" s="281" t="s">
        <v>486</v>
      </c>
      <c r="X19" s="281" t="s">
        <v>491</v>
      </c>
      <c r="Y19" s="288"/>
      <c r="Z19">
        <v>153615</v>
      </c>
      <c r="AB19" t="s">
        <v>297</v>
      </c>
      <c r="AC19" s="47">
        <f>U40</f>
        <v>1178986</v>
      </c>
      <c r="AD19" s="47">
        <f>Z40</f>
        <v>1242461</v>
      </c>
      <c r="AE19" s="47">
        <f>AVERAGE(AC19:AD19)</f>
        <v>1210723.5</v>
      </c>
      <c r="AF19" s="47">
        <v>1100000</v>
      </c>
      <c r="AG19" s="47">
        <v>1100000</v>
      </c>
      <c r="AH19" s="47">
        <v>1100000</v>
      </c>
      <c r="AI19" s="320">
        <v>1100000</v>
      </c>
    </row>
    <row r="20" spans="1:35" x14ac:dyDescent="0.25">
      <c r="B20" s="1" t="s">
        <v>298</v>
      </c>
      <c r="C20" s="170"/>
      <c r="D20" s="187">
        <v>200000</v>
      </c>
      <c r="E20" s="187"/>
      <c r="F20" s="187">
        <v>250000</v>
      </c>
      <c r="G20" s="170"/>
      <c r="H20" s="170"/>
      <c r="I20" s="170"/>
      <c r="J20" s="170"/>
      <c r="K20" s="170"/>
      <c r="L20" s="170"/>
      <c r="M20" s="170"/>
      <c r="N20" s="170"/>
      <c r="R20" s="281"/>
      <c r="S20" s="282" t="s">
        <v>492</v>
      </c>
      <c r="T20" s="288"/>
      <c r="U20">
        <v>3880774</v>
      </c>
      <c r="V20">
        <v>3880774</v>
      </c>
      <c r="W20" s="281"/>
      <c r="X20" s="282" t="s">
        <v>492</v>
      </c>
      <c r="Y20" s="288"/>
      <c r="Z20">
        <v>3447449</v>
      </c>
      <c r="AB20" t="s">
        <v>296</v>
      </c>
      <c r="AC20" s="47">
        <f>U18</f>
        <v>969998</v>
      </c>
      <c r="AD20" s="47">
        <f>Z18</f>
        <v>935240</v>
      </c>
      <c r="AE20" s="47">
        <f t="shared" si="0"/>
        <v>952619</v>
      </c>
      <c r="AF20" s="47">
        <v>900000</v>
      </c>
      <c r="AG20" s="47">
        <v>900000</v>
      </c>
      <c r="AH20" s="47">
        <v>900000</v>
      </c>
      <c r="AI20" s="320">
        <v>900000</v>
      </c>
    </row>
    <row r="21" spans="1:35" x14ac:dyDescent="0.25">
      <c r="B21" s="1"/>
      <c r="C21" s="170"/>
      <c r="D21" s="187">
        <f>SUM(D5:D20)</f>
        <v>10993000</v>
      </c>
      <c r="E21" s="187"/>
      <c r="F21" s="187"/>
      <c r="G21" s="170"/>
      <c r="H21" s="170"/>
      <c r="I21" s="170"/>
      <c r="J21" s="170"/>
      <c r="K21" s="170"/>
      <c r="L21" s="170"/>
      <c r="M21" s="170"/>
      <c r="N21" s="170"/>
      <c r="R21" s="281"/>
      <c r="S21" s="281"/>
      <c r="T21" s="288"/>
      <c r="W21" s="281"/>
      <c r="X21" s="281"/>
      <c r="Y21" s="288"/>
      <c r="AB21" t="s">
        <v>53</v>
      </c>
      <c r="AC21" s="47">
        <f>U19</f>
        <v>153899</v>
      </c>
      <c r="AD21" s="47">
        <f>Z19</f>
        <v>153615</v>
      </c>
      <c r="AE21" s="47">
        <f t="shared" si="0"/>
        <v>153757</v>
      </c>
      <c r="AF21" s="47">
        <v>108000</v>
      </c>
      <c r="AG21" s="47">
        <v>150000</v>
      </c>
      <c r="AH21" s="47">
        <v>154000</v>
      </c>
      <c r="AI21" s="320">
        <v>108000</v>
      </c>
    </row>
    <row r="22" spans="1:35" x14ac:dyDescent="0.25">
      <c r="B22" s="1"/>
      <c r="C22" s="170"/>
      <c r="D22" s="187"/>
      <c r="E22" s="187"/>
      <c r="F22" s="187"/>
      <c r="G22" s="170"/>
      <c r="H22" s="170"/>
      <c r="I22" s="170"/>
      <c r="J22" s="170"/>
      <c r="K22" s="170"/>
      <c r="L22" s="170"/>
      <c r="M22" s="170"/>
      <c r="N22" s="170"/>
      <c r="R22" s="281" t="s">
        <v>493</v>
      </c>
      <c r="S22" s="281"/>
      <c r="T22" s="288"/>
      <c r="U22">
        <v>3527489</v>
      </c>
      <c r="V22">
        <v>3527489</v>
      </c>
      <c r="W22" s="281" t="s">
        <v>493</v>
      </c>
      <c r="X22" s="281"/>
      <c r="Y22" s="288"/>
      <c r="Z22">
        <v>3477223</v>
      </c>
      <c r="AB22" t="s">
        <v>520</v>
      </c>
      <c r="AC22" s="47">
        <f>U35</f>
        <v>331233</v>
      </c>
      <c r="AD22" s="47">
        <f>Z35</f>
        <v>308656</v>
      </c>
      <c r="AE22" s="47">
        <f t="shared" si="0"/>
        <v>319944.5</v>
      </c>
      <c r="AF22" s="47">
        <v>350000</v>
      </c>
      <c r="AG22" s="47"/>
      <c r="AH22" s="47">
        <v>350000</v>
      </c>
      <c r="AI22" s="320">
        <v>350000</v>
      </c>
    </row>
    <row r="23" spans="1:35" x14ac:dyDescent="0.25">
      <c r="B23" s="167" t="s">
        <v>300</v>
      </c>
      <c r="C23" s="167"/>
      <c r="D23" s="196">
        <v>3500000</v>
      </c>
      <c r="E23" s="195"/>
      <c r="F23" s="196">
        <v>3500000</v>
      </c>
      <c r="G23" s="195"/>
      <c r="H23" s="195"/>
      <c r="I23" s="195"/>
      <c r="J23" s="195"/>
      <c r="K23" s="167" t="s">
        <v>301</v>
      </c>
      <c r="L23" s="1"/>
      <c r="M23" s="1"/>
      <c r="N23" s="1"/>
      <c r="R23" s="281"/>
      <c r="S23" s="281"/>
      <c r="T23" s="288"/>
      <c r="W23" s="281"/>
      <c r="X23" s="281"/>
      <c r="Y23" s="288"/>
      <c r="AB23" t="s">
        <v>72</v>
      </c>
      <c r="AC23" s="47">
        <f>U48</f>
        <v>200000</v>
      </c>
      <c r="AD23" s="47">
        <f>Z48</f>
        <v>199981</v>
      </c>
      <c r="AE23" s="47">
        <f t="shared" si="0"/>
        <v>199990.5</v>
      </c>
      <c r="AF23" s="47">
        <v>300000</v>
      </c>
      <c r="AG23" s="47"/>
      <c r="AH23" s="47">
        <v>300000</v>
      </c>
      <c r="AI23" s="320">
        <v>300000</v>
      </c>
    </row>
    <row r="24" spans="1:35" ht="17.25" x14ac:dyDescent="0.25">
      <c r="B24" s="167" t="s">
        <v>302</v>
      </c>
      <c r="C24" s="167"/>
      <c r="D24" s="196">
        <v>500000</v>
      </c>
      <c r="E24" s="196">
        <v>1500000</v>
      </c>
      <c r="F24" s="195"/>
      <c r="H24" s="195"/>
      <c r="I24" s="195"/>
      <c r="J24" s="195"/>
      <c r="K24" s="195"/>
      <c r="L24" s="1"/>
      <c r="M24" s="167" t="s">
        <v>303</v>
      </c>
      <c r="N24" s="1"/>
      <c r="R24" s="281" t="s">
        <v>486</v>
      </c>
      <c r="S24" s="281" t="s">
        <v>494</v>
      </c>
      <c r="T24" s="288"/>
      <c r="U24">
        <v>1000000</v>
      </c>
      <c r="V24">
        <v>1000000</v>
      </c>
      <c r="W24" s="281" t="s">
        <v>486</v>
      </c>
      <c r="X24" s="281" t="s">
        <v>494</v>
      </c>
      <c r="Y24" s="288"/>
      <c r="Z24">
        <v>1000000</v>
      </c>
      <c r="AB24" t="s">
        <v>298</v>
      </c>
      <c r="AC24" s="47">
        <f>U47</f>
        <v>353525</v>
      </c>
      <c r="AD24" s="47">
        <f>Z47</f>
        <v>292998</v>
      </c>
      <c r="AE24" s="47">
        <f t="shared" si="0"/>
        <v>323261.5</v>
      </c>
      <c r="AF24" s="47">
        <v>200000</v>
      </c>
      <c r="AG24" s="47"/>
      <c r="AH24" s="47">
        <v>323000</v>
      </c>
      <c r="AI24" s="320">
        <v>250000</v>
      </c>
    </row>
    <row r="25" spans="1:35" x14ac:dyDescent="0.25">
      <c r="B25" s="167" t="s">
        <v>306</v>
      </c>
      <c r="C25" s="167"/>
      <c r="D25" s="196">
        <v>1000000</v>
      </c>
      <c r="E25" s="195"/>
      <c r="F25" s="197">
        <v>1000000</v>
      </c>
      <c r="G25" s="195"/>
      <c r="H25" s="195"/>
      <c r="I25" s="195"/>
      <c r="J25" s="195"/>
      <c r="K25" s="167" t="s">
        <v>305</v>
      </c>
      <c r="L25" s="1"/>
      <c r="M25" s="1"/>
      <c r="N25" s="1"/>
      <c r="R25" s="281" t="s">
        <v>486</v>
      </c>
      <c r="S25" s="281" t="s">
        <v>495</v>
      </c>
      <c r="T25" s="288"/>
      <c r="U25">
        <v>2527489</v>
      </c>
      <c r="V25">
        <v>2527489</v>
      </c>
      <c r="W25" s="281" t="s">
        <v>486</v>
      </c>
      <c r="X25" s="281" t="s">
        <v>495</v>
      </c>
      <c r="Y25" s="288"/>
      <c r="Z25">
        <v>2477223</v>
      </c>
      <c r="AB25" s="148" t="s">
        <v>275</v>
      </c>
      <c r="AC25" s="32">
        <f>U26</f>
        <v>3527489</v>
      </c>
      <c r="AD25" s="32">
        <f>Z26</f>
        <v>3477223</v>
      </c>
      <c r="AE25" s="47">
        <f t="shared" si="0"/>
        <v>3502356</v>
      </c>
      <c r="AF25" s="32">
        <v>3500000</v>
      </c>
      <c r="AG25" s="47"/>
      <c r="AH25" s="47">
        <v>3607000</v>
      </c>
      <c r="AI25" s="320">
        <v>3500000</v>
      </c>
    </row>
    <row r="26" spans="1:35" ht="17.25" x14ac:dyDescent="0.25">
      <c r="B26" s="167" t="s">
        <v>307</v>
      </c>
      <c r="C26" s="167"/>
      <c r="D26" s="196">
        <v>1000000</v>
      </c>
      <c r="E26" s="195"/>
      <c r="F26" s="197">
        <v>1000000</v>
      </c>
      <c r="G26" s="195"/>
      <c r="H26" s="195"/>
      <c r="I26" s="195"/>
      <c r="J26" s="195"/>
      <c r="K26" s="167" t="s">
        <v>305</v>
      </c>
      <c r="L26" s="1"/>
      <c r="M26" s="1"/>
      <c r="N26" s="1"/>
      <c r="R26" s="281"/>
      <c r="S26" s="282" t="s">
        <v>496</v>
      </c>
      <c r="T26" s="288"/>
      <c r="U26">
        <v>3527489</v>
      </c>
      <c r="V26">
        <v>3527489</v>
      </c>
      <c r="W26" s="281"/>
      <c r="X26" s="282" t="s">
        <v>496</v>
      </c>
      <c r="Y26" s="288"/>
      <c r="Z26">
        <v>3477223</v>
      </c>
    </row>
    <row r="27" spans="1:35" ht="17.25" x14ac:dyDescent="0.25">
      <c r="B27" s="167" t="s">
        <v>308</v>
      </c>
      <c r="C27" s="167"/>
      <c r="D27" s="196">
        <v>500000</v>
      </c>
      <c r="E27" s="195"/>
      <c r="F27" s="197">
        <v>1000000</v>
      </c>
      <c r="G27" s="195"/>
      <c r="H27" s="195"/>
      <c r="I27" s="195"/>
      <c r="J27" s="195"/>
      <c r="K27" s="167" t="s">
        <v>305</v>
      </c>
      <c r="L27" s="1"/>
      <c r="M27" s="1"/>
      <c r="N27" s="1"/>
      <c r="R27" s="281"/>
      <c r="S27" s="281"/>
      <c r="T27" s="288"/>
      <c r="W27" s="281"/>
      <c r="X27" s="281"/>
      <c r="Y27" s="288"/>
      <c r="AH27" s="716"/>
      <c r="AI27" s="716"/>
    </row>
    <row r="28" spans="1:35" x14ac:dyDescent="0.25">
      <c r="B28" s="167" t="s">
        <v>304</v>
      </c>
      <c r="C28" s="167"/>
      <c r="D28" s="197">
        <v>1330000</v>
      </c>
      <c r="E28" s="195"/>
      <c r="F28" s="197">
        <v>1330000</v>
      </c>
      <c r="G28" s="195"/>
      <c r="H28" s="195"/>
      <c r="I28" s="195"/>
      <c r="J28" s="195"/>
      <c r="K28" s="167" t="s">
        <v>305</v>
      </c>
      <c r="L28" s="1"/>
      <c r="M28" s="1"/>
      <c r="N28" s="1"/>
      <c r="R28" s="281" t="s">
        <v>497</v>
      </c>
      <c r="S28" s="281"/>
      <c r="T28" s="288"/>
      <c r="U28">
        <v>7408263</v>
      </c>
      <c r="V28">
        <v>7408263</v>
      </c>
      <c r="W28" s="281" t="s">
        <v>497</v>
      </c>
      <c r="X28" s="281"/>
      <c r="Y28" s="288"/>
      <c r="Z28">
        <v>6924672</v>
      </c>
      <c r="AH28" s="2"/>
      <c r="AI28" s="2"/>
    </row>
    <row r="29" spans="1:35" ht="15.75" thickBot="1" x14ac:dyDescent="0.3">
      <c r="R29" s="292"/>
      <c r="S29" s="292"/>
      <c r="T29" s="293"/>
      <c r="W29" s="292"/>
      <c r="X29" s="292"/>
      <c r="Y29" s="293"/>
      <c r="AH29" s="47"/>
      <c r="AI29" s="47"/>
    </row>
    <row r="30" spans="1:35" x14ac:dyDescent="0.25">
      <c r="A30" s="1" t="s">
        <v>43</v>
      </c>
      <c r="B30" s="1" t="s">
        <v>51</v>
      </c>
      <c r="C30" s="1"/>
      <c r="D30" s="187">
        <v>90</v>
      </c>
      <c r="E30" s="187"/>
      <c r="F30" s="187">
        <v>90</v>
      </c>
      <c r="G30" s="170"/>
      <c r="H30" s="170"/>
      <c r="I30" s="170"/>
      <c r="J30" s="170"/>
      <c r="K30" s="170"/>
      <c r="L30" s="170"/>
      <c r="M30" s="170"/>
      <c r="N30" s="170"/>
      <c r="R30" s="281"/>
      <c r="S30" s="281"/>
      <c r="T30" s="288"/>
      <c r="W30" s="281"/>
      <c r="X30" s="281"/>
      <c r="Y30" s="288"/>
      <c r="AH30" s="47"/>
      <c r="AI30" s="47"/>
    </row>
    <row r="31" spans="1:35" ht="15.75" thickBot="1" x14ac:dyDescent="0.3">
      <c r="B31" s="1" t="s">
        <v>76</v>
      </c>
      <c r="C31" s="170"/>
      <c r="D31" s="187">
        <f>F31</f>
        <v>800</v>
      </c>
      <c r="E31" s="187"/>
      <c r="F31" s="187">
        <v>800</v>
      </c>
      <c r="G31" s="170"/>
      <c r="H31" s="170"/>
      <c r="I31" s="170"/>
      <c r="J31" s="170"/>
      <c r="K31" s="170"/>
      <c r="L31" s="170"/>
      <c r="M31" s="170"/>
      <c r="N31" s="170"/>
      <c r="R31" s="289" t="s">
        <v>498</v>
      </c>
      <c r="S31" s="290"/>
      <c r="T31" s="294"/>
      <c r="W31" s="289" t="s">
        <v>498</v>
      </c>
      <c r="X31" s="290"/>
      <c r="Y31" s="294"/>
    </row>
    <row r="32" spans="1:35" x14ac:dyDescent="0.25">
      <c r="B32" s="1" t="s">
        <v>12</v>
      </c>
      <c r="C32" s="170"/>
      <c r="D32" s="187">
        <f t="shared" ref="D32:D45" si="1">F32</f>
        <v>170</v>
      </c>
      <c r="E32" s="187"/>
      <c r="F32" s="187">
        <v>170</v>
      </c>
      <c r="G32" s="170"/>
      <c r="H32" s="170"/>
      <c r="I32" s="170"/>
      <c r="J32" s="170"/>
      <c r="K32" s="170"/>
      <c r="L32" s="170"/>
      <c r="M32" s="170"/>
      <c r="N32" s="170"/>
      <c r="R32" s="295"/>
      <c r="S32" s="281"/>
      <c r="T32" s="288"/>
      <c r="W32" s="295"/>
      <c r="X32" s="281"/>
      <c r="Y32" s="288"/>
      <c r="AH32" s="716"/>
      <c r="AI32" s="716"/>
    </row>
    <row r="33" spans="2:36" x14ac:dyDescent="0.25">
      <c r="B33" s="1" t="s">
        <v>79</v>
      </c>
      <c r="C33" s="170"/>
      <c r="D33" s="187"/>
      <c r="E33" s="187"/>
      <c r="F33" s="187"/>
      <c r="G33" s="170"/>
      <c r="H33" s="170"/>
      <c r="I33" s="170"/>
      <c r="J33" s="170"/>
      <c r="K33" s="170"/>
      <c r="L33" s="170"/>
      <c r="M33" s="170"/>
      <c r="N33" s="170"/>
      <c r="R33" s="282" t="s">
        <v>485</v>
      </c>
      <c r="S33" s="281"/>
      <c r="T33" s="288"/>
      <c r="U33">
        <v>6900920</v>
      </c>
      <c r="V33">
        <v>6900920</v>
      </c>
      <c r="W33" s="282" t="s">
        <v>485</v>
      </c>
      <c r="X33" s="281"/>
      <c r="Y33" s="288"/>
      <c r="Z33">
        <v>7502937</v>
      </c>
      <c r="AH33" s="2"/>
      <c r="AJ33" s="2"/>
    </row>
    <row r="34" spans="2:36" x14ac:dyDescent="0.25">
      <c r="B34" s="1" t="s">
        <v>80</v>
      </c>
      <c r="C34" s="170"/>
      <c r="D34" s="187"/>
      <c r="E34" s="187"/>
      <c r="F34" s="187"/>
      <c r="G34" s="170"/>
      <c r="H34" s="170"/>
      <c r="I34" s="170"/>
      <c r="J34" s="170"/>
      <c r="K34" s="170"/>
      <c r="L34" s="170"/>
      <c r="M34" s="170"/>
      <c r="N34" s="170"/>
      <c r="R34" s="281"/>
      <c r="S34" s="281"/>
      <c r="T34" s="281"/>
      <c r="W34" s="281"/>
      <c r="X34" s="281"/>
      <c r="Y34" s="281"/>
      <c r="AH34" s="47"/>
      <c r="AI34" s="47"/>
    </row>
    <row r="35" spans="2:36" x14ac:dyDescent="0.25">
      <c r="B35" s="1" t="s">
        <v>52</v>
      </c>
      <c r="C35" s="170"/>
      <c r="D35" s="187">
        <f t="shared" si="1"/>
        <v>1500</v>
      </c>
      <c r="E35" s="187"/>
      <c r="F35" s="187">
        <v>1500</v>
      </c>
      <c r="G35" s="170"/>
      <c r="H35" s="170"/>
      <c r="I35" s="170"/>
      <c r="J35" s="170"/>
      <c r="K35" s="170"/>
      <c r="L35" s="170"/>
      <c r="M35" s="170"/>
      <c r="N35" s="170"/>
      <c r="R35" s="281" t="s">
        <v>499</v>
      </c>
      <c r="S35" s="281" t="s">
        <v>500</v>
      </c>
      <c r="T35" s="281"/>
      <c r="U35">
        <v>331233</v>
      </c>
      <c r="V35">
        <v>331233</v>
      </c>
      <c r="W35" s="281" t="s">
        <v>499</v>
      </c>
      <c r="X35" s="281" t="s">
        <v>500</v>
      </c>
      <c r="Y35" s="281"/>
      <c r="Z35">
        <v>308656</v>
      </c>
      <c r="AH35" s="47"/>
      <c r="AI35" s="47"/>
    </row>
    <row r="36" spans="2:36" x14ac:dyDescent="0.25">
      <c r="B36" s="1" t="s">
        <v>84</v>
      </c>
      <c r="C36" s="170"/>
      <c r="D36" s="187">
        <f t="shared" si="1"/>
        <v>724</v>
      </c>
      <c r="E36" s="187"/>
      <c r="F36" s="187">
        <v>724</v>
      </c>
      <c r="G36" s="170"/>
      <c r="H36" s="170"/>
      <c r="I36" s="170"/>
      <c r="J36" s="170"/>
      <c r="K36" s="170"/>
      <c r="L36" s="170"/>
      <c r="M36" s="170"/>
      <c r="N36" s="170"/>
      <c r="R36" s="281" t="s">
        <v>499</v>
      </c>
      <c r="S36" s="282" t="s">
        <v>501</v>
      </c>
      <c r="T36" s="288"/>
      <c r="U36">
        <v>331233</v>
      </c>
      <c r="V36">
        <v>331233</v>
      </c>
      <c r="W36" s="281" t="s">
        <v>499</v>
      </c>
      <c r="X36" s="282" t="s">
        <v>501</v>
      </c>
      <c r="Y36" s="288"/>
      <c r="Z36">
        <v>308656</v>
      </c>
    </row>
    <row r="37" spans="2:36" x14ac:dyDescent="0.25">
      <c r="B37" s="1" t="s">
        <v>83</v>
      </c>
      <c r="C37" s="170"/>
      <c r="D37" s="187">
        <f t="shared" si="1"/>
        <v>813</v>
      </c>
      <c r="E37" s="187"/>
      <c r="F37" s="187">
        <v>813</v>
      </c>
      <c r="G37" s="170"/>
      <c r="H37" s="170"/>
      <c r="I37" s="170"/>
      <c r="J37" s="170"/>
      <c r="K37" s="170"/>
      <c r="L37" s="170"/>
      <c r="M37" s="170"/>
      <c r="N37" s="170"/>
      <c r="R37" s="281"/>
      <c r="S37" s="281"/>
      <c r="T37" s="288"/>
      <c r="W37" s="281"/>
      <c r="X37" s="281"/>
      <c r="Y37" s="288"/>
    </row>
    <row r="38" spans="2:36" x14ac:dyDescent="0.25">
      <c r="B38" s="1" t="s">
        <v>66</v>
      </c>
      <c r="C38" s="170"/>
      <c r="D38" s="187">
        <f t="shared" si="1"/>
        <v>1000</v>
      </c>
      <c r="E38" s="187"/>
      <c r="F38" s="43">
        <v>1000</v>
      </c>
      <c r="G38" s="170"/>
      <c r="H38" s="170"/>
      <c r="I38" s="170"/>
      <c r="J38" s="170"/>
      <c r="K38" s="170"/>
      <c r="L38" s="170"/>
      <c r="M38" s="170"/>
      <c r="N38" s="170"/>
      <c r="R38" s="281" t="s">
        <v>499</v>
      </c>
      <c r="S38" s="298" t="s">
        <v>502</v>
      </c>
      <c r="T38" s="288"/>
      <c r="U38">
        <v>163993</v>
      </c>
      <c r="V38">
        <v>163993</v>
      </c>
      <c r="W38" s="281" t="s">
        <v>499</v>
      </c>
      <c r="X38" s="281" t="s">
        <v>502</v>
      </c>
      <c r="Y38" s="288"/>
      <c r="Z38">
        <v>25355</v>
      </c>
    </row>
    <row r="39" spans="2:36" x14ac:dyDescent="0.25">
      <c r="B39" s="1" t="s">
        <v>81</v>
      </c>
      <c r="C39" s="170"/>
      <c r="D39" s="187">
        <f t="shared" si="1"/>
        <v>120</v>
      </c>
      <c r="E39" s="187"/>
      <c r="F39" s="187">
        <v>120</v>
      </c>
      <c r="G39" s="170"/>
      <c r="H39" s="170"/>
      <c r="I39" s="170"/>
      <c r="J39" s="170"/>
      <c r="K39" s="170"/>
      <c r="L39" s="170"/>
      <c r="M39" s="170"/>
      <c r="N39" s="170"/>
      <c r="R39" s="281" t="s">
        <v>499</v>
      </c>
      <c r="S39" s="281" t="s">
        <v>489</v>
      </c>
      <c r="T39" s="288"/>
      <c r="U39">
        <v>128864</v>
      </c>
      <c r="V39">
        <v>128864</v>
      </c>
      <c r="W39" s="281" t="s">
        <v>499</v>
      </c>
      <c r="X39" s="281" t="s">
        <v>489</v>
      </c>
      <c r="Y39" s="288"/>
      <c r="Z39">
        <v>0</v>
      </c>
    </row>
    <row r="40" spans="2:36" x14ac:dyDescent="0.25">
      <c r="B40" s="1" t="s">
        <v>85</v>
      </c>
      <c r="C40" s="170"/>
      <c r="D40" s="187">
        <f t="shared" si="1"/>
        <v>1280</v>
      </c>
      <c r="E40" s="187"/>
      <c r="F40" s="187">
        <v>1280</v>
      </c>
      <c r="G40" s="170"/>
      <c r="H40" s="170"/>
      <c r="I40" s="170"/>
      <c r="J40" s="170"/>
      <c r="K40" s="170"/>
      <c r="L40" s="170"/>
      <c r="M40" s="170"/>
      <c r="N40" s="170"/>
      <c r="R40" s="281" t="s">
        <v>499</v>
      </c>
      <c r="S40" s="298" t="s">
        <v>490</v>
      </c>
      <c r="T40" s="288"/>
      <c r="U40">
        <v>1178986</v>
      </c>
      <c r="V40">
        <v>1178986</v>
      </c>
      <c r="W40" s="281" t="s">
        <v>499</v>
      </c>
      <c r="X40" s="281" t="s">
        <v>490</v>
      </c>
      <c r="Y40" s="288"/>
      <c r="Z40">
        <v>1242461</v>
      </c>
    </row>
    <row r="41" spans="2:36" x14ac:dyDescent="0.25">
      <c r="B41" s="1" t="s">
        <v>86</v>
      </c>
      <c r="C41" s="170"/>
      <c r="D41" s="187">
        <f t="shared" si="1"/>
        <v>1000</v>
      </c>
      <c r="E41" s="187"/>
      <c r="F41" s="187">
        <v>1000</v>
      </c>
      <c r="G41" s="170"/>
      <c r="H41" s="170"/>
      <c r="I41" s="170"/>
      <c r="J41" s="170"/>
      <c r="K41" s="170"/>
      <c r="L41" s="170"/>
      <c r="M41" s="170"/>
      <c r="N41" s="170"/>
      <c r="R41" s="281" t="s">
        <v>499</v>
      </c>
      <c r="S41" s="282" t="s">
        <v>492</v>
      </c>
      <c r="T41" s="288"/>
      <c r="U41">
        <v>1471843</v>
      </c>
      <c r="V41">
        <v>1471843</v>
      </c>
      <c r="W41" s="281" t="s">
        <v>499</v>
      </c>
      <c r="X41" s="282" t="s">
        <v>492</v>
      </c>
      <c r="Y41" s="288"/>
      <c r="Z41">
        <v>1267816</v>
      </c>
    </row>
    <row r="42" spans="2:36" x14ac:dyDescent="0.25">
      <c r="B42" s="1" t="s">
        <v>53</v>
      </c>
      <c r="C42" s="170"/>
      <c r="D42" s="187">
        <f t="shared" si="1"/>
        <v>120</v>
      </c>
      <c r="E42" s="187"/>
      <c r="F42" s="187">
        <v>120</v>
      </c>
      <c r="G42" s="170"/>
      <c r="H42" s="170"/>
      <c r="I42" s="170"/>
      <c r="J42" s="170"/>
      <c r="K42" s="170"/>
      <c r="L42" s="170"/>
      <c r="M42" s="170"/>
      <c r="N42" s="170"/>
      <c r="R42" s="281"/>
      <c r="S42" s="282"/>
      <c r="T42" s="288"/>
      <c r="W42" s="281"/>
      <c r="X42" s="282"/>
      <c r="Y42" s="288"/>
    </row>
    <row r="43" spans="2:36" x14ac:dyDescent="0.25">
      <c r="B43" s="1" t="s">
        <v>73</v>
      </c>
      <c r="C43" s="170"/>
      <c r="D43" s="187">
        <f t="shared" si="1"/>
        <v>700</v>
      </c>
      <c r="E43" s="187"/>
      <c r="F43" s="187">
        <v>700</v>
      </c>
      <c r="G43" s="170"/>
      <c r="H43" s="170"/>
      <c r="I43" s="170"/>
      <c r="J43" s="170"/>
      <c r="K43" s="170"/>
      <c r="L43" s="170"/>
      <c r="M43" s="170"/>
      <c r="N43" s="170"/>
      <c r="R43" s="281" t="s">
        <v>499</v>
      </c>
      <c r="S43" s="298" t="s">
        <v>503</v>
      </c>
      <c r="T43" s="288"/>
      <c r="U43">
        <v>654000</v>
      </c>
      <c r="V43">
        <v>654000</v>
      </c>
      <c r="W43" s="281" t="s">
        <v>499</v>
      </c>
      <c r="X43" s="281" t="s">
        <v>503</v>
      </c>
      <c r="Y43" s="288"/>
      <c r="Z43">
        <v>920000</v>
      </c>
    </row>
    <row r="44" spans="2:36" x14ac:dyDescent="0.25">
      <c r="B44" s="1" t="s">
        <v>72</v>
      </c>
      <c r="C44" s="170"/>
      <c r="D44" s="187">
        <f t="shared" si="1"/>
        <v>250</v>
      </c>
      <c r="E44" s="187"/>
      <c r="F44" s="187">
        <v>250</v>
      </c>
      <c r="G44" s="170"/>
      <c r="H44" s="170"/>
      <c r="I44" s="170"/>
      <c r="J44" s="170"/>
      <c r="K44" s="170"/>
      <c r="L44" s="170"/>
      <c r="M44" s="170"/>
      <c r="N44" s="170"/>
      <c r="R44" s="281" t="s">
        <v>499</v>
      </c>
      <c r="S44" s="282" t="s">
        <v>504</v>
      </c>
      <c r="T44" s="288"/>
      <c r="U44">
        <v>654000</v>
      </c>
      <c r="V44">
        <v>654000</v>
      </c>
      <c r="W44" s="281" t="s">
        <v>499</v>
      </c>
      <c r="X44" s="282" t="s">
        <v>504</v>
      </c>
      <c r="Y44" s="288"/>
      <c r="Z44">
        <v>920000</v>
      </c>
    </row>
    <row r="45" spans="2:36" x14ac:dyDescent="0.25">
      <c r="B45" s="1" t="s">
        <v>298</v>
      </c>
      <c r="C45" s="170"/>
      <c r="D45" s="187">
        <f t="shared" si="1"/>
        <v>170</v>
      </c>
      <c r="E45" s="187"/>
      <c r="F45" s="187">
        <v>170</v>
      </c>
      <c r="G45" s="170"/>
      <c r="H45" s="170"/>
      <c r="I45" s="170"/>
      <c r="J45" s="170"/>
      <c r="K45" s="170"/>
      <c r="L45" s="170"/>
      <c r="M45" s="170"/>
      <c r="N45" s="170"/>
      <c r="R45" s="281"/>
      <c r="S45" s="282"/>
      <c r="T45" s="288"/>
      <c r="W45" s="281"/>
      <c r="X45" s="282"/>
      <c r="Y45" s="288"/>
    </row>
    <row r="46" spans="2:36" x14ac:dyDescent="0.25">
      <c r="B46" s="1"/>
      <c r="C46" s="170"/>
      <c r="D46" s="187">
        <f>SUM(D30:D45)</f>
        <v>8737</v>
      </c>
      <c r="E46" s="170"/>
      <c r="F46" s="170"/>
      <c r="G46" s="170"/>
      <c r="H46" s="170"/>
      <c r="I46" s="170"/>
      <c r="J46" s="170"/>
      <c r="K46" s="170"/>
      <c r="L46" s="170"/>
      <c r="M46" s="170"/>
      <c r="N46" s="170"/>
      <c r="R46" s="281" t="s">
        <v>499</v>
      </c>
      <c r="S46" s="281" t="s">
        <v>505</v>
      </c>
      <c r="T46" s="288"/>
      <c r="U46">
        <v>537661</v>
      </c>
      <c r="V46">
        <v>537661</v>
      </c>
      <c r="W46" s="281" t="s">
        <v>499</v>
      </c>
      <c r="X46" s="281" t="s">
        <v>505</v>
      </c>
      <c r="Y46" s="288"/>
      <c r="Z46">
        <v>568328</v>
      </c>
    </row>
    <row r="47" spans="2:36" x14ac:dyDescent="0.25">
      <c r="B47" s="1"/>
      <c r="C47" s="170"/>
      <c r="D47" s="170"/>
      <c r="E47" s="170"/>
      <c r="F47" s="170"/>
      <c r="G47" s="170"/>
      <c r="H47" s="170"/>
      <c r="I47" s="170"/>
      <c r="J47" s="170"/>
      <c r="K47" s="170"/>
      <c r="L47" s="170"/>
      <c r="M47" s="170"/>
      <c r="N47" s="170"/>
      <c r="R47" s="281" t="s">
        <v>499</v>
      </c>
      <c r="S47" s="281" t="s">
        <v>298</v>
      </c>
      <c r="T47" s="288"/>
      <c r="U47">
        <v>353525</v>
      </c>
      <c r="V47">
        <v>353525</v>
      </c>
      <c r="W47" s="281" t="s">
        <v>499</v>
      </c>
      <c r="X47" s="281" t="s">
        <v>298</v>
      </c>
      <c r="Y47" s="288"/>
      <c r="Z47">
        <v>292998</v>
      </c>
    </row>
    <row r="48" spans="2:36" x14ac:dyDescent="0.25">
      <c r="B48" s="167" t="s">
        <v>300</v>
      </c>
      <c r="C48" s="167" t="s">
        <v>310</v>
      </c>
      <c r="D48" s="196">
        <v>3400</v>
      </c>
      <c r="E48" s="195"/>
      <c r="F48" s="196">
        <v>3400</v>
      </c>
      <c r="G48" s="195"/>
      <c r="H48" s="195"/>
      <c r="I48" s="195"/>
      <c r="J48" s="195"/>
      <c r="K48" s="195"/>
      <c r="L48" s="1"/>
      <c r="M48" s="1"/>
      <c r="N48" s="1"/>
      <c r="R48" s="281" t="s">
        <v>499</v>
      </c>
      <c r="S48" s="281" t="s">
        <v>72</v>
      </c>
      <c r="T48" s="288"/>
      <c r="U48">
        <v>200000</v>
      </c>
      <c r="V48">
        <v>200000</v>
      </c>
      <c r="W48" s="281" t="s">
        <v>499</v>
      </c>
      <c r="X48" s="281" t="s">
        <v>72</v>
      </c>
      <c r="Y48" s="288"/>
      <c r="Z48">
        <v>199981</v>
      </c>
    </row>
    <row r="49" spans="1:28" x14ac:dyDescent="0.25">
      <c r="B49" s="167" t="s">
        <v>302</v>
      </c>
      <c r="C49" s="167" t="s">
        <v>310</v>
      </c>
      <c r="D49" s="197">
        <v>540</v>
      </c>
      <c r="E49" s="195"/>
      <c r="F49" s="195"/>
      <c r="G49" s="195"/>
      <c r="H49" s="195"/>
      <c r="I49" s="195"/>
      <c r="J49" s="195"/>
      <c r="K49" s="195"/>
      <c r="L49" s="1"/>
      <c r="M49" s="1"/>
      <c r="N49" s="1"/>
      <c r="R49" s="281" t="s">
        <v>499</v>
      </c>
      <c r="S49" s="282" t="s">
        <v>506</v>
      </c>
      <c r="T49" s="288"/>
      <c r="U49">
        <v>1091186</v>
      </c>
      <c r="V49">
        <v>1091186</v>
      </c>
      <c r="W49" s="281" t="s">
        <v>499</v>
      </c>
      <c r="X49" s="282" t="s">
        <v>506</v>
      </c>
      <c r="Y49" s="288"/>
      <c r="Z49">
        <v>1061307</v>
      </c>
    </row>
    <row r="50" spans="1:28" x14ac:dyDescent="0.25">
      <c r="B50" s="167" t="s">
        <v>306</v>
      </c>
      <c r="C50" s="167" t="s">
        <v>310</v>
      </c>
      <c r="D50" s="197">
        <v>1000</v>
      </c>
      <c r="E50" s="195"/>
      <c r="F50" s="197">
        <v>1000</v>
      </c>
      <c r="G50" s="195"/>
      <c r="H50" s="195"/>
      <c r="I50" s="195"/>
      <c r="J50" s="195"/>
      <c r="K50" s="195"/>
      <c r="L50" s="1"/>
      <c r="M50" s="1"/>
      <c r="N50" s="1"/>
      <c r="R50" s="281"/>
      <c r="S50" s="282"/>
      <c r="T50" s="288"/>
      <c r="W50" s="281"/>
      <c r="X50" s="282"/>
      <c r="Y50" s="288"/>
    </row>
    <row r="51" spans="1:28" ht="17.25" x14ac:dyDescent="0.25">
      <c r="B51" s="167" t="s">
        <v>307</v>
      </c>
      <c r="C51" s="167" t="s">
        <v>310</v>
      </c>
      <c r="D51" s="197">
        <v>1000</v>
      </c>
      <c r="E51" s="195"/>
      <c r="F51" s="197">
        <v>1000</v>
      </c>
      <c r="G51" s="195"/>
      <c r="H51" s="195"/>
      <c r="I51" s="195"/>
      <c r="J51" s="195"/>
      <c r="K51" s="195"/>
      <c r="L51" s="1"/>
      <c r="M51" s="1"/>
      <c r="N51" s="1"/>
      <c r="R51" s="296" t="s">
        <v>499</v>
      </c>
      <c r="S51" s="296" t="s">
        <v>507</v>
      </c>
      <c r="T51" s="297"/>
      <c r="U51">
        <v>903119</v>
      </c>
      <c r="V51">
        <v>903119</v>
      </c>
      <c r="W51" s="296" t="s">
        <v>499</v>
      </c>
      <c r="X51" s="296" t="s">
        <v>507</v>
      </c>
      <c r="Y51" s="297"/>
      <c r="Z51">
        <v>1552458</v>
      </c>
    </row>
    <row r="52" spans="1:28" ht="17.25" x14ac:dyDescent="0.25">
      <c r="B52" s="167" t="s">
        <v>308</v>
      </c>
      <c r="C52" s="167" t="s">
        <v>310</v>
      </c>
      <c r="D52" s="197">
        <v>500</v>
      </c>
      <c r="E52" s="195"/>
      <c r="F52" s="197">
        <v>1000</v>
      </c>
      <c r="G52" s="195"/>
      <c r="H52" s="195"/>
      <c r="I52" s="195"/>
      <c r="J52" s="195"/>
      <c r="K52" s="195"/>
      <c r="L52" s="1"/>
      <c r="M52" s="1"/>
      <c r="N52" s="1"/>
      <c r="R52" s="296" t="s">
        <v>499</v>
      </c>
      <c r="S52" s="296" t="s">
        <v>508</v>
      </c>
      <c r="T52" s="297"/>
      <c r="U52">
        <v>260289</v>
      </c>
      <c r="V52">
        <v>260289</v>
      </c>
      <c r="W52" s="296" t="s">
        <v>499</v>
      </c>
      <c r="X52" s="296" t="s">
        <v>508</v>
      </c>
      <c r="Y52" s="297"/>
      <c r="Z52">
        <v>209923</v>
      </c>
    </row>
    <row r="53" spans="1:28" x14ac:dyDescent="0.25">
      <c r="B53" s="167" t="s">
        <v>304</v>
      </c>
      <c r="C53" s="167" t="s">
        <v>310</v>
      </c>
      <c r="D53" s="197">
        <v>2148</v>
      </c>
      <c r="E53" s="195"/>
      <c r="F53" s="197">
        <v>2148</v>
      </c>
      <c r="G53" s="195"/>
      <c r="H53" s="195"/>
      <c r="I53" s="195"/>
      <c r="J53" s="195"/>
      <c r="K53" s="195"/>
      <c r="L53" s="1"/>
      <c r="M53" s="1"/>
      <c r="N53" s="1"/>
      <c r="R53" s="296" t="s">
        <v>499</v>
      </c>
      <c r="S53" s="296" t="s">
        <v>509</v>
      </c>
      <c r="T53" s="297"/>
      <c r="U53">
        <v>684306</v>
      </c>
      <c r="V53">
        <v>684306</v>
      </c>
      <c r="W53" s="296" t="s">
        <v>499</v>
      </c>
      <c r="X53" s="296" t="s">
        <v>509</v>
      </c>
      <c r="Y53" s="297"/>
      <c r="Z53">
        <v>766193</v>
      </c>
    </row>
    <row r="54" spans="1:28" x14ac:dyDescent="0.25">
      <c r="B54" s="167"/>
      <c r="C54" s="167"/>
      <c r="D54" s="197">
        <f>SUM(D48:D53)</f>
        <v>8588</v>
      </c>
      <c r="E54" s="195"/>
      <c r="F54" s="197"/>
      <c r="G54" s="195"/>
      <c r="H54" s="195"/>
      <c r="I54" s="195"/>
      <c r="J54" s="195"/>
      <c r="K54" s="195"/>
      <c r="L54" s="1"/>
      <c r="M54" s="1"/>
      <c r="N54" s="1"/>
      <c r="R54" s="296" t="s">
        <v>499</v>
      </c>
      <c r="S54" s="296" t="s">
        <v>510</v>
      </c>
      <c r="T54" s="297"/>
      <c r="U54">
        <v>569921</v>
      </c>
      <c r="V54">
        <v>569921</v>
      </c>
      <c r="W54" s="296" t="s">
        <v>499</v>
      </c>
      <c r="X54" s="296" t="s">
        <v>510</v>
      </c>
      <c r="Y54" s="297"/>
      <c r="Z54">
        <v>574243</v>
      </c>
    </row>
    <row r="55" spans="1:28" ht="15" customHeight="1" x14ac:dyDescent="0.25">
      <c r="B55" s="167"/>
      <c r="C55" s="167"/>
      <c r="D55" s="197"/>
      <c r="E55" s="195"/>
      <c r="F55" s="197"/>
      <c r="G55" s="195"/>
      <c r="H55" s="195"/>
      <c r="I55" s="195"/>
      <c r="J55" s="195"/>
      <c r="K55" s="195"/>
      <c r="L55" s="1"/>
      <c r="M55" s="1"/>
      <c r="N55" s="1"/>
      <c r="R55" s="296" t="s">
        <v>499</v>
      </c>
      <c r="S55" s="296" t="s">
        <v>511</v>
      </c>
      <c r="T55" s="297"/>
      <c r="U55">
        <v>935023</v>
      </c>
      <c r="V55">
        <v>935023</v>
      </c>
      <c r="W55" s="296" t="s">
        <v>499</v>
      </c>
      <c r="X55" s="296" t="s">
        <v>511</v>
      </c>
      <c r="Y55" s="297"/>
      <c r="Z55">
        <v>842341</v>
      </c>
    </row>
    <row r="56" spans="1:28" x14ac:dyDescent="0.25">
      <c r="A56" s="2" t="s">
        <v>46</v>
      </c>
      <c r="B56" s="1" t="s">
        <v>51</v>
      </c>
      <c r="C56" s="167"/>
      <c r="D56" s="197"/>
      <c r="E56" s="195"/>
      <c r="F56" s="197"/>
      <c r="G56" s="195"/>
      <c r="H56" s="195"/>
      <c r="I56" s="195"/>
      <c r="J56" s="195"/>
      <c r="K56" s="195"/>
      <c r="L56" s="1"/>
      <c r="M56" s="1"/>
      <c r="N56" s="1"/>
      <c r="R56" s="281" t="s">
        <v>499</v>
      </c>
      <c r="S56" s="282" t="s">
        <v>512</v>
      </c>
      <c r="T56" s="288"/>
      <c r="U56">
        <v>3352658</v>
      </c>
      <c r="V56">
        <v>3352658</v>
      </c>
      <c r="W56" s="281" t="s">
        <v>499</v>
      </c>
      <c r="X56" s="282" t="s">
        <v>512</v>
      </c>
      <c r="Y56" s="288"/>
      <c r="Z56">
        <v>3945158</v>
      </c>
    </row>
    <row r="57" spans="1:28" x14ac:dyDescent="0.25">
      <c r="B57" s="1" t="s">
        <v>76</v>
      </c>
      <c r="C57" s="167"/>
      <c r="D57" s="197"/>
      <c r="E57" s="195"/>
      <c r="F57" s="197"/>
      <c r="G57" s="195"/>
      <c r="H57" s="195"/>
      <c r="I57" s="195"/>
      <c r="J57" s="195"/>
      <c r="K57" s="195"/>
      <c r="L57" s="1"/>
      <c r="M57" s="1"/>
      <c r="N57" s="1"/>
      <c r="R57" s="281"/>
      <c r="S57" s="282"/>
      <c r="T57" s="281"/>
      <c r="W57" s="281"/>
      <c r="X57" s="282"/>
      <c r="Y57" s="281"/>
    </row>
    <row r="58" spans="1:28" x14ac:dyDescent="0.25">
      <c r="B58" s="1" t="s">
        <v>12</v>
      </c>
      <c r="C58" s="167"/>
      <c r="D58" s="197"/>
      <c r="E58" s="195"/>
      <c r="F58" s="197"/>
      <c r="G58" s="195"/>
      <c r="H58" s="195"/>
      <c r="I58" s="195"/>
      <c r="J58" s="195"/>
      <c r="K58" s="195"/>
      <c r="L58" s="1"/>
      <c r="M58" s="1"/>
      <c r="N58" s="1"/>
      <c r="R58" s="281"/>
      <c r="S58" s="282"/>
      <c r="T58" s="281"/>
      <c r="W58" s="281"/>
      <c r="X58" s="282"/>
      <c r="Y58" s="281"/>
    </row>
    <row r="59" spans="1:28" ht="15" customHeight="1" x14ac:dyDescent="0.25">
      <c r="B59" s="1" t="s">
        <v>79</v>
      </c>
      <c r="C59" s="167"/>
      <c r="D59" s="197"/>
      <c r="E59" s="195"/>
      <c r="F59" s="197"/>
      <c r="G59" s="195"/>
      <c r="H59" s="195"/>
      <c r="I59" s="195"/>
      <c r="J59" s="195"/>
      <c r="K59" s="195"/>
      <c r="L59" s="1"/>
      <c r="M59" s="1"/>
      <c r="N59" s="1"/>
      <c r="Q59" s="282" t="s">
        <v>514</v>
      </c>
      <c r="R59" s="281"/>
      <c r="S59" s="282"/>
      <c r="T59" s="281"/>
      <c r="W59" s="281"/>
      <c r="X59" s="282"/>
      <c r="Y59" s="281"/>
    </row>
    <row r="60" spans="1:28" x14ac:dyDescent="0.25">
      <c r="B60" s="1" t="s">
        <v>80</v>
      </c>
      <c r="C60" s="167"/>
      <c r="D60" s="197"/>
      <c r="E60" s="195"/>
      <c r="F60" s="197"/>
      <c r="G60" s="195"/>
      <c r="H60" s="195"/>
      <c r="I60" s="195"/>
      <c r="J60" s="195"/>
      <c r="K60" s="195"/>
      <c r="L60" s="1"/>
      <c r="M60" s="1"/>
      <c r="N60" s="1"/>
      <c r="Q60" s="282" t="s">
        <v>639</v>
      </c>
      <c r="R60" s="281"/>
      <c r="S60" s="282" t="s">
        <v>640</v>
      </c>
      <c r="T60" s="281"/>
      <c r="W60" s="281"/>
      <c r="X60" s="282"/>
      <c r="Y60" s="281"/>
    </row>
    <row r="61" spans="1:28" x14ac:dyDescent="0.25">
      <c r="B61" s="1" t="s">
        <v>52</v>
      </c>
      <c r="C61" s="167"/>
      <c r="D61" s="197"/>
      <c r="E61" s="195"/>
      <c r="F61" s="197"/>
      <c r="G61" s="195"/>
      <c r="H61" s="195"/>
      <c r="I61" s="195"/>
      <c r="J61" s="195"/>
      <c r="K61" s="195"/>
      <c r="L61" s="1"/>
      <c r="M61" s="1"/>
      <c r="N61" s="1"/>
      <c r="S61" s="17" t="s">
        <v>641</v>
      </c>
    </row>
    <row r="62" spans="1:28" x14ac:dyDescent="0.25">
      <c r="B62" s="1" t="s">
        <v>84</v>
      </c>
      <c r="C62" s="167"/>
      <c r="D62" s="197"/>
      <c r="E62" s="195"/>
      <c r="F62" s="197"/>
      <c r="G62" s="195"/>
      <c r="H62" s="195"/>
      <c r="I62" s="195"/>
      <c r="J62" s="195"/>
      <c r="K62" s="195"/>
      <c r="L62" s="1"/>
      <c r="M62" s="1"/>
      <c r="N62" s="1"/>
    </row>
    <row r="63" spans="1:28" x14ac:dyDescent="0.25">
      <c r="B63" s="1" t="s">
        <v>83</v>
      </c>
      <c r="C63" s="167"/>
      <c r="D63" s="197"/>
      <c r="E63" s="195"/>
      <c r="F63" s="197"/>
      <c r="G63" s="195"/>
      <c r="H63" s="195"/>
      <c r="I63" s="195"/>
      <c r="J63" s="195"/>
      <c r="K63" s="195"/>
      <c r="L63" s="1"/>
      <c r="M63" s="1"/>
      <c r="N63" s="1"/>
      <c r="R63" s="349"/>
      <c r="S63" s="281"/>
      <c r="T63" s="281"/>
      <c r="U63" s="281"/>
      <c r="V63" s="281"/>
      <c r="W63" s="281"/>
      <c r="X63" s="281"/>
      <c r="Y63" s="281"/>
      <c r="Z63" s="356"/>
      <c r="AA63" s="281"/>
      <c r="AB63" s="281"/>
    </row>
    <row r="64" spans="1:28" x14ac:dyDescent="0.25">
      <c r="B64" s="1" t="s">
        <v>66</v>
      </c>
      <c r="C64" s="167"/>
      <c r="D64" s="197"/>
      <c r="E64" s="195"/>
      <c r="F64" s="197"/>
      <c r="G64" s="195"/>
      <c r="H64" s="195"/>
      <c r="I64" s="195"/>
      <c r="J64" s="195"/>
      <c r="K64" s="195"/>
      <c r="L64" s="1"/>
      <c r="M64" s="1"/>
      <c r="N64" s="1"/>
      <c r="P64" s="349" t="s">
        <v>634</v>
      </c>
      <c r="Q64" s="349"/>
      <c r="R64" s="349" t="s">
        <v>635</v>
      </c>
      <c r="S64" s="349"/>
      <c r="T64" s="349" t="s">
        <v>636</v>
      </c>
      <c r="U64" s="349"/>
      <c r="V64" s="349" t="s">
        <v>637</v>
      </c>
      <c r="W64" s="349"/>
      <c r="X64" s="349" t="s">
        <v>10</v>
      </c>
    </row>
    <row r="65" spans="2:27" ht="15.75" thickBot="1" x14ac:dyDescent="0.3">
      <c r="B65" s="1" t="s">
        <v>81</v>
      </c>
      <c r="C65" s="167"/>
      <c r="D65" s="197"/>
      <c r="E65" s="195"/>
      <c r="F65" s="197"/>
      <c r="G65" s="195"/>
      <c r="H65" s="195"/>
      <c r="I65" s="195"/>
      <c r="J65" s="195"/>
      <c r="K65" s="195"/>
      <c r="L65" s="1"/>
      <c r="M65" s="1"/>
      <c r="N65" s="1"/>
      <c r="O65" s="360" t="s">
        <v>387</v>
      </c>
      <c r="P65" s="357" t="s">
        <v>638</v>
      </c>
      <c r="Q65" s="357"/>
      <c r="R65" s="357" t="s">
        <v>636</v>
      </c>
      <c r="S65" s="357"/>
      <c r="T65" s="357" t="s">
        <v>638</v>
      </c>
      <c r="U65" s="357"/>
      <c r="V65" s="357" t="s">
        <v>45</v>
      </c>
      <c r="W65" s="357"/>
      <c r="X65" s="357" t="s">
        <v>513</v>
      </c>
      <c r="Y65" s="357" t="s">
        <v>642</v>
      </c>
      <c r="Z65" s="357" t="s">
        <v>78</v>
      </c>
      <c r="AA65" s="357" t="s">
        <v>10</v>
      </c>
    </row>
    <row r="66" spans="2:27" x14ac:dyDescent="0.25">
      <c r="B66" s="1" t="s">
        <v>85</v>
      </c>
      <c r="C66" s="167"/>
      <c r="D66" s="197"/>
      <c r="E66" s="195"/>
      <c r="F66" s="197"/>
      <c r="G66" s="195"/>
      <c r="H66" s="195"/>
      <c r="I66" s="195"/>
      <c r="J66" s="195"/>
      <c r="K66" s="195"/>
      <c r="L66" s="1"/>
      <c r="M66" s="1"/>
      <c r="N66" s="1"/>
      <c r="O66" s="276">
        <v>2015</v>
      </c>
      <c r="P66" s="358">
        <v>1201294</v>
      </c>
      <c r="Q66" s="348"/>
      <c r="R66" s="348">
        <v>1048430</v>
      </c>
      <c r="S66" s="348"/>
      <c r="T66" s="348">
        <v>6328</v>
      </c>
      <c r="U66" s="348"/>
      <c r="V66" s="348">
        <v>5919</v>
      </c>
      <c r="W66" s="348"/>
      <c r="X66" s="348">
        <f>P66+R66+T66+V66</f>
        <v>2261971</v>
      </c>
      <c r="Y66" s="47">
        <f>SUM(R66:T66)</f>
        <v>1054758</v>
      </c>
      <c r="Z66" s="47">
        <f>P66+V66</f>
        <v>1207213</v>
      </c>
      <c r="AA66" s="47">
        <f>SUM(Y66:Z66)</f>
        <v>2261971</v>
      </c>
    </row>
    <row r="67" spans="2:27" x14ac:dyDescent="0.25">
      <c r="B67" s="1" t="s">
        <v>86</v>
      </c>
      <c r="C67" s="167"/>
      <c r="D67" s="197"/>
      <c r="E67" s="195"/>
      <c r="F67" s="197"/>
      <c r="G67" s="195"/>
      <c r="H67" s="195"/>
      <c r="I67" s="195"/>
      <c r="J67" s="195"/>
      <c r="K67" s="195"/>
      <c r="L67" s="1"/>
      <c r="M67" s="1"/>
      <c r="N67" s="1"/>
      <c r="O67" s="276">
        <v>2016</v>
      </c>
      <c r="P67" s="359">
        <v>1409330</v>
      </c>
      <c r="Q67" s="348"/>
      <c r="R67" s="348">
        <v>683299</v>
      </c>
      <c r="S67" s="348"/>
      <c r="T67" s="348">
        <v>6718</v>
      </c>
      <c r="U67" s="348"/>
      <c r="V67" s="348">
        <v>13567</v>
      </c>
      <c r="W67" s="348"/>
      <c r="X67" s="348">
        <f>P67+R67+T67+V67</f>
        <v>2112914</v>
      </c>
      <c r="Y67" s="348">
        <f>SUM(R67:T67)</f>
        <v>690017</v>
      </c>
      <c r="Z67" s="47">
        <f>P67+V67</f>
        <v>1422897</v>
      </c>
      <c r="AA67" s="47">
        <f>SUM(Y67:Z67)</f>
        <v>2112914</v>
      </c>
    </row>
    <row r="68" spans="2:27" x14ac:dyDescent="0.25">
      <c r="B68" s="1" t="s">
        <v>53</v>
      </c>
      <c r="C68" s="167"/>
      <c r="D68" s="197"/>
      <c r="E68" s="195"/>
      <c r="F68" s="197"/>
      <c r="G68" s="195"/>
      <c r="H68" s="195"/>
      <c r="I68" s="195"/>
      <c r="J68" s="195"/>
      <c r="K68" s="195"/>
      <c r="L68" s="1"/>
      <c r="M68" s="1"/>
      <c r="N68" s="1"/>
      <c r="R68" s="281"/>
      <c r="S68" s="282"/>
      <c r="T68" s="281"/>
      <c r="W68" s="281"/>
      <c r="X68" s="282"/>
      <c r="Y68" s="348"/>
    </row>
    <row r="69" spans="2:27" x14ac:dyDescent="0.25">
      <c r="B69" s="1" t="s">
        <v>73</v>
      </c>
      <c r="C69" s="167"/>
      <c r="D69" s="197"/>
      <c r="E69" s="195"/>
      <c r="F69" s="197"/>
      <c r="G69" s="195"/>
      <c r="H69" s="195"/>
      <c r="I69" s="195"/>
      <c r="J69" s="195"/>
      <c r="K69" s="195"/>
      <c r="L69" s="1"/>
      <c r="M69" s="1"/>
      <c r="N69" s="1"/>
      <c r="O69" s="17" t="s">
        <v>480</v>
      </c>
      <c r="R69" s="281"/>
      <c r="S69" s="282"/>
      <c r="T69" s="281"/>
      <c r="W69" s="281"/>
      <c r="X69" s="282"/>
      <c r="Y69" s="361">
        <f>AVERAGE(Y66:Y67)</f>
        <v>872387.5</v>
      </c>
      <c r="Z69" s="312">
        <f>AVERAGE(Z66:Z67)</f>
        <v>1315055</v>
      </c>
    </row>
    <row r="70" spans="2:27" x14ac:dyDescent="0.25">
      <c r="B70" s="1" t="s">
        <v>72</v>
      </c>
      <c r="C70" s="167"/>
      <c r="D70" s="197"/>
      <c r="E70" s="195"/>
      <c r="F70" s="197"/>
      <c r="G70" s="195"/>
      <c r="H70" s="195"/>
      <c r="I70" s="195"/>
      <c r="J70" s="195"/>
      <c r="K70" s="195"/>
      <c r="L70" s="1"/>
      <c r="M70" s="1"/>
      <c r="N70" s="1"/>
      <c r="R70" s="281"/>
      <c r="S70" s="282"/>
      <c r="T70" s="281"/>
      <c r="W70" s="281"/>
      <c r="X70" s="282"/>
      <c r="Y70" s="281"/>
    </row>
    <row r="71" spans="2:27" x14ac:dyDescent="0.25">
      <c r="B71" s="1" t="s">
        <v>298</v>
      </c>
      <c r="C71" s="167"/>
      <c r="D71" s="197"/>
      <c r="E71" s="195"/>
      <c r="F71" s="197"/>
      <c r="G71" s="195"/>
      <c r="H71" s="195"/>
      <c r="I71" s="195"/>
      <c r="J71" s="195"/>
      <c r="K71" s="195"/>
      <c r="L71" s="1"/>
      <c r="M71" s="1"/>
      <c r="N71" s="1"/>
      <c r="R71" s="281"/>
      <c r="S71" s="282"/>
      <c r="T71" s="281"/>
      <c r="W71" s="281"/>
      <c r="X71" s="282"/>
      <c r="Y71" s="281"/>
    </row>
    <row r="72" spans="2:27" x14ac:dyDescent="0.25">
      <c r="B72" s="167"/>
      <c r="C72" s="167"/>
      <c r="D72" s="197"/>
      <c r="E72" s="195"/>
      <c r="F72" s="197"/>
      <c r="G72" s="195"/>
      <c r="H72" s="195"/>
      <c r="I72" s="195"/>
      <c r="J72" s="195"/>
      <c r="K72" s="195"/>
      <c r="L72" s="1"/>
      <c r="M72" s="1"/>
      <c r="N72" s="1"/>
      <c r="R72" s="281"/>
      <c r="S72" s="282"/>
      <c r="T72" s="281"/>
      <c r="W72" s="281"/>
      <c r="X72" s="282"/>
    </row>
    <row r="73" spans="2:27" x14ac:dyDescent="0.25">
      <c r="B73" s="167" t="s">
        <v>300</v>
      </c>
      <c r="C73" s="167" t="s">
        <v>311</v>
      </c>
      <c r="D73" s="198">
        <v>11799</v>
      </c>
      <c r="E73" s="195"/>
      <c r="F73" s="195"/>
      <c r="G73" s="195"/>
      <c r="H73" s="195"/>
      <c r="I73" s="195"/>
      <c r="J73" s="195"/>
      <c r="K73" s="195"/>
      <c r="L73" s="1"/>
      <c r="M73" s="1"/>
      <c r="N73" s="1"/>
      <c r="S73" s="263"/>
      <c r="T73" s="280"/>
    </row>
    <row r="74" spans="2:27" x14ac:dyDescent="0.25">
      <c r="B74" s="167" t="s">
        <v>302</v>
      </c>
      <c r="C74" s="167" t="s">
        <v>311</v>
      </c>
      <c r="D74" s="166">
        <v>5377</v>
      </c>
      <c r="E74" s="195"/>
      <c r="F74" s="195"/>
      <c r="G74" s="195"/>
      <c r="H74" s="195"/>
      <c r="I74" s="195"/>
      <c r="J74" s="195"/>
      <c r="K74" s="195"/>
      <c r="L74" s="1"/>
      <c r="M74" s="1"/>
      <c r="N74" s="1"/>
      <c r="R74" t="s">
        <v>621</v>
      </c>
      <c r="S74" s="299"/>
      <c r="T74" s="280"/>
    </row>
    <row r="75" spans="2:27" ht="15.75" thickBot="1" x14ac:dyDescent="0.3">
      <c r="B75" s="167" t="s">
        <v>306</v>
      </c>
      <c r="C75" s="167" t="s">
        <v>311</v>
      </c>
      <c r="D75" s="198">
        <v>4402</v>
      </c>
      <c r="E75" s="195"/>
      <c r="F75" s="195"/>
      <c r="G75" s="195"/>
      <c r="H75" s="195"/>
      <c r="I75" s="195"/>
      <c r="J75" s="195"/>
      <c r="K75" s="195"/>
      <c r="L75" s="1"/>
      <c r="M75" s="1"/>
      <c r="N75" s="1"/>
      <c r="S75" s="263"/>
      <c r="T75" s="280"/>
    </row>
    <row r="76" spans="2:27" ht="39" thickBot="1" x14ac:dyDescent="0.3">
      <c r="B76" s="167" t="s">
        <v>307</v>
      </c>
      <c r="C76" s="167" t="s">
        <v>311</v>
      </c>
      <c r="D76" s="199">
        <v>5374</v>
      </c>
      <c r="E76" s="195"/>
      <c r="F76" s="195"/>
      <c r="G76" s="195"/>
      <c r="H76" s="195"/>
      <c r="I76" s="195"/>
      <c r="J76" s="195"/>
      <c r="K76" s="195"/>
      <c r="L76" s="1"/>
      <c r="M76" s="1"/>
      <c r="N76" s="1"/>
      <c r="R76" s="353" t="s">
        <v>622</v>
      </c>
      <c r="S76" s="353" t="s">
        <v>613</v>
      </c>
      <c r="T76" s="353" t="s">
        <v>624</v>
      </c>
      <c r="U76" s="353" t="s">
        <v>614</v>
      </c>
      <c r="V76" s="353" t="s">
        <v>615</v>
      </c>
      <c r="W76" s="353" t="s">
        <v>623</v>
      </c>
      <c r="X76" s="353" t="s">
        <v>625</v>
      </c>
    </row>
    <row r="77" spans="2:27" ht="39" thickBot="1" x14ac:dyDescent="0.3">
      <c r="B77" s="167" t="s">
        <v>308</v>
      </c>
      <c r="C77" s="167" t="s">
        <v>311</v>
      </c>
      <c r="D77" s="199">
        <v>1399</v>
      </c>
      <c r="E77" s="195"/>
      <c r="F77" s="195"/>
      <c r="G77" s="195"/>
      <c r="H77" s="195"/>
      <c r="I77" s="195"/>
      <c r="J77" s="195"/>
      <c r="K77" s="195"/>
      <c r="L77" s="1"/>
      <c r="M77" s="1"/>
      <c r="N77" s="1"/>
      <c r="R77" s="354">
        <v>2016</v>
      </c>
      <c r="S77" s="354" t="s">
        <v>616</v>
      </c>
      <c r="T77" s="354"/>
      <c r="U77" s="354" t="s">
        <v>617</v>
      </c>
      <c r="V77" s="354" t="s">
        <v>61</v>
      </c>
      <c r="W77" s="354">
        <v>4000</v>
      </c>
      <c r="X77" s="354" t="s">
        <v>618</v>
      </c>
    </row>
    <row r="78" spans="2:27" ht="39" thickBot="1" x14ac:dyDescent="0.3">
      <c r="B78" s="167" t="s">
        <v>304</v>
      </c>
      <c r="C78" s="167" t="s">
        <v>311</v>
      </c>
      <c r="D78" s="166">
        <v>2573</v>
      </c>
      <c r="E78" s="195"/>
      <c r="F78" s="195"/>
      <c r="G78" s="195"/>
      <c r="H78" s="195"/>
      <c r="I78" s="195"/>
      <c r="J78" s="195"/>
      <c r="K78" s="195"/>
      <c r="L78" s="1"/>
      <c r="M78" s="1"/>
      <c r="N78" s="1"/>
      <c r="R78" s="355">
        <v>2016</v>
      </c>
      <c r="S78" s="355" t="s">
        <v>619</v>
      </c>
      <c r="T78" s="355">
        <v>1</v>
      </c>
      <c r="U78" s="355" t="s">
        <v>617</v>
      </c>
      <c r="V78" s="355" t="s">
        <v>620</v>
      </c>
      <c r="W78" s="355">
        <v>4113</v>
      </c>
      <c r="X78" s="355" t="s">
        <v>618</v>
      </c>
    </row>
    <row r="79" spans="2:27" ht="39" thickBot="1" x14ac:dyDescent="0.3">
      <c r="B79" s="1"/>
      <c r="C79" s="1"/>
      <c r="D79" s="43">
        <f>SUM(D73:D78)</f>
        <v>30924</v>
      </c>
      <c r="E79" s="1"/>
      <c r="F79" s="1"/>
      <c r="G79" s="1"/>
      <c r="H79" s="1"/>
      <c r="I79" s="1"/>
      <c r="J79" s="1"/>
      <c r="K79" s="1"/>
      <c r="L79" s="1"/>
      <c r="M79" s="1"/>
      <c r="N79" s="1"/>
      <c r="R79" s="355">
        <v>2015</v>
      </c>
      <c r="S79" s="355" t="s">
        <v>616</v>
      </c>
      <c r="T79" s="355"/>
      <c r="U79" s="355" t="s">
        <v>617</v>
      </c>
      <c r="V79" s="355" t="s">
        <v>61</v>
      </c>
      <c r="W79" s="355">
        <v>4510</v>
      </c>
      <c r="X79" s="355" t="s">
        <v>618</v>
      </c>
    </row>
    <row r="80" spans="2:27" ht="39" thickBot="1" x14ac:dyDescent="0.3">
      <c r="B80" s="1"/>
      <c r="C80" s="170"/>
      <c r="D80" s="170"/>
      <c r="E80" s="170"/>
      <c r="F80" s="170"/>
      <c r="G80" s="170"/>
      <c r="H80" s="170"/>
      <c r="I80" s="170"/>
      <c r="J80" s="170"/>
      <c r="K80" s="170"/>
      <c r="L80" s="170"/>
      <c r="M80" s="170"/>
      <c r="N80" s="170"/>
      <c r="R80" s="354">
        <v>2015</v>
      </c>
      <c r="S80" s="354" t="s">
        <v>616</v>
      </c>
      <c r="T80" s="354"/>
      <c r="U80" s="354" t="s">
        <v>617</v>
      </c>
      <c r="V80" s="354" t="s">
        <v>620</v>
      </c>
      <c r="W80" s="354">
        <v>4646</v>
      </c>
      <c r="X80" s="354" t="s">
        <v>618</v>
      </c>
    </row>
    <row r="81" spans="2:24" ht="15.75" thickBot="1" x14ac:dyDescent="0.3">
      <c r="B81" s="1"/>
      <c r="C81" s="170"/>
      <c r="D81" s="170"/>
      <c r="E81" s="170"/>
      <c r="F81" s="170"/>
      <c r="G81" s="170"/>
      <c r="H81" s="170"/>
      <c r="I81" s="170"/>
      <c r="J81" s="170"/>
      <c r="K81" s="170"/>
      <c r="L81" s="170"/>
      <c r="M81" s="170"/>
      <c r="N81" s="170"/>
      <c r="R81" s="355"/>
      <c r="S81" s="355"/>
      <c r="T81" s="355"/>
      <c r="U81" s="355"/>
      <c r="V81" s="355"/>
      <c r="W81" s="355"/>
      <c r="X81" s="355"/>
    </row>
    <row r="82" spans="2:24" ht="15.75" thickBot="1" x14ac:dyDescent="0.3">
      <c r="B82" s="1"/>
      <c r="C82" s="170"/>
      <c r="D82" s="170"/>
      <c r="E82" s="170"/>
      <c r="F82" s="170"/>
      <c r="G82" s="170"/>
      <c r="H82" s="170"/>
      <c r="I82" s="170"/>
      <c r="J82" s="170"/>
      <c r="K82" s="170"/>
      <c r="L82" s="170"/>
      <c r="M82" s="170"/>
      <c r="N82" s="170"/>
      <c r="R82" s="354">
        <v>2015</v>
      </c>
      <c r="S82" s="354" t="s">
        <v>10</v>
      </c>
      <c r="T82" s="354"/>
      <c r="U82" s="354"/>
      <c r="V82" s="354"/>
      <c r="W82" s="354">
        <f>SUM(W79:W80)</f>
        <v>9156</v>
      </c>
      <c r="X82" s="354"/>
    </row>
    <row r="83" spans="2:24" ht="15.75" thickBot="1" x14ac:dyDescent="0.3">
      <c r="B83" s="1"/>
      <c r="C83" s="170"/>
      <c r="D83" s="170"/>
      <c r="E83" s="170"/>
      <c r="F83" s="170"/>
      <c r="G83" s="170"/>
      <c r="H83" s="170"/>
      <c r="I83" s="170"/>
      <c r="J83" s="170"/>
      <c r="K83" s="170"/>
      <c r="L83" s="170"/>
      <c r="M83" s="170"/>
      <c r="N83" s="170"/>
      <c r="R83" s="355">
        <v>2016</v>
      </c>
      <c r="S83" s="355" t="s">
        <v>10</v>
      </c>
      <c r="T83" s="355"/>
      <c r="U83" s="355"/>
      <c r="V83" s="355"/>
      <c r="W83" s="355">
        <f>SUM(W77:W78)</f>
        <v>8113</v>
      </c>
      <c r="X83" s="355"/>
    </row>
    <row r="84" spans="2:24" ht="15.75" thickBot="1" x14ac:dyDescent="0.3">
      <c r="B84" s="1"/>
      <c r="C84" s="170"/>
      <c r="D84" s="170"/>
      <c r="E84" s="170"/>
      <c r="F84" s="170"/>
      <c r="G84" s="170"/>
      <c r="H84" s="170"/>
      <c r="I84" s="170"/>
      <c r="J84" s="170"/>
      <c r="K84" s="170"/>
      <c r="L84" s="170"/>
      <c r="M84" s="170"/>
      <c r="N84" s="170"/>
      <c r="R84" s="354" t="s">
        <v>626</v>
      </c>
      <c r="S84" s="354" t="s">
        <v>480</v>
      </c>
      <c r="T84" s="354"/>
      <c r="U84" s="354"/>
      <c r="V84" s="354"/>
      <c r="W84" s="354">
        <f>AVERAGE(W82:W83)</f>
        <v>8634.5</v>
      </c>
      <c r="X84" s="354" t="s">
        <v>618</v>
      </c>
    </row>
    <row r="85" spans="2:24" x14ac:dyDescent="0.25">
      <c r="B85" s="1"/>
      <c r="C85" s="170"/>
      <c r="D85" s="170"/>
      <c r="E85" s="170"/>
      <c r="F85" s="170"/>
      <c r="G85" s="170"/>
      <c r="H85" s="170"/>
      <c r="I85" s="170"/>
      <c r="J85" s="170"/>
      <c r="K85" s="170"/>
      <c r="L85" s="170"/>
      <c r="M85" s="170"/>
      <c r="N85" s="170"/>
    </row>
    <row r="86" spans="2:24" x14ac:dyDescent="0.25">
      <c r="B86" s="1"/>
      <c r="C86" s="170"/>
      <c r="D86" s="170"/>
      <c r="E86" s="170"/>
      <c r="F86" s="170"/>
      <c r="G86" s="170"/>
      <c r="H86" s="170"/>
      <c r="I86" s="170"/>
      <c r="J86" s="170"/>
      <c r="K86" s="170"/>
      <c r="L86" s="170"/>
      <c r="M86" s="170"/>
      <c r="N86" s="170"/>
    </row>
    <row r="87" spans="2:24" x14ac:dyDescent="0.25">
      <c r="B87" s="1"/>
      <c r="C87" s="170"/>
      <c r="D87" s="170"/>
      <c r="E87" s="170"/>
      <c r="F87" s="170"/>
      <c r="G87" s="170"/>
      <c r="H87" s="170"/>
      <c r="I87" s="170"/>
      <c r="J87" s="170"/>
      <c r="K87" s="170"/>
      <c r="L87" s="170"/>
      <c r="M87" s="170"/>
      <c r="N87" s="170"/>
    </row>
    <row r="88" spans="2:24" x14ac:dyDescent="0.25">
      <c r="B88" s="1"/>
      <c r="C88" s="170"/>
      <c r="D88" s="170"/>
      <c r="E88" s="170"/>
      <c r="F88" s="170"/>
      <c r="G88" s="170"/>
      <c r="H88" s="170"/>
      <c r="I88" s="170"/>
      <c r="J88" s="170"/>
      <c r="K88" s="170"/>
      <c r="L88" s="170"/>
      <c r="M88" s="170"/>
      <c r="N88" s="170"/>
    </row>
    <row r="89" spans="2:24" ht="15.75" thickBot="1" x14ac:dyDescent="0.3"/>
    <row r="90" spans="2:24" ht="15.75" thickBot="1" x14ac:dyDescent="0.3">
      <c r="B90" s="723" t="s">
        <v>51</v>
      </c>
      <c r="C90" s="7" t="s">
        <v>45</v>
      </c>
      <c r="D90" s="175">
        <v>75000</v>
      </c>
      <c r="E90" s="176">
        <v>148931</v>
      </c>
      <c r="F90" s="176">
        <v>75000</v>
      </c>
      <c r="G90" s="176"/>
      <c r="H90" s="176"/>
      <c r="I90" s="177"/>
      <c r="J90" s="177"/>
      <c r="K90" s="178"/>
      <c r="L90" s="170"/>
      <c r="M90" s="170"/>
      <c r="N90" s="170"/>
    </row>
    <row r="91" spans="2:24" x14ac:dyDescent="0.25">
      <c r="B91" s="726"/>
      <c r="C91" s="1" t="s">
        <v>46</v>
      </c>
      <c r="D91" s="114"/>
      <c r="F91" s="170"/>
      <c r="I91" s="172" t="s">
        <v>185</v>
      </c>
      <c r="J91" s="172" t="s">
        <v>183</v>
      </c>
      <c r="K91" s="179" t="s">
        <v>77</v>
      </c>
      <c r="L91" s="172" t="s">
        <v>184</v>
      </c>
      <c r="M91" s="172" t="s">
        <v>179</v>
      </c>
      <c r="N91" s="180" t="s">
        <v>78</v>
      </c>
    </row>
    <row r="92" spans="2:24" ht="15.75" thickBot="1" x14ac:dyDescent="0.3">
      <c r="B92" s="727"/>
      <c r="C92" s="7" t="s">
        <v>43</v>
      </c>
      <c r="D92" s="113"/>
      <c r="E92" s="181"/>
      <c r="F92" s="181">
        <v>90</v>
      </c>
      <c r="G92" s="181"/>
      <c r="H92" s="181"/>
      <c r="I92" s="182"/>
      <c r="J92" s="182"/>
      <c r="K92" s="183"/>
      <c r="L92" s="170"/>
      <c r="M92" s="170"/>
      <c r="N92" s="170"/>
    </row>
    <row r="93" spans="2:24" ht="15.75" thickBot="1" x14ac:dyDescent="0.3">
      <c r="B93" s="723" t="s">
        <v>76</v>
      </c>
      <c r="C93" s="7" t="s">
        <v>45</v>
      </c>
      <c r="D93" s="175">
        <v>700000</v>
      </c>
      <c r="E93" s="176">
        <v>25100</v>
      </c>
      <c r="F93" s="176">
        <v>700000</v>
      </c>
      <c r="G93" s="176"/>
      <c r="H93" s="176"/>
      <c r="I93" s="177"/>
      <c r="J93" s="177"/>
      <c r="K93" s="178"/>
      <c r="L93" s="170"/>
      <c r="M93" s="170"/>
      <c r="N93" s="170"/>
    </row>
    <row r="94" spans="2:24" ht="15.75" thickBot="1" x14ac:dyDescent="0.3">
      <c r="B94" s="724"/>
      <c r="C94" s="7" t="s">
        <v>46</v>
      </c>
      <c r="D94" s="184"/>
      <c r="E94" s="170"/>
      <c r="G94" s="170"/>
      <c r="H94" s="170"/>
      <c r="I94" s="171"/>
      <c r="J94" s="171"/>
      <c r="K94" s="179" t="s">
        <v>78</v>
      </c>
      <c r="L94" s="1"/>
      <c r="M94" s="1"/>
      <c r="N94" s="1"/>
    </row>
    <row r="95" spans="2:24" ht="15.75" thickBot="1" x14ac:dyDescent="0.3">
      <c r="B95" s="725"/>
      <c r="C95" s="7" t="s">
        <v>43</v>
      </c>
      <c r="D95" s="185"/>
      <c r="E95" s="181"/>
      <c r="F95" s="181">
        <v>800</v>
      </c>
      <c r="G95" s="181"/>
      <c r="H95" s="181"/>
      <c r="I95" s="182"/>
      <c r="J95" s="182"/>
      <c r="K95" s="183"/>
      <c r="L95" s="170"/>
      <c r="M95" s="170"/>
      <c r="N95" s="170"/>
    </row>
    <row r="96" spans="2:24" ht="15.75" thickBot="1" x14ac:dyDescent="0.3">
      <c r="B96" s="723" t="s">
        <v>12</v>
      </c>
      <c r="C96" s="7" t="s">
        <v>45</v>
      </c>
      <c r="D96" s="175">
        <v>150000</v>
      </c>
      <c r="E96" s="176">
        <v>402606</v>
      </c>
      <c r="F96" s="176">
        <v>150000</v>
      </c>
      <c r="G96" s="176"/>
      <c r="H96" s="176"/>
      <c r="I96" s="177"/>
      <c r="J96" s="177"/>
      <c r="K96" s="178"/>
      <c r="L96" s="170"/>
      <c r="M96" s="170"/>
      <c r="N96" s="170"/>
    </row>
    <row r="97" spans="2:14" ht="15.75" thickBot="1" x14ac:dyDescent="0.3">
      <c r="B97" s="724"/>
      <c r="C97" s="7" t="s">
        <v>46</v>
      </c>
      <c r="D97" s="184"/>
      <c r="E97" s="170"/>
      <c r="G97" s="170"/>
      <c r="H97" s="170"/>
      <c r="I97" s="171"/>
      <c r="J97" s="171"/>
      <c r="K97" s="179" t="s">
        <v>77</v>
      </c>
      <c r="L97" s="1"/>
      <c r="M97" s="1"/>
      <c r="N97" s="1"/>
    </row>
    <row r="98" spans="2:14" ht="15.75" thickBot="1" x14ac:dyDescent="0.3">
      <c r="B98" s="725"/>
      <c r="C98" s="7" t="s">
        <v>43</v>
      </c>
      <c r="D98" s="185"/>
      <c r="E98" s="181"/>
      <c r="F98" s="181">
        <v>170</v>
      </c>
      <c r="G98" s="181"/>
      <c r="H98" s="181"/>
      <c r="I98" s="182"/>
      <c r="J98" s="182"/>
      <c r="K98" s="183"/>
      <c r="L98" s="170"/>
      <c r="M98" s="170"/>
      <c r="N98" s="170"/>
    </row>
    <row r="99" spans="2:14" ht="15.75" thickBot="1" x14ac:dyDescent="0.3">
      <c r="B99" s="723" t="s">
        <v>79</v>
      </c>
      <c r="C99" s="7" t="s">
        <v>45</v>
      </c>
      <c r="D99" s="175">
        <f>F99</f>
        <v>3745000</v>
      </c>
      <c r="E99" s="176"/>
      <c r="F99" s="176">
        <v>3745000</v>
      </c>
      <c r="G99" s="176"/>
      <c r="H99" s="176"/>
      <c r="I99" s="177"/>
      <c r="J99" s="177"/>
      <c r="K99" s="178"/>
      <c r="L99" s="170"/>
      <c r="M99" s="170"/>
      <c r="N99" s="170"/>
    </row>
    <row r="100" spans="2:14" ht="15.75" thickBot="1" x14ac:dyDescent="0.3">
      <c r="B100" s="724"/>
      <c r="C100" s="7" t="s">
        <v>46</v>
      </c>
      <c r="D100" s="184"/>
      <c r="E100" s="170"/>
      <c r="G100" s="170"/>
      <c r="H100" s="170"/>
      <c r="I100" s="171"/>
      <c r="J100" s="171"/>
      <c r="K100" s="179" t="s">
        <v>78</v>
      </c>
      <c r="L100" s="1"/>
      <c r="M100" s="1"/>
      <c r="N100" s="1"/>
    </row>
    <row r="101" spans="2:14" ht="15.75" thickBot="1" x14ac:dyDescent="0.3">
      <c r="B101" s="725"/>
      <c r="C101" s="7" t="s">
        <v>43</v>
      </c>
      <c r="D101" s="185"/>
      <c r="E101" s="181"/>
      <c r="F101" s="181"/>
      <c r="G101" s="181"/>
      <c r="H101" s="181"/>
      <c r="I101" s="182"/>
      <c r="J101" s="182"/>
      <c r="K101" s="183"/>
      <c r="L101" s="170"/>
      <c r="M101" s="170"/>
      <c r="N101" s="170"/>
    </row>
    <row r="102" spans="2:14" ht="15.75" thickBot="1" x14ac:dyDescent="0.3">
      <c r="B102" s="723" t="s">
        <v>80</v>
      </c>
      <c r="C102" s="7" t="s">
        <v>45</v>
      </c>
      <c r="D102" s="175">
        <v>11000</v>
      </c>
      <c r="E102" s="176"/>
      <c r="F102" s="176">
        <v>11000</v>
      </c>
      <c r="G102" s="176"/>
      <c r="H102" s="176"/>
      <c r="I102" s="177"/>
      <c r="J102" s="177"/>
      <c r="K102" s="178"/>
      <c r="L102" s="170"/>
      <c r="M102" s="170"/>
      <c r="N102" s="170"/>
    </row>
    <row r="103" spans="2:14" ht="15.75" thickBot="1" x14ac:dyDescent="0.3">
      <c r="B103" s="724"/>
      <c r="C103" s="7" t="s">
        <v>46</v>
      </c>
      <c r="D103" s="184"/>
      <c r="E103" s="170"/>
      <c r="G103" s="170"/>
      <c r="H103" s="170"/>
      <c r="I103" s="171"/>
      <c r="J103" s="171"/>
      <c r="K103" s="179" t="s">
        <v>78</v>
      </c>
      <c r="L103" s="1"/>
      <c r="M103" s="1"/>
      <c r="N103" s="1"/>
    </row>
    <row r="104" spans="2:14" ht="15.75" thickBot="1" x14ac:dyDescent="0.3">
      <c r="B104" s="725"/>
      <c r="C104" s="7" t="s">
        <v>43</v>
      </c>
      <c r="D104" s="185"/>
      <c r="E104" s="181"/>
      <c r="F104" s="181"/>
      <c r="G104" s="181"/>
      <c r="H104" s="181"/>
      <c r="I104" s="182"/>
      <c r="J104" s="182"/>
      <c r="K104" s="183"/>
      <c r="L104" s="170"/>
      <c r="M104" s="170"/>
      <c r="N104" s="170"/>
    </row>
    <row r="105" spans="2:14" ht="15.75" thickBot="1" x14ac:dyDescent="0.3">
      <c r="B105" s="723" t="s">
        <v>52</v>
      </c>
      <c r="C105" s="7" t="s">
        <v>45</v>
      </c>
      <c r="D105" s="175">
        <v>978000</v>
      </c>
      <c r="E105" s="176">
        <v>1591218</v>
      </c>
      <c r="F105" s="176">
        <v>735000</v>
      </c>
      <c r="G105" s="176"/>
      <c r="H105" s="176"/>
      <c r="I105" s="177"/>
      <c r="J105" s="177"/>
      <c r="K105" s="178"/>
      <c r="L105" s="170"/>
      <c r="M105" s="170"/>
      <c r="N105" s="170"/>
    </row>
    <row r="106" spans="2:14" ht="15.75" thickBot="1" x14ac:dyDescent="0.3">
      <c r="B106" s="724"/>
      <c r="C106" s="7" t="s">
        <v>46</v>
      </c>
      <c r="D106" s="184"/>
      <c r="E106" s="170"/>
      <c r="G106" s="170"/>
      <c r="H106" s="170"/>
      <c r="I106" s="171"/>
      <c r="J106" s="171"/>
      <c r="K106" s="179" t="s">
        <v>78</v>
      </c>
      <c r="L106" s="1"/>
      <c r="M106" s="1"/>
      <c r="N106" s="1"/>
    </row>
    <row r="107" spans="2:14" ht="15.75" thickBot="1" x14ac:dyDescent="0.3">
      <c r="B107" s="725"/>
      <c r="C107" s="7" t="s">
        <v>43</v>
      </c>
      <c r="D107" s="185"/>
      <c r="E107" s="181"/>
      <c r="F107" s="181">
        <v>1500</v>
      </c>
      <c r="G107" s="181"/>
      <c r="H107" s="181"/>
      <c r="I107" s="182"/>
      <c r="J107" s="182"/>
      <c r="K107" s="183"/>
      <c r="L107" s="170"/>
      <c r="M107" s="170"/>
      <c r="N107" s="170"/>
    </row>
    <row r="108" spans="2:14" ht="15.75" thickBot="1" x14ac:dyDescent="0.3">
      <c r="B108" s="723" t="s">
        <v>84</v>
      </c>
      <c r="C108" s="7" t="s">
        <v>45</v>
      </c>
      <c r="D108" s="175">
        <v>978000</v>
      </c>
      <c r="E108" s="176">
        <v>1591218</v>
      </c>
      <c r="F108" s="176">
        <v>978000</v>
      </c>
      <c r="G108" s="176"/>
      <c r="H108" s="176"/>
      <c r="I108" s="177"/>
      <c r="J108" s="177"/>
      <c r="K108" s="178"/>
      <c r="L108" s="170"/>
      <c r="M108" s="170"/>
      <c r="N108" s="170"/>
    </row>
    <row r="109" spans="2:14" ht="15.75" thickBot="1" x14ac:dyDescent="0.3">
      <c r="B109" s="724"/>
      <c r="C109" s="7" t="s">
        <v>46</v>
      </c>
      <c r="D109" s="184"/>
      <c r="E109" s="170"/>
      <c r="G109" s="170"/>
      <c r="H109" s="170"/>
      <c r="I109" s="172" t="s">
        <v>187</v>
      </c>
      <c r="J109" s="172" t="s">
        <v>192</v>
      </c>
      <c r="K109" s="179" t="s">
        <v>77</v>
      </c>
      <c r="L109" s="1"/>
      <c r="M109" s="1"/>
      <c r="N109" s="1"/>
    </row>
    <row r="110" spans="2:14" ht="15.75" thickBot="1" x14ac:dyDescent="0.3">
      <c r="B110" s="725"/>
      <c r="C110" s="7" t="s">
        <v>43</v>
      </c>
      <c r="D110" s="185"/>
      <c r="E110" s="181"/>
      <c r="F110" s="181">
        <v>724</v>
      </c>
      <c r="G110" s="181"/>
      <c r="H110" s="181"/>
      <c r="I110" s="182"/>
      <c r="J110" s="182"/>
      <c r="K110" s="183"/>
      <c r="L110" s="170"/>
      <c r="M110" s="170"/>
      <c r="N110" s="170"/>
    </row>
    <row r="111" spans="2:14" ht="15.75" thickBot="1" x14ac:dyDescent="0.3">
      <c r="B111" s="723" t="s">
        <v>83</v>
      </c>
      <c r="C111" s="7" t="s">
        <v>45</v>
      </c>
      <c r="D111" s="175">
        <v>1200000</v>
      </c>
      <c r="E111" s="176"/>
      <c r="F111" s="176">
        <v>1200000</v>
      </c>
      <c r="G111" s="176"/>
      <c r="H111" s="176"/>
      <c r="I111" s="177"/>
      <c r="J111" s="177"/>
      <c r="K111" s="178"/>
      <c r="L111" s="170"/>
      <c r="M111" s="170"/>
      <c r="N111" s="170"/>
    </row>
    <row r="112" spans="2:14" ht="15.75" thickBot="1" x14ac:dyDescent="0.3">
      <c r="B112" s="724"/>
      <c r="C112" s="7" t="s">
        <v>46</v>
      </c>
      <c r="D112" s="184"/>
      <c r="E112" s="170"/>
      <c r="G112" s="170"/>
      <c r="H112" s="170"/>
      <c r="I112" s="172" t="s">
        <v>186</v>
      </c>
      <c r="J112" s="172" t="s">
        <v>179</v>
      </c>
      <c r="K112" s="179" t="s">
        <v>78</v>
      </c>
      <c r="L112" s="1"/>
      <c r="M112" s="1"/>
      <c r="N112" s="1"/>
    </row>
    <row r="113" spans="2:14" ht="15.75" thickBot="1" x14ac:dyDescent="0.3">
      <c r="B113" s="725"/>
      <c r="C113" s="7" t="s">
        <v>43</v>
      </c>
      <c r="D113" s="185"/>
      <c r="E113" s="181"/>
      <c r="F113" s="181">
        <v>813</v>
      </c>
      <c r="G113" s="181"/>
      <c r="H113" s="181"/>
      <c r="I113" s="182"/>
      <c r="J113" s="182"/>
      <c r="K113" s="183"/>
      <c r="L113" s="170"/>
      <c r="M113" s="170"/>
      <c r="N113" s="170"/>
    </row>
    <row r="114" spans="2:14" ht="15.75" thickBot="1" x14ac:dyDescent="0.3">
      <c r="B114" s="723" t="s">
        <v>66</v>
      </c>
      <c r="C114" s="7" t="s">
        <v>45</v>
      </c>
      <c r="D114" s="175">
        <v>90000</v>
      </c>
      <c r="E114" s="176">
        <v>95618</v>
      </c>
      <c r="F114" s="176">
        <v>90000</v>
      </c>
      <c r="G114" s="176"/>
      <c r="H114" s="176"/>
      <c r="I114" s="177"/>
      <c r="J114" s="177"/>
      <c r="K114" s="178"/>
      <c r="L114" s="170"/>
      <c r="M114" s="170"/>
      <c r="N114" s="170"/>
    </row>
    <row r="115" spans="2:14" x14ac:dyDescent="0.25">
      <c r="B115" s="726"/>
      <c r="C115" s="1" t="s">
        <v>46</v>
      </c>
      <c r="D115" s="114"/>
      <c r="F115" s="170"/>
      <c r="I115" s="172" t="s">
        <v>187</v>
      </c>
      <c r="J115" s="172" t="s">
        <v>183</v>
      </c>
      <c r="K115" s="179" t="s">
        <v>77</v>
      </c>
      <c r="L115" s="172" t="s">
        <v>188</v>
      </c>
      <c r="M115" s="172" t="s">
        <v>179</v>
      </c>
      <c r="N115" s="180" t="s">
        <v>78</v>
      </c>
    </row>
    <row r="116" spans="2:14" ht="15.75" thickBot="1" x14ac:dyDescent="0.3">
      <c r="B116" s="727"/>
      <c r="C116" s="7" t="s">
        <v>43</v>
      </c>
      <c r="D116" s="185"/>
      <c r="E116" s="181"/>
      <c r="F116" s="48">
        <v>1000</v>
      </c>
      <c r="G116" s="181"/>
      <c r="H116" s="181"/>
      <c r="I116" s="182"/>
      <c r="J116" s="182"/>
      <c r="K116" s="183"/>
      <c r="L116" s="170"/>
      <c r="M116" s="170"/>
      <c r="N116" s="170"/>
    </row>
    <row r="117" spans="2:14" ht="15.75" thickBot="1" x14ac:dyDescent="0.3">
      <c r="B117" s="723" t="s">
        <v>81</v>
      </c>
      <c r="C117" s="7" t="s">
        <v>45</v>
      </c>
      <c r="D117" s="175">
        <v>108000</v>
      </c>
      <c r="E117" s="186">
        <f>166321+198000</f>
        <v>364321</v>
      </c>
      <c r="F117" s="176">
        <v>108000</v>
      </c>
      <c r="G117" s="176"/>
      <c r="H117" s="176"/>
      <c r="I117" s="177"/>
      <c r="J117" s="177"/>
      <c r="K117" s="178"/>
      <c r="L117" s="170"/>
      <c r="M117" s="170"/>
      <c r="N117" s="170"/>
    </row>
    <row r="118" spans="2:14" x14ac:dyDescent="0.25">
      <c r="B118" s="726"/>
      <c r="C118" s="1" t="s">
        <v>46</v>
      </c>
      <c r="F118" s="170"/>
      <c r="I118" s="172" t="s">
        <v>189</v>
      </c>
      <c r="J118" s="172" t="s">
        <v>179</v>
      </c>
      <c r="K118" s="179" t="s">
        <v>78</v>
      </c>
      <c r="L118" s="172" t="s">
        <v>187</v>
      </c>
      <c r="M118" s="172" t="s">
        <v>190</v>
      </c>
      <c r="N118" s="180" t="s">
        <v>77</v>
      </c>
    </row>
    <row r="119" spans="2:14" ht="15.75" thickBot="1" x14ac:dyDescent="0.3">
      <c r="B119" s="727"/>
      <c r="C119" s="7" t="s">
        <v>43</v>
      </c>
      <c r="D119" s="185"/>
      <c r="E119" s="181"/>
      <c r="F119" s="181"/>
      <c r="G119" s="181"/>
      <c r="H119" s="181"/>
      <c r="I119" s="182"/>
      <c r="J119" s="182"/>
      <c r="K119" s="183"/>
      <c r="L119" s="170"/>
      <c r="M119" s="170"/>
      <c r="N119" s="170"/>
    </row>
    <row r="120" spans="2:14" ht="15.75" thickBot="1" x14ac:dyDescent="0.3">
      <c r="B120" s="723" t="s">
        <v>85</v>
      </c>
      <c r="C120" s="7" t="s">
        <v>45</v>
      </c>
      <c r="D120" s="175">
        <v>1100000</v>
      </c>
      <c r="E120" s="176">
        <v>1236000</v>
      </c>
      <c r="F120" s="176">
        <v>1100000</v>
      </c>
      <c r="G120" s="176"/>
      <c r="H120" s="176"/>
      <c r="I120" s="177"/>
      <c r="J120" s="177"/>
      <c r="K120" s="178"/>
      <c r="L120" s="170"/>
      <c r="M120" s="170"/>
      <c r="N120" s="170"/>
    </row>
    <row r="121" spans="2:14" x14ac:dyDescent="0.25">
      <c r="B121" s="726"/>
      <c r="C121" s="1" t="s">
        <v>46</v>
      </c>
      <c r="F121" s="170"/>
      <c r="I121" s="172" t="s">
        <v>189</v>
      </c>
      <c r="J121" s="172" t="s">
        <v>179</v>
      </c>
      <c r="K121" s="180" t="s">
        <v>78</v>
      </c>
      <c r="L121" s="172" t="s">
        <v>187</v>
      </c>
      <c r="M121" s="172" t="s">
        <v>190</v>
      </c>
      <c r="N121" s="180" t="s">
        <v>77</v>
      </c>
    </row>
    <row r="122" spans="2:14" ht="15.75" thickBot="1" x14ac:dyDescent="0.3">
      <c r="B122" s="727"/>
      <c r="C122" s="7" t="s">
        <v>43</v>
      </c>
      <c r="D122" s="185"/>
      <c r="E122" s="181"/>
      <c r="F122" s="181"/>
      <c r="G122" s="181"/>
      <c r="H122" s="181"/>
      <c r="I122" s="182"/>
      <c r="J122" s="182"/>
      <c r="K122" s="183"/>
      <c r="L122" s="170"/>
      <c r="M122" s="170"/>
      <c r="N122" s="170"/>
    </row>
    <row r="123" spans="2:14" ht="15.75" thickBot="1" x14ac:dyDescent="0.3">
      <c r="B123" s="728" t="s">
        <v>86</v>
      </c>
      <c r="C123" s="7" t="s">
        <v>45</v>
      </c>
      <c r="D123" s="175">
        <f>F123</f>
        <v>900000</v>
      </c>
      <c r="E123" s="176"/>
      <c r="F123" s="176">
        <v>900000</v>
      </c>
      <c r="G123" s="176"/>
      <c r="H123" s="176"/>
      <c r="I123" s="177"/>
      <c r="J123" s="177"/>
      <c r="K123" s="178"/>
      <c r="L123" s="170"/>
      <c r="M123" s="170"/>
      <c r="N123" s="170"/>
    </row>
    <row r="124" spans="2:14" x14ac:dyDescent="0.25">
      <c r="B124" s="729"/>
      <c r="C124" s="1" t="s">
        <v>46</v>
      </c>
      <c r="D124" s="114"/>
      <c r="F124" s="170"/>
      <c r="I124" s="172" t="s">
        <v>189</v>
      </c>
      <c r="J124" s="172" t="s">
        <v>179</v>
      </c>
      <c r="K124" s="180" t="s">
        <v>78</v>
      </c>
      <c r="L124" s="172" t="s">
        <v>187</v>
      </c>
      <c r="M124" s="172" t="s">
        <v>190</v>
      </c>
      <c r="N124" s="180" t="s">
        <v>77</v>
      </c>
    </row>
    <row r="125" spans="2:14" ht="15.75" thickBot="1" x14ac:dyDescent="0.3">
      <c r="B125" s="730"/>
      <c r="C125" s="7" t="s">
        <v>43</v>
      </c>
      <c r="D125" s="185"/>
      <c r="E125" s="181"/>
      <c r="F125" s="181">
        <v>1000</v>
      </c>
      <c r="G125" s="181"/>
      <c r="H125" s="181"/>
      <c r="I125" s="182"/>
      <c r="J125" s="182"/>
      <c r="K125" s="183"/>
      <c r="L125" s="170"/>
      <c r="M125" s="170"/>
      <c r="N125" s="170"/>
    </row>
    <row r="126" spans="2:14" ht="15.75" thickBot="1" x14ac:dyDescent="0.3">
      <c r="B126" s="723" t="s">
        <v>53</v>
      </c>
      <c r="C126" s="7" t="s">
        <v>45</v>
      </c>
      <c r="D126" s="175">
        <v>108000</v>
      </c>
      <c r="E126" s="176">
        <v>777122</v>
      </c>
      <c r="F126" s="176">
        <v>108000</v>
      </c>
      <c r="G126" s="176"/>
      <c r="H126" s="176"/>
      <c r="I126" s="177"/>
      <c r="J126" s="177"/>
      <c r="K126" s="178"/>
      <c r="L126" s="170"/>
      <c r="M126" s="170"/>
      <c r="N126" s="170"/>
    </row>
    <row r="127" spans="2:14" x14ac:dyDescent="0.25">
      <c r="B127" s="726"/>
      <c r="C127" s="1" t="s">
        <v>46</v>
      </c>
      <c r="D127" s="114"/>
      <c r="F127" s="170"/>
      <c r="I127" s="172" t="s">
        <v>187</v>
      </c>
      <c r="J127" s="172" t="s">
        <v>190</v>
      </c>
      <c r="K127" s="179" t="s">
        <v>77</v>
      </c>
      <c r="L127" s="172" t="s">
        <v>189</v>
      </c>
      <c r="M127" s="172" t="s">
        <v>179</v>
      </c>
      <c r="N127" s="180" t="s">
        <v>78</v>
      </c>
    </row>
    <row r="128" spans="2:14" ht="15.75" thickBot="1" x14ac:dyDescent="0.3">
      <c r="B128" s="727"/>
      <c r="C128" s="7" t="s">
        <v>43</v>
      </c>
      <c r="D128" s="185"/>
      <c r="E128" s="181"/>
      <c r="F128" s="181">
        <v>120</v>
      </c>
      <c r="G128" s="181"/>
      <c r="H128" s="181"/>
      <c r="I128" s="182"/>
      <c r="J128" s="182"/>
      <c r="K128" s="183"/>
      <c r="L128" s="170"/>
      <c r="M128" s="170"/>
      <c r="N128" s="170"/>
    </row>
    <row r="129" spans="2:14" ht="15.75" thickBot="1" x14ac:dyDescent="0.3">
      <c r="B129" s="723" t="s">
        <v>73</v>
      </c>
      <c r="C129" s="7" t="s">
        <v>45</v>
      </c>
      <c r="D129" s="175">
        <v>350000</v>
      </c>
      <c r="E129" s="176">
        <v>1500000</v>
      </c>
      <c r="F129" s="176"/>
      <c r="G129" s="176"/>
      <c r="H129" s="176"/>
      <c r="I129" s="177"/>
      <c r="J129" s="177"/>
      <c r="K129" s="178"/>
      <c r="L129" s="170"/>
      <c r="M129" s="170"/>
      <c r="N129" s="170"/>
    </row>
    <row r="130" spans="2:14" ht="15.75" thickBot="1" x14ac:dyDescent="0.3">
      <c r="B130" s="724"/>
      <c r="C130" s="7" t="s">
        <v>46</v>
      </c>
      <c r="D130" s="184"/>
      <c r="E130" s="170"/>
      <c r="F130" s="170"/>
      <c r="G130" s="170"/>
      <c r="H130" s="170"/>
      <c r="I130" s="171"/>
      <c r="J130" s="171"/>
      <c r="K130" s="179" t="s">
        <v>78</v>
      </c>
      <c r="L130" s="1"/>
      <c r="M130" s="1"/>
      <c r="N130" s="1" t="s">
        <v>46</v>
      </c>
    </row>
    <row r="131" spans="2:14" ht="15.75" thickBot="1" x14ac:dyDescent="0.3">
      <c r="B131" s="725"/>
      <c r="C131" s="7" t="s">
        <v>43</v>
      </c>
      <c r="D131" s="185"/>
      <c r="E131" s="181"/>
      <c r="F131" s="181">
        <v>700</v>
      </c>
      <c r="G131" s="181"/>
      <c r="H131" s="181"/>
      <c r="I131" s="182"/>
      <c r="J131" s="182"/>
      <c r="K131" s="183"/>
      <c r="L131" s="170"/>
      <c r="M131" s="170"/>
      <c r="N131" s="170"/>
    </row>
    <row r="132" spans="2:14" ht="15.75" thickBot="1" x14ac:dyDescent="0.3">
      <c r="B132" s="723" t="s">
        <v>72</v>
      </c>
      <c r="C132" s="7" t="s">
        <v>45</v>
      </c>
      <c r="D132" s="175">
        <v>300000</v>
      </c>
      <c r="E132" s="176">
        <v>1200000</v>
      </c>
      <c r="F132" s="176">
        <v>300000</v>
      </c>
      <c r="G132" s="176"/>
      <c r="H132" s="176"/>
      <c r="I132" s="177"/>
      <c r="J132" s="177"/>
      <c r="K132" s="178"/>
      <c r="L132" s="170"/>
      <c r="M132" s="170"/>
      <c r="N132" s="170"/>
    </row>
    <row r="133" spans="2:14" ht="15.75" thickBot="1" x14ac:dyDescent="0.3">
      <c r="B133" s="724"/>
      <c r="C133" s="7" t="s">
        <v>46</v>
      </c>
      <c r="D133" s="184"/>
      <c r="E133" s="170"/>
      <c r="G133" s="170"/>
      <c r="H133" s="170"/>
      <c r="I133" s="171"/>
      <c r="J133" s="171"/>
      <c r="K133" s="179" t="s">
        <v>78</v>
      </c>
      <c r="L133" s="1"/>
      <c r="M133" s="1"/>
      <c r="N133" s="1"/>
    </row>
    <row r="134" spans="2:14" ht="15.75" thickBot="1" x14ac:dyDescent="0.3">
      <c r="B134" s="725"/>
      <c r="C134" s="7" t="s">
        <v>43</v>
      </c>
      <c r="D134" s="185"/>
      <c r="E134" s="181"/>
      <c r="F134" s="181">
        <v>250</v>
      </c>
      <c r="G134" s="181"/>
      <c r="H134" s="181"/>
      <c r="I134" s="182"/>
      <c r="J134" s="182"/>
      <c r="K134" s="183"/>
      <c r="L134" s="170"/>
      <c r="M134" s="170"/>
      <c r="N134" s="170"/>
    </row>
    <row r="135" spans="2:14" ht="15.75" thickBot="1" x14ac:dyDescent="0.3">
      <c r="B135" s="723" t="s">
        <v>82</v>
      </c>
      <c r="C135" s="7" t="s">
        <v>45</v>
      </c>
      <c r="D135" s="175">
        <v>200000</v>
      </c>
      <c r="E135" s="176"/>
      <c r="F135" s="176">
        <v>250000</v>
      </c>
      <c r="G135" s="176"/>
      <c r="H135" s="176"/>
      <c r="I135" s="177"/>
      <c r="J135" s="177"/>
      <c r="K135" s="178"/>
      <c r="L135" s="170"/>
      <c r="M135" s="170"/>
      <c r="N135" s="170"/>
    </row>
    <row r="136" spans="2:14" ht="15.75" thickBot="1" x14ac:dyDescent="0.3">
      <c r="B136" s="724"/>
      <c r="C136" s="7" t="s">
        <v>46</v>
      </c>
      <c r="D136" s="184"/>
      <c r="E136" s="170"/>
      <c r="G136" s="170"/>
      <c r="H136" s="170"/>
      <c r="I136" s="171"/>
      <c r="J136" s="171"/>
      <c r="K136" s="179" t="s">
        <v>78</v>
      </c>
      <c r="L136" s="1"/>
      <c r="M136" s="1"/>
      <c r="N136" s="1"/>
    </row>
    <row r="137" spans="2:14" ht="15.75" thickBot="1" x14ac:dyDescent="0.3">
      <c r="B137" s="725"/>
      <c r="C137" s="7" t="s">
        <v>43</v>
      </c>
      <c r="D137" s="185"/>
      <c r="E137" s="181"/>
      <c r="F137" s="181">
        <v>170</v>
      </c>
      <c r="G137" s="181"/>
      <c r="H137" s="181"/>
      <c r="I137" s="182"/>
      <c r="J137" s="182"/>
      <c r="K137" s="183"/>
      <c r="L137" s="170"/>
      <c r="M137" s="170"/>
      <c r="N137" s="170"/>
    </row>
  </sheetData>
  <mergeCells count="26">
    <mergeCell ref="AC5:AE5"/>
    <mergeCell ref="AH6:AI6"/>
    <mergeCell ref="AH27:AI27"/>
    <mergeCell ref="AH32:AI32"/>
    <mergeCell ref="B108:B110"/>
    <mergeCell ref="B90:B92"/>
    <mergeCell ref="AC15:AC16"/>
    <mergeCell ref="AD15:AD16"/>
    <mergeCell ref="AE15:AE16"/>
    <mergeCell ref="B135:B137"/>
    <mergeCell ref="B111:B113"/>
    <mergeCell ref="B114:B116"/>
    <mergeCell ref="B117:B119"/>
    <mergeCell ref="B120:B122"/>
    <mergeCell ref="B123:B125"/>
    <mergeCell ref="B126:B128"/>
    <mergeCell ref="F3:K3"/>
    <mergeCell ref="D3:E3"/>
    <mergeCell ref="B3:C4"/>
    <mergeCell ref="B129:B131"/>
    <mergeCell ref="B132:B134"/>
    <mergeCell ref="B93:B95"/>
    <mergeCell ref="B96:B98"/>
    <mergeCell ref="B99:B101"/>
    <mergeCell ref="B102:B104"/>
    <mergeCell ref="B105:B107"/>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F18"/>
  <sheetViews>
    <sheetView workbookViewId="0"/>
  </sheetViews>
  <sheetFormatPr defaultRowHeight="15" x14ac:dyDescent="0.25"/>
  <cols>
    <col min="2" max="4" width="14.42578125" customWidth="1"/>
    <col min="5" max="5" width="239.5703125" bestFit="1" customWidth="1"/>
    <col min="6" max="6" width="14.42578125" customWidth="1"/>
  </cols>
  <sheetData>
    <row r="2" spans="2:6" x14ac:dyDescent="0.25">
      <c r="B2" s="17" t="s">
        <v>127</v>
      </c>
      <c r="C2" s="17" t="s">
        <v>128</v>
      </c>
      <c r="D2" s="17" t="s">
        <v>129</v>
      </c>
      <c r="E2" s="18" t="s">
        <v>130</v>
      </c>
      <c r="F2" s="17" t="s">
        <v>131</v>
      </c>
    </row>
    <row r="3" spans="2:6" x14ac:dyDescent="0.25">
      <c r="B3" t="s">
        <v>132</v>
      </c>
      <c r="C3" t="s">
        <v>133</v>
      </c>
      <c r="D3" t="s">
        <v>134</v>
      </c>
      <c r="E3" s="19"/>
    </row>
    <row r="4" spans="2:6" x14ac:dyDescent="0.25">
      <c r="B4" t="s">
        <v>135</v>
      </c>
      <c r="E4" s="19"/>
    </row>
    <row r="5" spans="2:6" x14ac:dyDescent="0.25">
      <c r="B5" s="732" t="s">
        <v>136</v>
      </c>
      <c r="C5" s="732"/>
      <c r="D5" s="732"/>
      <c r="E5" s="732"/>
      <c r="F5" s="732"/>
    </row>
    <row r="6" spans="2:6" ht="17.25" x14ac:dyDescent="0.25">
      <c r="B6" s="19" t="s">
        <v>137</v>
      </c>
      <c r="C6" s="19"/>
      <c r="D6" s="19"/>
      <c r="E6" s="19" t="s">
        <v>138</v>
      </c>
      <c r="F6" s="20" t="s">
        <v>139</v>
      </c>
    </row>
    <row r="7" spans="2:6" ht="17.25" x14ac:dyDescent="0.25">
      <c r="B7" s="19" t="s">
        <v>140</v>
      </c>
      <c r="C7" s="19"/>
      <c r="D7" s="19"/>
      <c r="E7" s="19" t="s">
        <v>141</v>
      </c>
      <c r="F7" s="21" t="s">
        <v>142</v>
      </c>
    </row>
    <row r="8" spans="2:6" ht="17.25" x14ac:dyDescent="0.25">
      <c r="B8" s="19" t="s">
        <v>143</v>
      </c>
      <c r="C8" s="19"/>
      <c r="D8" s="19" t="s">
        <v>144</v>
      </c>
      <c r="E8" s="19" t="s">
        <v>145</v>
      </c>
      <c r="F8" s="20" t="s">
        <v>146</v>
      </c>
    </row>
    <row r="9" spans="2:6" ht="17.25" x14ac:dyDescent="0.25">
      <c r="B9" s="19" t="s">
        <v>147</v>
      </c>
      <c r="C9" s="19"/>
      <c r="D9" s="19"/>
      <c r="E9" s="19" t="s">
        <v>148</v>
      </c>
      <c r="F9" s="20" t="s">
        <v>149</v>
      </c>
    </row>
    <row r="10" spans="2:6" ht="17.25" x14ac:dyDescent="0.25">
      <c r="B10" s="19" t="s">
        <v>150</v>
      </c>
      <c r="C10" s="19"/>
      <c r="D10" s="19"/>
      <c r="E10" s="19"/>
      <c r="F10" s="20" t="s">
        <v>151</v>
      </c>
    </row>
    <row r="11" spans="2:6" ht="17.25" x14ac:dyDescent="0.25">
      <c r="B11" s="19" t="s">
        <v>55</v>
      </c>
      <c r="C11" s="19"/>
      <c r="D11" s="19" t="s">
        <v>152</v>
      </c>
      <c r="E11" s="19"/>
      <c r="F11" s="20" t="s">
        <v>153</v>
      </c>
    </row>
    <row r="12" spans="2:6" ht="17.25" x14ac:dyDescent="0.25">
      <c r="B12" s="19" t="s">
        <v>155</v>
      </c>
      <c r="C12" s="19"/>
      <c r="D12" s="19"/>
      <c r="E12" s="19" t="s">
        <v>138</v>
      </c>
      <c r="F12" s="20" t="s">
        <v>154</v>
      </c>
    </row>
    <row r="13" spans="2:6" x14ac:dyDescent="0.25">
      <c r="B13" s="19" t="s">
        <v>56</v>
      </c>
      <c r="C13" s="19"/>
      <c r="D13" s="19"/>
      <c r="E13" s="19" t="s">
        <v>156</v>
      </c>
      <c r="F13" s="19" t="s">
        <v>157</v>
      </c>
    </row>
    <row r="14" spans="2:6" x14ac:dyDescent="0.25">
      <c r="B14" s="19" t="s">
        <v>147</v>
      </c>
      <c r="C14" s="19"/>
      <c r="D14" s="19"/>
      <c r="E14" s="19" t="s">
        <v>158</v>
      </c>
      <c r="F14" s="19"/>
    </row>
    <row r="15" spans="2:6" x14ac:dyDescent="0.25">
      <c r="B15" s="19" t="s">
        <v>159</v>
      </c>
      <c r="C15" s="19"/>
      <c r="D15" s="19" t="s">
        <v>160</v>
      </c>
      <c r="E15" s="19" t="s">
        <v>161</v>
      </c>
      <c r="F15" s="19" t="s">
        <v>193</v>
      </c>
    </row>
    <row r="16" spans="2:6" x14ac:dyDescent="0.25">
      <c r="B16" s="19" t="s">
        <v>162</v>
      </c>
      <c r="C16" s="19"/>
      <c r="D16" s="19" t="s">
        <v>163</v>
      </c>
      <c r="E16" s="19" t="s">
        <v>164</v>
      </c>
      <c r="F16" s="19" t="s">
        <v>191</v>
      </c>
    </row>
    <row r="17" spans="2:6" x14ac:dyDescent="0.25">
      <c r="B17" s="19" t="s">
        <v>165</v>
      </c>
      <c r="C17" s="19"/>
      <c r="D17" s="19" t="s">
        <v>166</v>
      </c>
      <c r="E17" s="19" t="s">
        <v>167</v>
      </c>
      <c r="F17" s="19" t="s">
        <v>168</v>
      </c>
    </row>
    <row r="18" spans="2:6" x14ac:dyDescent="0.25">
      <c r="B18" s="19" t="s">
        <v>169</v>
      </c>
      <c r="C18" s="19"/>
      <c r="D18" s="19"/>
      <c r="E18" s="19" t="s">
        <v>167</v>
      </c>
      <c r="F18" s="19" t="s">
        <v>170</v>
      </c>
    </row>
  </sheetData>
  <mergeCells count="1">
    <mergeCell ref="B5:F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K2"/>
  <sheetViews>
    <sheetView workbookViewId="0"/>
  </sheetViews>
  <sheetFormatPr defaultRowHeight="15" x14ac:dyDescent="0.25"/>
  <sheetData>
    <row r="2" spans="37:37" x14ac:dyDescent="0.25">
      <c r="AK2" t="s">
        <v>268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filterMode="1"/>
  <dimension ref="A1:AJ112"/>
  <sheetViews>
    <sheetView workbookViewId="0">
      <pane xSplit="2" ySplit="5" topLeftCell="C8" activePane="bottomRight" state="frozen"/>
      <selection pane="topRight" activeCell="C1" sqref="C1"/>
      <selection pane="bottomLeft" activeCell="A6" sqref="A6"/>
      <selection pane="bottomRight" activeCell="A3" sqref="A3"/>
    </sheetView>
  </sheetViews>
  <sheetFormatPr defaultRowHeight="15" x14ac:dyDescent="0.25"/>
  <cols>
    <col min="1" max="1" width="16.5703125" customWidth="1"/>
    <col min="2" max="2" width="18.42578125" customWidth="1"/>
    <col min="3" max="3" width="8.7109375" style="22" customWidth="1"/>
    <col min="4" max="4" width="9" style="22" customWidth="1"/>
    <col min="5" max="5" width="2.85546875" style="22" customWidth="1"/>
    <col min="6" max="7" width="6.7109375" style="22" customWidth="1"/>
    <col min="8" max="8" width="2.140625" style="22" customWidth="1"/>
    <col min="9" max="10" width="6.7109375" style="22" customWidth="1"/>
    <col min="11" max="11" width="2.28515625" style="22" customWidth="1"/>
    <col min="12" max="12" width="9.28515625" style="22" customWidth="1"/>
    <col min="13" max="13" width="9.85546875" style="22" customWidth="1"/>
    <col min="14" max="14" width="2.28515625" style="22" customWidth="1"/>
    <col min="15" max="16" width="6.7109375" style="22" customWidth="1"/>
    <col min="17" max="17" width="4.28515625" customWidth="1"/>
    <col min="18" max="18" width="6.85546875" customWidth="1"/>
    <col min="19" max="19" width="6.85546875" style="38" customWidth="1"/>
    <col min="20" max="20" width="7.42578125" customWidth="1"/>
    <col min="21" max="21" width="3.42578125" customWidth="1"/>
    <col min="22" max="24" width="6.85546875" customWidth="1"/>
    <col min="25" max="25" width="3.28515625" customWidth="1"/>
    <col min="26" max="28" width="6.85546875" customWidth="1"/>
    <col min="29" max="29" width="2.7109375" customWidth="1"/>
    <col min="30" max="30" width="9.140625" bestFit="1" customWidth="1"/>
    <col min="31" max="32" width="9.85546875" bestFit="1" customWidth="1"/>
    <col min="33" max="33" width="2.7109375" customWidth="1"/>
    <col min="34" max="36" width="6.85546875" customWidth="1"/>
    <col min="37" max="39" width="9" bestFit="1" customWidth="1"/>
  </cols>
  <sheetData>
    <row r="1" spans="1:36" ht="18.75" x14ac:dyDescent="0.25">
      <c r="A1" s="75" t="s">
        <v>212</v>
      </c>
    </row>
    <row r="2" spans="1:36" x14ac:dyDescent="0.25">
      <c r="A2" s="733" t="s">
        <v>213</v>
      </c>
      <c r="B2" s="733"/>
      <c r="C2" s="733"/>
      <c r="D2" s="733"/>
      <c r="E2" s="733"/>
      <c r="F2" s="733"/>
      <c r="G2" s="733"/>
      <c r="H2" s="733"/>
      <c r="I2" s="733"/>
      <c r="J2" s="733"/>
      <c r="K2" s="733"/>
      <c r="L2" s="733"/>
      <c r="M2" s="733"/>
      <c r="N2" s="733"/>
      <c r="O2" s="733"/>
    </row>
    <row r="3" spans="1:36" x14ac:dyDescent="0.25">
      <c r="C3" s="76" t="s">
        <v>214</v>
      </c>
      <c r="R3" s="17" t="s">
        <v>215</v>
      </c>
      <c r="S3" s="104"/>
    </row>
    <row r="4" spans="1:36" x14ac:dyDescent="0.25">
      <c r="B4" s="76" t="s">
        <v>216</v>
      </c>
      <c r="C4" s="734" t="s">
        <v>217</v>
      </c>
      <c r="D4" s="734"/>
      <c r="E4" s="77" t="s">
        <v>216</v>
      </c>
      <c r="F4" s="734" t="s">
        <v>218</v>
      </c>
      <c r="G4" s="734"/>
      <c r="H4" s="77" t="s">
        <v>216</v>
      </c>
      <c r="I4" s="734" t="s">
        <v>219</v>
      </c>
      <c r="J4" s="734"/>
      <c r="K4" s="77" t="s">
        <v>216</v>
      </c>
      <c r="L4" s="734" t="s">
        <v>220</v>
      </c>
      <c r="M4" s="734"/>
      <c r="N4" s="77" t="s">
        <v>216</v>
      </c>
      <c r="O4" s="734" t="s">
        <v>221</v>
      </c>
      <c r="P4" s="734"/>
      <c r="R4" s="734" t="s">
        <v>217</v>
      </c>
      <c r="S4" s="735"/>
      <c r="T4" s="734"/>
      <c r="U4" s="77"/>
      <c r="V4" s="734" t="s">
        <v>218</v>
      </c>
      <c r="W4" s="734"/>
      <c r="X4" s="734"/>
      <c r="Y4" s="77"/>
      <c r="Z4" s="734" t="s">
        <v>219</v>
      </c>
      <c r="AA4" s="734"/>
      <c r="AB4" s="734"/>
      <c r="AC4" s="77"/>
      <c r="AD4" s="734" t="s">
        <v>220</v>
      </c>
      <c r="AE4" s="734"/>
      <c r="AF4" s="734"/>
      <c r="AG4" s="77" t="s">
        <v>216</v>
      </c>
      <c r="AH4" s="734" t="s">
        <v>221</v>
      </c>
      <c r="AI4" s="734"/>
      <c r="AJ4" s="734"/>
    </row>
    <row r="5" spans="1:36" x14ac:dyDescent="0.25">
      <c r="B5" s="76" t="s">
        <v>222</v>
      </c>
      <c r="C5" s="77" t="s">
        <v>223</v>
      </c>
      <c r="D5" s="77" t="s">
        <v>224</v>
      </c>
      <c r="E5" s="77" t="s">
        <v>216</v>
      </c>
      <c r="F5" s="78" t="s">
        <v>223</v>
      </c>
      <c r="G5" s="78" t="s">
        <v>224</v>
      </c>
      <c r="H5" s="78" t="s">
        <v>216</v>
      </c>
      <c r="I5" s="78" t="s">
        <v>223</v>
      </c>
      <c r="J5" s="78" t="s">
        <v>224</v>
      </c>
      <c r="K5" s="78" t="s">
        <v>216</v>
      </c>
      <c r="L5" s="78" t="s">
        <v>223</v>
      </c>
      <c r="M5" s="78" t="s">
        <v>224</v>
      </c>
      <c r="N5" s="78" t="s">
        <v>216</v>
      </c>
      <c r="O5" s="78" t="s">
        <v>223</v>
      </c>
      <c r="P5" s="78" t="s">
        <v>224</v>
      </c>
      <c r="Q5" s="2"/>
      <c r="R5" s="78" t="s">
        <v>223</v>
      </c>
      <c r="S5" s="105" t="s">
        <v>144</v>
      </c>
      <c r="T5" s="78" t="s">
        <v>224</v>
      </c>
      <c r="U5" s="78"/>
      <c r="V5" s="78" t="s">
        <v>223</v>
      </c>
      <c r="W5" s="78" t="s">
        <v>144</v>
      </c>
      <c r="X5" s="78" t="s">
        <v>224</v>
      </c>
      <c r="Y5" s="78"/>
      <c r="Z5" s="78" t="s">
        <v>223</v>
      </c>
      <c r="AA5" s="78" t="s">
        <v>144</v>
      </c>
      <c r="AB5" s="78" t="s">
        <v>224</v>
      </c>
      <c r="AC5" s="78"/>
      <c r="AD5" s="78" t="s">
        <v>223</v>
      </c>
      <c r="AE5" s="78" t="s">
        <v>144</v>
      </c>
      <c r="AF5" s="78" t="s">
        <v>224</v>
      </c>
      <c r="AG5" s="78" t="s">
        <v>216</v>
      </c>
      <c r="AH5" s="78" t="s">
        <v>223</v>
      </c>
      <c r="AI5" s="78" t="s">
        <v>144</v>
      </c>
      <c r="AJ5" s="78" t="s">
        <v>224</v>
      </c>
    </row>
    <row r="6" spans="1:36" hidden="1" x14ac:dyDescent="0.25">
      <c r="A6" t="s">
        <v>11</v>
      </c>
      <c r="B6" s="79" t="s">
        <v>225</v>
      </c>
      <c r="C6" s="11">
        <v>484</v>
      </c>
      <c r="D6" s="11">
        <v>774</v>
      </c>
      <c r="E6" s="13" t="s">
        <v>216</v>
      </c>
      <c r="F6" s="11">
        <v>3.7</v>
      </c>
      <c r="G6" s="11">
        <v>8.6</v>
      </c>
      <c r="H6" s="13" t="s">
        <v>216</v>
      </c>
      <c r="I6" s="11">
        <v>0.99</v>
      </c>
      <c r="J6" s="11">
        <v>1</v>
      </c>
      <c r="K6" s="13" t="s">
        <v>216</v>
      </c>
      <c r="L6" s="10">
        <v>63894</v>
      </c>
      <c r="M6" s="10">
        <v>95128</v>
      </c>
      <c r="N6" s="13" t="s">
        <v>216</v>
      </c>
      <c r="O6" s="11">
        <v>446</v>
      </c>
      <c r="P6" s="11">
        <v>920</v>
      </c>
      <c r="R6" s="80">
        <v>550</v>
      </c>
      <c r="S6" s="80">
        <v>795</v>
      </c>
      <c r="T6" s="80">
        <v>869</v>
      </c>
      <c r="U6" s="80"/>
      <c r="V6" s="80">
        <v>3.5</v>
      </c>
      <c r="W6" s="80">
        <v>6.7</v>
      </c>
      <c r="X6" s="80">
        <v>7.9</v>
      </c>
      <c r="Y6" s="80"/>
      <c r="Z6" s="80">
        <v>0.97</v>
      </c>
      <c r="AA6" s="80">
        <v>0.98</v>
      </c>
      <c r="AB6" s="80">
        <v>0.98</v>
      </c>
      <c r="AC6" s="80"/>
      <c r="AD6" s="81">
        <v>22538</v>
      </c>
      <c r="AE6" s="81">
        <v>68778</v>
      </c>
      <c r="AF6" s="81">
        <v>79245</v>
      </c>
      <c r="AH6" s="80">
        <v>70</v>
      </c>
      <c r="AI6" s="80">
        <v>225</v>
      </c>
      <c r="AJ6" s="80">
        <v>293</v>
      </c>
    </row>
    <row r="7" spans="1:36" hidden="1" x14ac:dyDescent="0.25">
      <c r="A7" t="s">
        <v>11</v>
      </c>
      <c r="B7" s="79" t="s">
        <v>226</v>
      </c>
      <c r="C7" s="10">
        <v>1569</v>
      </c>
      <c r="D7" s="10">
        <v>10174</v>
      </c>
      <c r="E7" s="13" t="s">
        <v>216</v>
      </c>
      <c r="F7" s="11">
        <v>2.5</v>
      </c>
      <c r="G7" s="11">
        <v>10.5</v>
      </c>
      <c r="H7" s="13" t="s">
        <v>216</v>
      </c>
      <c r="I7" s="11">
        <v>0.96</v>
      </c>
      <c r="J7" s="11">
        <v>1</v>
      </c>
      <c r="K7" s="13" t="s">
        <v>216</v>
      </c>
      <c r="L7" s="10">
        <v>441069</v>
      </c>
      <c r="M7" s="10">
        <v>1209737</v>
      </c>
      <c r="N7" s="13" t="s">
        <v>216</v>
      </c>
      <c r="O7" s="11">
        <v>530</v>
      </c>
      <c r="P7" s="11">
        <v>891</v>
      </c>
      <c r="R7" s="12">
        <v>1569</v>
      </c>
      <c r="S7" s="12">
        <v>5575</v>
      </c>
      <c r="T7" s="12">
        <v>10174</v>
      </c>
      <c r="U7" s="12"/>
      <c r="V7" s="13">
        <v>2.5</v>
      </c>
      <c r="W7" s="13">
        <v>7.3</v>
      </c>
      <c r="X7" s="13">
        <v>10.5</v>
      </c>
      <c r="Y7" s="13"/>
      <c r="Z7" s="13">
        <v>0.96</v>
      </c>
      <c r="AA7" s="13">
        <v>1</v>
      </c>
      <c r="AB7" s="13">
        <v>1</v>
      </c>
      <c r="AC7" s="13"/>
      <c r="AD7" s="12">
        <v>441069</v>
      </c>
      <c r="AE7" s="12">
        <v>963068</v>
      </c>
      <c r="AF7" s="12">
        <v>1209737</v>
      </c>
      <c r="AH7" s="13">
        <v>530</v>
      </c>
      <c r="AI7" s="13">
        <v>762</v>
      </c>
      <c r="AJ7" s="13">
        <v>891</v>
      </c>
    </row>
    <row r="8" spans="1:36" x14ac:dyDescent="0.25">
      <c r="A8" t="s">
        <v>11</v>
      </c>
      <c r="B8" s="79" t="s">
        <v>194</v>
      </c>
      <c r="C8" s="10">
        <v>1113</v>
      </c>
      <c r="D8" s="10">
        <v>3760</v>
      </c>
      <c r="E8" s="13" t="s">
        <v>216</v>
      </c>
      <c r="F8" s="11">
        <v>3.8</v>
      </c>
      <c r="G8" s="11">
        <v>16.899999999999999</v>
      </c>
      <c r="H8" s="13" t="s">
        <v>216</v>
      </c>
      <c r="I8" s="11">
        <v>0.73</v>
      </c>
      <c r="J8" s="11">
        <v>0.98</v>
      </c>
      <c r="K8" s="13" t="s">
        <v>216</v>
      </c>
      <c r="L8" s="10">
        <v>19522</v>
      </c>
      <c r="M8" s="10">
        <v>65924</v>
      </c>
      <c r="N8" s="13" t="s">
        <v>216</v>
      </c>
      <c r="O8" s="11">
        <v>66</v>
      </c>
      <c r="P8" s="11">
        <v>289</v>
      </c>
      <c r="R8" s="12">
        <v>1239</v>
      </c>
      <c r="S8" s="106">
        <v>3773</v>
      </c>
      <c r="T8" s="12">
        <v>4344</v>
      </c>
      <c r="U8" s="12"/>
      <c r="V8" s="13">
        <v>3.9</v>
      </c>
      <c r="W8" s="13">
        <v>12.7</v>
      </c>
      <c r="X8" s="13">
        <v>16.600000000000001</v>
      </c>
      <c r="Y8" s="13"/>
      <c r="Z8" s="13">
        <v>0.76</v>
      </c>
      <c r="AA8" s="13">
        <v>0.93</v>
      </c>
      <c r="AB8" s="13">
        <v>0.94</v>
      </c>
      <c r="AC8" s="13"/>
      <c r="AD8" s="12">
        <v>22538</v>
      </c>
      <c r="AE8" s="12">
        <v>68778</v>
      </c>
      <c r="AF8" s="12">
        <v>79245</v>
      </c>
      <c r="AH8" s="13">
        <v>70</v>
      </c>
      <c r="AI8" s="13">
        <v>225</v>
      </c>
      <c r="AJ8" s="13">
        <v>293</v>
      </c>
    </row>
    <row r="9" spans="1:36" hidden="1" x14ac:dyDescent="0.25">
      <c r="A9" s="25" t="s">
        <v>11</v>
      </c>
      <c r="B9" s="82" t="s">
        <v>227</v>
      </c>
      <c r="C9" s="83">
        <v>894</v>
      </c>
      <c r="D9" s="84">
        <v>1646</v>
      </c>
      <c r="E9" s="83" t="s">
        <v>216</v>
      </c>
      <c r="F9" s="83">
        <v>4.8</v>
      </c>
      <c r="G9" s="83">
        <v>21.9</v>
      </c>
      <c r="H9" s="83" t="s">
        <v>216</v>
      </c>
      <c r="I9" s="83">
        <v>0.72</v>
      </c>
      <c r="J9" s="83">
        <v>0.87</v>
      </c>
      <c r="K9" s="83" t="s">
        <v>216</v>
      </c>
      <c r="L9" s="84">
        <v>11857</v>
      </c>
      <c r="M9" s="84">
        <v>21487</v>
      </c>
      <c r="N9" s="83" t="s">
        <v>216</v>
      </c>
      <c r="O9" s="83">
        <v>63</v>
      </c>
      <c r="P9" s="83">
        <v>283</v>
      </c>
      <c r="R9" s="85">
        <v>1201</v>
      </c>
      <c r="S9" s="85">
        <v>1885</v>
      </c>
      <c r="T9" s="85">
        <v>3716</v>
      </c>
      <c r="U9" s="85"/>
      <c r="V9" s="86">
        <v>4.4000000000000004</v>
      </c>
      <c r="W9" s="86">
        <v>13.5</v>
      </c>
      <c r="X9" s="86">
        <v>35.9</v>
      </c>
      <c r="Y9" s="86"/>
      <c r="Z9" s="86">
        <v>0.72</v>
      </c>
      <c r="AA9" s="86">
        <v>0.78</v>
      </c>
      <c r="AB9" s="86">
        <v>0.94</v>
      </c>
      <c r="AC9" s="86"/>
      <c r="AD9" s="85">
        <v>16436</v>
      </c>
      <c r="AE9" s="85">
        <v>25530</v>
      </c>
      <c r="AF9" s="85">
        <v>30556</v>
      </c>
      <c r="AH9" s="86">
        <v>60</v>
      </c>
      <c r="AI9" s="86">
        <v>181</v>
      </c>
      <c r="AJ9" s="86">
        <v>290</v>
      </c>
    </row>
    <row r="10" spans="1:36" hidden="1" x14ac:dyDescent="0.25">
      <c r="A10" t="s">
        <v>12</v>
      </c>
      <c r="B10" s="87" t="s">
        <v>225</v>
      </c>
      <c r="C10" s="10">
        <v>1559</v>
      </c>
      <c r="D10" s="10">
        <v>2315</v>
      </c>
      <c r="E10" s="13" t="s">
        <v>216</v>
      </c>
      <c r="F10" s="11">
        <v>3.8</v>
      </c>
      <c r="G10" s="11">
        <v>9</v>
      </c>
      <c r="H10" s="13" t="s">
        <v>216</v>
      </c>
      <c r="I10" s="11">
        <v>0.98</v>
      </c>
      <c r="J10" s="11">
        <v>0.98</v>
      </c>
      <c r="K10" s="13" t="s">
        <v>216</v>
      </c>
      <c r="L10" s="10">
        <v>205650</v>
      </c>
      <c r="M10" s="10">
        <v>290263</v>
      </c>
      <c r="N10" s="13" t="s">
        <v>216</v>
      </c>
      <c r="O10" s="11">
        <v>456</v>
      </c>
      <c r="P10" s="10">
        <v>1001</v>
      </c>
      <c r="R10" s="81">
        <v>1479</v>
      </c>
      <c r="S10" s="81">
        <v>2172</v>
      </c>
      <c r="T10" s="81">
        <v>3769</v>
      </c>
      <c r="U10" s="81"/>
      <c r="V10" s="80">
        <v>3.1</v>
      </c>
      <c r="W10" s="80">
        <v>7.1</v>
      </c>
      <c r="X10" s="80">
        <v>12.4</v>
      </c>
      <c r="Y10" s="80"/>
      <c r="Z10" s="80">
        <v>1</v>
      </c>
      <c r="AA10" s="80">
        <v>1</v>
      </c>
      <c r="AB10" s="80">
        <v>1</v>
      </c>
      <c r="AC10" s="80"/>
      <c r="AD10" s="81">
        <v>182410</v>
      </c>
      <c r="AE10" s="81">
        <v>263921</v>
      </c>
      <c r="AF10" s="81">
        <v>304153</v>
      </c>
      <c r="AH10" s="80">
        <v>328</v>
      </c>
      <c r="AI10" s="80">
        <v>719</v>
      </c>
      <c r="AJ10" s="80">
        <v>903</v>
      </c>
    </row>
    <row r="11" spans="1:36" hidden="1" x14ac:dyDescent="0.25">
      <c r="A11" t="s">
        <v>12</v>
      </c>
      <c r="B11" s="87" t="s">
        <v>226</v>
      </c>
      <c r="C11" s="11">
        <v>515</v>
      </c>
      <c r="D11" s="10">
        <v>7821</v>
      </c>
      <c r="E11" s="13" t="s">
        <v>216</v>
      </c>
      <c r="F11" s="11">
        <v>1.6</v>
      </c>
      <c r="G11" s="11">
        <v>9.1999999999999993</v>
      </c>
      <c r="H11" s="13" t="s">
        <v>216</v>
      </c>
      <c r="I11" s="11">
        <v>0.8</v>
      </c>
      <c r="J11" s="11">
        <v>1</v>
      </c>
      <c r="K11" s="13" t="s">
        <v>216</v>
      </c>
      <c r="L11" s="10">
        <v>263160</v>
      </c>
      <c r="M11" s="10">
        <v>1693571</v>
      </c>
      <c r="N11" s="13" t="s">
        <v>216</v>
      </c>
      <c r="O11" s="11">
        <v>612</v>
      </c>
      <c r="P11" s="10">
        <v>1141</v>
      </c>
      <c r="R11" s="13">
        <v>515</v>
      </c>
      <c r="S11" s="12">
        <v>2619</v>
      </c>
      <c r="T11" s="12">
        <v>7821</v>
      </c>
      <c r="U11" s="12"/>
      <c r="V11" s="13">
        <v>1.6</v>
      </c>
      <c r="W11" s="13">
        <v>6.3</v>
      </c>
      <c r="X11" s="13">
        <v>9.1999999999999993</v>
      </c>
      <c r="Y11" s="13"/>
      <c r="Z11" s="13">
        <v>0.8</v>
      </c>
      <c r="AA11" s="13">
        <v>1</v>
      </c>
      <c r="AB11" s="13">
        <v>1</v>
      </c>
      <c r="AC11" s="13"/>
      <c r="AD11" s="12">
        <v>263160</v>
      </c>
      <c r="AE11" s="12">
        <v>1026242</v>
      </c>
      <c r="AF11" s="12">
        <v>1693571</v>
      </c>
      <c r="AH11" s="13">
        <v>612</v>
      </c>
      <c r="AI11" s="13">
        <v>992</v>
      </c>
      <c r="AJ11" s="12">
        <v>1141</v>
      </c>
    </row>
    <row r="12" spans="1:36" x14ac:dyDescent="0.25">
      <c r="A12" t="s">
        <v>12</v>
      </c>
      <c r="B12" s="87" t="s">
        <v>194</v>
      </c>
      <c r="C12" s="10">
        <v>1549</v>
      </c>
      <c r="D12" s="10">
        <v>3950</v>
      </c>
      <c r="E12" s="13" t="s">
        <v>216</v>
      </c>
      <c r="F12" s="11">
        <v>3.9</v>
      </c>
      <c r="G12" s="11">
        <v>15.1</v>
      </c>
      <c r="H12" s="13" t="s">
        <v>216</v>
      </c>
      <c r="I12" s="11">
        <v>0.64</v>
      </c>
      <c r="J12" s="11">
        <v>0.92</v>
      </c>
      <c r="K12" s="13" t="s">
        <v>216</v>
      </c>
      <c r="L12" s="10">
        <v>27579</v>
      </c>
      <c r="M12" s="10">
        <v>69486</v>
      </c>
      <c r="N12" s="13" t="s">
        <v>216</v>
      </c>
      <c r="O12" s="11">
        <v>69</v>
      </c>
      <c r="P12" s="11">
        <v>263</v>
      </c>
      <c r="R12" s="12">
        <v>1315</v>
      </c>
      <c r="S12" s="106">
        <v>4014</v>
      </c>
      <c r="T12" s="12">
        <v>8786</v>
      </c>
      <c r="U12" s="12"/>
      <c r="V12" s="13">
        <v>3.7</v>
      </c>
      <c r="W12" s="13">
        <v>9.4</v>
      </c>
      <c r="X12" s="13">
        <v>21</v>
      </c>
      <c r="Y12" s="13"/>
      <c r="Z12" s="13">
        <v>0.47</v>
      </c>
      <c r="AA12" s="13">
        <v>0.86</v>
      </c>
      <c r="AB12" s="13">
        <v>0.96</v>
      </c>
      <c r="AC12" s="13"/>
      <c r="AD12" s="12">
        <v>27015</v>
      </c>
      <c r="AE12" s="12">
        <v>91351</v>
      </c>
      <c r="AF12" s="12">
        <v>125124</v>
      </c>
      <c r="AH12" s="13">
        <v>78</v>
      </c>
      <c r="AI12" s="13">
        <v>205</v>
      </c>
      <c r="AJ12" s="13">
        <v>312</v>
      </c>
    </row>
    <row r="13" spans="1:36" hidden="1" x14ac:dyDescent="0.25">
      <c r="A13" s="25" t="s">
        <v>12</v>
      </c>
      <c r="B13" s="88" t="s">
        <v>227</v>
      </c>
      <c r="C13" s="83">
        <v>447</v>
      </c>
      <c r="D13" s="83">
        <v>692</v>
      </c>
      <c r="E13" s="83" t="s">
        <v>216</v>
      </c>
      <c r="F13" s="83">
        <v>7.5</v>
      </c>
      <c r="G13" s="83">
        <v>23.6</v>
      </c>
      <c r="H13" s="83" t="s">
        <v>216</v>
      </c>
      <c r="I13" s="83">
        <v>0.91</v>
      </c>
      <c r="J13" s="83">
        <v>0.97</v>
      </c>
      <c r="K13" s="83" t="s">
        <v>216</v>
      </c>
      <c r="L13" s="84">
        <v>6235</v>
      </c>
      <c r="M13" s="84">
        <v>9267</v>
      </c>
      <c r="N13" s="83" t="s">
        <v>216</v>
      </c>
      <c r="O13" s="83">
        <v>105</v>
      </c>
      <c r="P13" s="83">
        <v>317</v>
      </c>
      <c r="R13" s="86">
        <v>335</v>
      </c>
      <c r="S13" s="86">
        <v>574</v>
      </c>
      <c r="T13" s="86">
        <v>850</v>
      </c>
      <c r="U13" s="86"/>
      <c r="V13" s="86">
        <v>3.8</v>
      </c>
      <c r="W13" s="86">
        <v>10.7</v>
      </c>
      <c r="X13" s="86">
        <v>20.100000000000001</v>
      </c>
      <c r="Y13" s="86"/>
      <c r="Z13" s="86">
        <v>0.8</v>
      </c>
      <c r="AA13" s="86">
        <v>0.89</v>
      </c>
      <c r="AB13" s="86">
        <v>0.96</v>
      </c>
      <c r="AC13" s="86"/>
      <c r="AD13" s="85">
        <v>6265</v>
      </c>
      <c r="AE13" s="85">
        <v>10328</v>
      </c>
      <c r="AF13" s="85">
        <v>12391</v>
      </c>
      <c r="AH13" s="86">
        <v>68</v>
      </c>
      <c r="AI13" s="86">
        <v>186</v>
      </c>
      <c r="AJ13" s="86">
        <v>283</v>
      </c>
    </row>
    <row r="14" spans="1:36" hidden="1" x14ac:dyDescent="0.25">
      <c r="A14" s="11" t="s">
        <v>228</v>
      </c>
      <c r="B14" s="87" t="s">
        <v>225</v>
      </c>
      <c r="C14" s="11">
        <v>444</v>
      </c>
      <c r="D14" s="11">
        <v>677</v>
      </c>
      <c r="E14" s="13" t="s">
        <v>216</v>
      </c>
      <c r="F14" s="11">
        <v>4.0999999999999996</v>
      </c>
      <c r="G14" s="11">
        <v>8.6</v>
      </c>
      <c r="H14" s="13" t="s">
        <v>216</v>
      </c>
      <c r="I14" s="11">
        <v>0.92</v>
      </c>
      <c r="J14" s="11">
        <v>0.93</v>
      </c>
      <c r="K14" s="13" t="s">
        <v>216</v>
      </c>
      <c r="L14" s="10">
        <v>75571</v>
      </c>
      <c r="M14" s="10">
        <v>110868</v>
      </c>
      <c r="N14" s="13" t="s">
        <v>216</v>
      </c>
      <c r="O14" s="11">
        <v>603</v>
      </c>
      <c r="P14" s="10">
        <v>1174</v>
      </c>
      <c r="R14" s="80">
        <v>581</v>
      </c>
      <c r="S14" s="80">
        <v>762</v>
      </c>
      <c r="T14" s="80">
        <v>795</v>
      </c>
      <c r="U14" s="80"/>
      <c r="V14" s="80">
        <v>4.2</v>
      </c>
      <c r="W14" s="80">
        <v>6.9</v>
      </c>
      <c r="X14" s="80">
        <v>8.6999999999999993</v>
      </c>
      <c r="Y14" s="80"/>
      <c r="Z14" s="80">
        <v>1</v>
      </c>
      <c r="AA14" s="80">
        <v>1</v>
      </c>
      <c r="AB14" s="80">
        <v>1</v>
      </c>
      <c r="AC14" s="80"/>
      <c r="AD14" s="81">
        <v>95719</v>
      </c>
      <c r="AE14" s="81">
        <v>130225</v>
      </c>
      <c r="AF14" s="81">
        <v>129940</v>
      </c>
      <c r="AH14" s="80">
        <v>509</v>
      </c>
      <c r="AI14" s="80">
        <v>826</v>
      </c>
      <c r="AJ14" s="81">
        <v>1024</v>
      </c>
    </row>
    <row r="15" spans="1:36" hidden="1" x14ac:dyDescent="0.25">
      <c r="A15" s="11" t="s">
        <v>228</v>
      </c>
      <c r="B15" s="87" t="s">
        <v>226</v>
      </c>
      <c r="C15" s="10">
        <v>1125</v>
      </c>
      <c r="D15" s="10">
        <v>8499</v>
      </c>
      <c r="E15" s="13" t="s">
        <v>216</v>
      </c>
      <c r="F15" s="11">
        <v>2.2999999999999998</v>
      </c>
      <c r="G15" s="11">
        <v>9.3000000000000007</v>
      </c>
      <c r="H15" s="13" t="s">
        <v>216</v>
      </c>
      <c r="I15" s="11">
        <v>0.94</v>
      </c>
      <c r="J15" s="11">
        <v>1</v>
      </c>
      <c r="K15" s="13" t="s">
        <v>216</v>
      </c>
      <c r="L15" s="10">
        <v>564503</v>
      </c>
      <c r="M15" s="10">
        <v>1898126</v>
      </c>
      <c r="N15" s="13" t="s">
        <v>216</v>
      </c>
      <c r="O15" s="11">
        <v>739</v>
      </c>
      <c r="P15" s="10">
        <v>1148</v>
      </c>
      <c r="R15" s="12">
        <v>1125</v>
      </c>
      <c r="S15" s="12">
        <v>3269</v>
      </c>
      <c r="T15" s="12">
        <v>8499</v>
      </c>
      <c r="U15" s="12"/>
      <c r="V15" s="13">
        <v>2.2999999999999998</v>
      </c>
      <c r="W15" s="13">
        <v>6</v>
      </c>
      <c r="X15" s="13">
        <v>9.3000000000000007</v>
      </c>
      <c r="Y15" s="13"/>
      <c r="Z15" s="13">
        <v>0.94</v>
      </c>
      <c r="AA15" s="13">
        <v>1</v>
      </c>
      <c r="AB15" s="13">
        <v>1</v>
      </c>
      <c r="AC15" s="13"/>
      <c r="AD15" s="12">
        <v>564503</v>
      </c>
      <c r="AE15" s="12">
        <v>1277833</v>
      </c>
      <c r="AF15" s="12">
        <v>1898123</v>
      </c>
      <c r="AH15" s="13">
        <v>739</v>
      </c>
      <c r="AI15" s="13">
        <v>994</v>
      </c>
      <c r="AJ15" s="12">
        <v>1148</v>
      </c>
    </row>
    <row r="16" spans="1:36" x14ac:dyDescent="0.25">
      <c r="A16" s="22" t="s">
        <v>228</v>
      </c>
      <c r="B16" s="87" t="s">
        <v>194</v>
      </c>
      <c r="C16" s="11">
        <v>880</v>
      </c>
      <c r="D16" s="10">
        <v>2582</v>
      </c>
      <c r="E16" s="13" t="s">
        <v>216</v>
      </c>
      <c r="F16" s="11">
        <v>5.0999999999999996</v>
      </c>
      <c r="G16" s="11">
        <v>17.5</v>
      </c>
      <c r="H16" s="13" t="s">
        <v>216</v>
      </c>
      <c r="I16" s="11">
        <v>0.69</v>
      </c>
      <c r="J16" s="11">
        <v>0.78</v>
      </c>
      <c r="K16" s="13" t="s">
        <v>216</v>
      </c>
      <c r="L16" s="10">
        <v>16207</v>
      </c>
      <c r="M16" s="10">
        <v>47396</v>
      </c>
      <c r="N16" s="13" t="s">
        <v>216</v>
      </c>
      <c r="O16" s="11">
        <v>93</v>
      </c>
      <c r="P16" s="11">
        <v>316</v>
      </c>
      <c r="R16" s="12">
        <v>1081</v>
      </c>
      <c r="S16" s="106">
        <v>1773</v>
      </c>
      <c r="T16" s="12">
        <v>5099</v>
      </c>
      <c r="U16" s="12"/>
      <c r="V16" s="13">
        <v>5.2</v>
      </c>
      <c r="W16" s="13">
        <v>10.199999999999999</v>
      </c>
      <c r="X16" s="13">
        <v>22.4</v>
      </c>
      <c r="Y16" s="13"/>
      <c r="Z16" s="13">
        <v>0.79</v>
      </c>
      <c r="AA16" s="13">
        <v>0.84</v>
      </c>
      <c r="AB16" s="13">
        <v>0.91</v>
      </c>
      <c r="AC16" s="13"/>
      <c r="AD16" s="12">
        <v>19736</v>
      </c>
      <c r="AE16" s="12">
        <v>38648</v>
      </c>
      <c r="AF16" s="12">
        <v>54514</v>
      </c>
      <c r="AH16" s="13">
        <v>116</v>
      </c>
      <c r="AI16" s="13">
        <v>235</v>
      </c>
      <c r="AJ16" s="13">
        <v>347</v>
      </c>
    </row>
    <row r="17" spans="1:36" hidden="1" x14ac:dyDescent="0.25">
      <c r="A17" s="83" t="s">
        <v>228</v>
      </c>
      <c r="B17" s="88" t="s">
        <v>227</v>
      </c>
      <c r="C17" s="83">
        <v>220</v>
      </c>
      <c r="D17" s="83">
        <v>369</v>
      </c>
      <c r="E17" s="83" t="s">
        <v>216</v>
      </c>
      <c r="F17" s="83">
        <v>8</v>
      </c>
      <c r="G17" s="83">
        <v>24.7</v>
      </c>
      <c r="H17" s="83" t="s">
        <v>216</v>
      </c>
      <c r="I17" s="83">
        <v>0.91</v>
      </c>
      <c r="J17" s="83">
        <v>1</v>
      </c>
      <c r="K17" s="83" t="s">
        <v>216</v>
      </c>
      <c r="L17" s="84">
        <v>2876</v>
      </c>
      <c r="M17" s="84">
        <v>4820</v>
      </c>
      <c r="N17" s="83" t="s">
        <v>216</v>
      </c>
      <c r="O17" s="83">
        <v>103</v>
      </c>
      <c r="P17" s="83">
        <v>318</v>
      </c>
      <c r="R17" s="86">
        <v>206</v>
      </c>
      <c r="S17" s="86">
        <v>268</v>
      </c>
      <c r="T17" s="86">
        <v>515</v>
      </c>
      <c r="U17" s="86"/>
      <c r="V17" s="86">
        <v>5.2</v>
      </c>
      <c r="W17" s="86">
        <v>10.1</v>
      </c>
      <c r="X17" s="86">
        <v>20.100000000000001</v>
      </c>
      <c r="Y17" s="86"/>
      <c r="Z17" s="86">
        <v>0.91</v>
      </c>
      <c r="AA17" s="86">
        <v>1</v>
      </c>
      <c r="AB17" s="86">
        <v>1</v>
      </c>
      <c r="AC17" s="86"/>
      <c r="AD17" s="85">
        <v>2513</v>
      </c>
      <c r="AE17" s="85">
        <v>3414</v>
      </c>
      <c r="AF17" s="85">
        <v>4115</v>
      </c>
      <c r="AH17" s="86">
        <v>76</v>
      </c>
      <c r="AI17" s="86">
        <v>135</v>
      </c>
      <c r="AJ17" s="86">
        <v>174</v>
      </c>
    </row>
    <row r="18" spans="1:36" hidden="1" x14ac:dyDescent="0.25">
      <c r="A18" t="s">
        <v>13</v>
      </c>
      <c r="B18" s="87" t="s">
        <v>225</v>
      </c>
      <c r="C18" s="11">
        <v>482</v>
      </c>
      <c r="D18" s="11">
        <v>759</v>
      </c>
      <c r="E18" s="13" t="s">
        <v>216</v>
      </c>
      <c r="F18" s="11">
        <v>4.5</v>
      </c>
      <c r="G18" s="11">
        <v>8.3000000000000007</v>
      </c>
      <c r="H18" s="13" t="s">
        <v>216</v>
      </c>
      <c r="I18" s="11">
        <v>0.82</v>
      </c>
      <c r="J18" s="11">
        <v>0.82</v>
      </c>
      <c r="K18" s="13" t="s">
        <v>216</v>
      </c>
      <c r="L18" s="10">
        <v>127658</v>
      </c>
      <c r="M18" s="10">
        <v>208235</v>
      </c>
      <c r="N18" s="13" t="s">
        <v>216</v>
      </c>
      <c r="O18" s="11">
        <v>767</v>
      </c>
      <c r="P18" s="10">
        <v>1312</v>
      </c>
      <c r="R18" s="80">
        <v>386</v>
      </c>
      <c r="S18" s="80">
        <v>627</v>
      </c>
      <c r="T18" s="81">
        <v>1411</v>
      </c>
      <c r="U18" s="80" t="s">
        <v>216</v>
      </c>
      <c r="V18" s="80">
        <v>3.4</v>
      </c>
      <c r="W18" s="80">
        <v>6.4</v>
      </c>
      <c r="X18" s="80">
        <v>12.4</v>
      </c>
      <c r="Y18" s="80" t="s">
        <v>216</v>
      </c>
      <c r="Z18" s="80">
        <v>1</v>
      </c>
      <c r="AA18" s="80">
        <v>1</v>
      </c>
      <c r="AB18" s="80">
        <v>1</v>
      </c>
      <c r="AC18" s="80" t="s">
        <v>216</v>
      </c>
      <c r="AD18" s="81">
        <v>82397</v>
      </c>
      <c r="AE18" s="81">
        <v>141161</v>
      </c>
      <c r="AF18" s="81">
        <v>185456</v>
      </c>
      <c r="AG18" s="80" t="s">
        <v>216</v>
      </c>
      <c r="AH18" s="80">
        <v>522</v>
      </c>
      <c r="AI18" s="80">
        <v>924</v>
      </c>
      <c r="AJ18" s="81">
        <v>1177</v>
      </c>
    </row>
    <row r="19" spans="1:36" hidden="1" x14ac:dyDescent="0.25">
      <c r="A19" t="s">
        <v>13</v>
      </c>
      <c r="B19" s="87" t="s">
        <v>226</v>
      </c>
      <c r="C19" s="11">
        <v>121</v>
      </c>
      <c r="D19" s="10">
        <v>1615</v>
      </c>
      <c r="E19" s="13" t="s">
        <v>216</v>
      </c>
      <c r="F19" s="11">
        <v>1.7</v>
      </c>
      <c r="G19" s="11">
        <v>8.6</v>
      </c>
      <c r="H19" s="13" t="s">
        <v>216</v>
      </c>
      <c r="I19" s="11">
        <v>0.56999999999999995</v>
      </c>
      <c r="J19" s="11">
        <v>1</v>
      </c>
      <c r="K19" s="13" t="s">
        <v>216</v>
      </c>
      <c r="L19" s="10">
        <v>69066</v>
      </c>
      <c r="M19" s="10">
        <v>531083</v>
      </c>
      <c r="N19" s="13" t="s">
        <v>216</v>
      </c>
      <c r="O19" s="11">
        <v>656</v>
      </c>
      <c r="P19" s="10">
        <v>1138</v>
      </c>
      <c r="R19" s="13">
        <v>121</v>
      </c>
      <c r="S19" s="13">
        <v>624</v>
      </c>
      <c r="T19" s="12">
        <v>1615</v>
      </c>
      <c r="U19" s="13" t="s">
        <v>216</v>
      </c>
      <c r="V19" s="13">
        <v>1.7</v>
      </c>
      <c r="W19" s="13">
        <v>5.4</v>
      </c>
      <c r="X19" s="13">
        <v>8.6</v>
      </c>
      <c r="Y19" s="13" t="s">
        <v>216</v>
      </c>
      <c r="Z19" s="13">
        <v>0.56999999999999995</v>
      </c>
      <c r="AA19" s="13">
        <v>1</v>
      </c>
      <c r="AB19" s="13">
        <v>1</v>
      </c>
      <c r="AC19" s="13" t="s">
        <v>216</v>
      </c>
      <c r="AD19" s="12">
        <v>69066</v>
      </c>
      <c r="AE19" s="12">
        <v>319162</v>
      </c>
      <c r="AF19" s="12">
        <v>531083</v>
      </c>
      <c r="AG19" s="13" t="s">
        <v>216</v>
      </c>
      <c r="AH19" s="13">
        <v>656</v>
      </c>
      <c r="AI19" s="13">
        <v>972</v>
      </c>
      <c r="AJ19" s="12">
        <v>1138</v>
      </c>
    </row>
    <row r="20" spans="1:36" x14ac:dyDescent="0.25">
      <c r="A20" t="s">
        <v>13</v>
      </c>
      <c r="B20" s="87" t="s">
        <v>194</v>
      </c>
      <c r="C20" s="11">
        <v>441</v>
      </c>
      <c r="D20" s="11">
        <v>833</v>
      </c>
      <c r="E20" s="13" t="s">
        <v>216</v>
      </c>
      <c r="F20" s="11">
        <v>4.4000000000000004</v>
      </c>
      <c r="G20" s="11">
        <v>10.9</v>
      </c>
      <c r="H20" s="13" t="s">
        <v>216</v>
      </c>
      <c r="I20" s="11">
        <v>0.5</v>
      </c>
      <c r="J20" s="11">
        <v>0.69</v>
      </c>
      <c r="K20" s="13" t="s">
        <v>216</v>
      </c>
      <c r="L20" s="10">
        <v>4534</v>
      </c>
      <c r="M20" s="10">
        <v>15223</v>
      </c>
      <c r="N20" s="13" t="s">
        <v>216</v>
      </c>
      <c r="O20" s="11">
        <v>94</v>
      </c>
      <c r="P20" s="11">
        <v>236</v>
      </c>
      <c r="R20" s="13">
        <v>727</v>
      </c>
      <c r="S20" s="107">
        <v>881</v>
      </c>
      <c r="T20" s="12">
        <v>4055</v>
      </c>
      <c r="U20" s="13" t="s">
        <v>216</v>
      </c>
      <c r="V20" s="13">
        <v>4.5999999999999996</v>
      </c>
      <c r="W20" s="13">
        <v>6.9</v>
      </c>
      <c r="X20" s="13">
        <v>19.2</v>
      </c>
      <c r="Y20" s="13" t="s">
        <v>216</v>
      </c>
      <c r="Z20" s="13">
        <v>0.55000000000000004</v>
      </c>
      <c r="AA20" s="13">
        <v>0.77</v>
      </c>
      <c r="AB20" s="13">
        <v>0.89</v>
      </c>
      <c r="AC20" s="13" t="s">
        <v>216</v>
      </c>
      <c r="AD20" s="12">
        <v>4287</v>
      </c>
      <c r="AE20" s="12">
        <v>14942</v>
      </c>
      <c r="AF20" s="12">
        <v>23639</v>
      </c>
      <c r="AG20" s="13" t="s">
        <v>216</v>
      </c>
      <c r="AH20" s="13">
        <v>71</v>
      </c>
      <c r="AI20" s="13">
        <v>146</v>
      </c>
      <c r="AJ20" s="13">
        <v>259</v>
      </c>
    </row>
    <row r="21" spans="1:36" hidden="1" x14ac:dyDescent="0.25">
      <c r="A21" s="25" t="s">
        <v>13</v>
      </c>
      <c r="B21" s="88" t="s">
        <v>227</v>
      </c>
      <c r="C21" s="83">
        <v>134</v>
      </c>
      <c r="D21" s="83">
        <v>190</v>
      </c>
      <c r="E21" s="83" t="s">
        <v>216</v>
      </c>
      <c r="F21" s="83">
        <v>6.4</v>
      </c>
      <c r="G21" s="83">
        <v>17.3</v>
      </c>
      <c r="H21" s="83" t="s">
        <v>216</v>
      </c>
      <c r="I21" s="83">
        <v>0.99</v>
      </c>
      <c r="J21" s="83">
        <v>1</v>
      </c>
      <c r="K21" s="83" t="s">
        <v>216</v>
      </c>
      <c r="L21" s="84">
        <v>1877</v>
      </c>
      <c r="M21" s="84">
        <v>3040</v>
      </c>
      <c r="N21" s="83" t="s">
        <v>216</v>
      </c>
      <c r="O21" s="83">
        <v>130</v>
      </c>
      <c r="P21" s="83">
        <v>351</v>
      </c>
      <c r="R21" s="86">
        <v>155</v>
      </c>
      <c r="S21" s="86">
        <v>230</v>
      </c>
      <c r="T21" s="86">
        <v>339</v>
      </c>
      <c r="U21" s="86" t="s">
        <v>216</v>
      </c>
      <c r="V21" s="86">
        <v>4.4000000000000004</v>
      </c>
      <c r="W21" s="86">
        <v>9.5</v>
      </c>
      <c r="X21" s="86">
        <v>18.899999999999999</v>
      </c>
      <c r="Y21" s="86" t="s">
        <v>216</v>
      </c>
      <c r="Z21" s="86">
        <v>0.98</v>
      </c>
      <c r="AA21" s="86">
        <v>1</v>
      </c>
      <c r="AB21" s="86">
        <v>1</v>
      </c>
      <c r="AC21" s="86" t="s">
        <v>216</v>
      </c>
      <c r="AD21" s="85">
        <v>2623</v>
      </c>
      <c r="AE21" s="85">
        <v>4048</v>
      </c>
      <c r="AF21" s="85">
        <v>5006</v>
      </c>
      <c r="AG21" s="86" t="s">
        <v>216</v>
      </c>
      <c r="AH21" s="86">
        <v>75</v>
      </c>
      <c r="AI21" s="86">
        <v>163</v>
      </c>
      <c r="AJ21" s="86">
        <v>271</v>
      </c>
    </row>
    <row r="22" spans="1:36" hidden="1" x14ac:dyDescent="0.25">
      <c r="A22" t="s">
        <v>229</v>
      </c>
      <c r="B22" s="87" t="s">
        <v>225</v>
      </c>
      <c r="C22" s="11">
        <v>391</v>
      </c>
      <c r="D22" s="11">
        <v>872</v>
      </c>
      <c r="E22" s="13" t="s">
        <v>216</v>
      </c>
      <c r="F22" s="11">
        <v>4.3</v>
      </c>
      <c r="G22" s="11">
        <v>8.4</v>
      </c>
      <c r="H22" s="13" t="s">
        <v>216</v>
      </c>
      <c r="I22" s="11">
        <v>0.5</v>
      </c>
      <c r="J22" s="11">
        <v>0.88</v>
      </c>
      <c r="K22" s="13" t="s">
        <v>216</v>
      </c>
      <c r="L22" s="10">
        <v>112948</v>
      </c>
      <c r="M22" s="10">
        <v>223491</v>
      </c>
      <c r="N22" s="13" t="s">
        <v>216</v>
      </c>
      <c r="O22" s="11">
        <v>773</v>
      </c>
      <c r="P22" s="10">
        <v>1266</v>
      </c>
      <c r="R22" s="80">
        <v>455</v>
      </c>
      <c r="S22" s="80">
        <v>709</v>
      </c>
      <c r="T22" s="81">
        <v>1646</v>
      </c>
      <c r="U22" s="81"/>
      <c r="V22" s="80">
        <v>3.6</v>
      </c>
      <c r="W22" s="80">
        <v>6.1</v>
      </c>
      <c r="X22" s="80">
        <v>11.5</v>
      </c>
      <c r="Y22" s="80"/>
      <c r="Z22" s="80">
        <v>1</v>
      </c>
      <c r="AA22" s="80">
        <v>1</v>
      </c>
      <c r="AB22" s="80">
        <v>1</v>
      </c>
      <c r="AC22" s="80"/>
      <c r="AD22" s="81">
        <v>101917</v>
      </c>
      <c r="AE22" s="81">
        <v>168583</v>
      </c>
      <c r="AF22" s="81">
        <v>217323</v>
      </c>
      <c r="AH22" s="80">
        <v>557</v>
      </c>
      <c r="AI22" s="80">
        <v>897</v>
      </c>
      <c r="AJ22" s="81">
        <v>1125</v>
      </c>
    </row>
    <row r="23" spans="1:36" hidden="1" x14ac:dyDescent="0.25">
      <c r="A23" t="s">
        <v>229</v>
      </c>
      <c r="B23" s="87" t="s">
        <v>226</v>
      </c>
      <c r="C23" s="11">
        <v>182</v>
      </c>
      <c r="D23" s="10">
        <v>1878</v>
      </c>
      <c r="E23" s="13" t="s">
        <v>216</v>
      </c>
      <c r="F23" s="11">
        <v>2.1</v>
      </c>
      <c r="G23" s="11">
        <v>9.3000000000000007</v>
      </c>
      <c r="H23" s="13" t="s">
        <v>216</v>
      </c>
      <c r="I23" s="11">
        <v>1</v>
      </c>
      <c r="J23" s="11">
        <v>1</v>
      </c>
      <c r="K23" s="13" t="s">
        <v>216</v>
      </c>
      <c r="L23" s="10">
        <v>114902</v>
      </c>
      <c r="M23" s="10">
        <v>668348</v>
      </c>
      <c r="N23" s="13" t="s">
        <v>216</v>
      </c>
      <c r="O23" s="11">
        <v>760</v>
      </c>
      <c r="P23" s="10">
        <v>1218</v>
      </c>
      <c r="R23" s="13">
        <v>182</v>
      </c>
      <c r="S23" s="13">
        <v>619</v>
      </c>
      <c r="T23" s="12">
        <v>1878</v>
      </c>
      <c r="U23" s="12"/>
      <c r="V23" s="13">
        <v>2.1</v>
      </c>
      <c r="W23" s="13">
        <v>5.9</v>
      </c>
      <c r="X23" s="13">
        <v>9.3000000000000007</v>
      </c>
      <c r="Y23" s="13"/>
      <c r="Z23" s="13">
        <v>1</v>
      </c>
      <c r="AA23" s="13">
        <v>1</v>
      </c>
      <c r="AB23" s="13">
        <v>1</v>
      </c>
      <c r="AC23" s="13"/>
      <c r="AD23" s="12">
        <v>114902</v>
      </c>
      <c r="AE23" s="12">
        <v>374578</v>
      </c>
      <c r="AF23" s="12">
        <v>668348</v>
      </c>
      <c r="AH23" s="13">
        <v>760</v>
      </c>
      <c r="AI23" s="12">
        <v>1054</v>
      </c>
      <c r="AJ23" s="12">
        <v>1218</v>
      </c>
    </row>
    <row r="24" spans="1:36" x14ac:dyDescent="0.25">
      <c r="A24" t="s">
        <v>229</v>
      </c>
      <c r="B24" s="87" t="s">
        <v>194</v>
      </c>
      <c r="C24" s="11">
        <v>553</v>
      </c>
      <c r="D24" s="10">
        <v>1099</v>
      </c>
      <c r="E24" s="13" t="s">
        <v>216</v>
      </c>
      <c r="F24" s="11">
        <v>4.5999999999999996</v>
      </c>
      <c r="G24" s="11">
        <v>10.4</v>
      </c>
      <c r="H24" s="13" t="s">
        <v>216</v>
      </c>
      <c r="I24" s="11">
        <v>0.46</v>
      </c>
      <c r="J24" s="11">
        <v>0.83</v>
      </c>
      <c r="K24" s="13" t="s">
        <v>216</v>
      </c>
      <c r="L24" s="10">
        <v>7269</v>
      </c>
      <c r="M24" s="10">
        <v>22158</v>
      </c>
      <c r="N24" s="13" t="s">
        <v>216</v>
      </c>
      <c r="O24" s="11">
        <v>100</v>
      </c>
      <c r="P24" s="11">
        <v>225</v>
      </c>
      <c r="R24" s="13">
        <v>800</v>
      </c>
      <c r="S24" s="106">
        <v>1279</v>
      </c>
      <c r="T24" s="12">
        <v>4302</v>
      </c>
      <c r="U24" s="12"/>
      <c r="V24" s="13">
        <v>4.7</v>
      </c>
      <c r="W24" s="13">
        <v>8.1</v>
      </c>
      <c r="X24" s="13">
        <v>20</v>
      </c>
      <c r="Y24" s="13"/>
      <c r="Z24" s="13">
        <v>0.62</v>
      </c>
      <c r="AA24" s="13">
        <v>0.78</v>
      </c>
      <c r="AB24" s="13">
        <v>0.92</v>
      </c>
      <c r="AC24" s="13"/>
      <c r="AD24" s="12">
        <v>13575</v>
      </c>
      <c r="AE24" s="12">
        <v>28734</v>
      </c>
      <c r="AF24" s="12">
        <v>40595</v>
      </c>
      <c r="AH24" s="13">
        <v>92</v>
      </c>
      <c r="AI24" s="13">
        <v>183</v>
      </c>
      <c r="AJ24" s="13">
        <v>286</v>
      </c>
    </row>
    <row r="25" spans="1:36" hidden="1" x14ac:dyDescent="0.25">
      <c r="A25" s="25" t="s">
        <v>229</v>
      </c>
      <c r="B25" s="88" t="s">
        <v>227</v>
      </c>
      <c r="C25" s="83">
        <v>238</v>
      </c>
      <c r="D25" s="83">
        <v>395</v>
      </c>
      <c r="E25" s="83" t="s">
        <v>216</v>
      </c>
      <c r="F25" s="83">
        <v>4.9000000000000004</v>
      </c>
      <c r="G25" s="83">
        <v>16.899999999999999</v>
      </c>
      <c r="H25" s="83" t="s">
        <v>216</v>
      </c>
      <c r="I25" s="83">
        <v>0.99</v>
      </c>
      <c r="J25" s="83">
        <v>1</v>
      </c>
      <c r="K25" s="83" t="s">
        <v>216</v>
      </c>
      <c r="L25" s="84">
        <v>3976</v>
      </c>
      <c r="M25" s="84">
        <v>6914</v>
      </c>
      <c r="N25" s="83" t="s">
        <v>216</v>
      </c>
      <c r="O25" s="83">
        <v>93</v>
      </c>
      <c r="P25" s="83">
        <v>323</v>
      </c>
      <c r="R25" s="86">
        <v>395</v>
      </c>
      <c r="S25" s="86">
        <v>541</v>
      </c>
      <c r="T25" s="86">
        <v>962</v>
      </c>
      <c r="U25" s="86"/>
      <c r="V25" s="86">
        <v>4.9000000000000004</v>
      </c>
      <c r="W25" s="86">
        <v>9.3000000000000007</v>
      </c>
      <c r="X25" s="86">
        <v>19.899999999999999</v>
      </c>
      <c r="Y25" s="86"/>
      <c r="Z25" s="86">
        <v>1</v>
      </c>
      <c r="AA25" s="86">
        <v>1</v>
      </c>
      <c r="AB25" s="86">
        <v>1</v>
      </c>
      <c r="AC25" s="86"/>
      <c r="AD25" s="85">
        <v>5254</v>
      </c>
      <c r="AE25" s="85">
        <v>8474</v>
      </c>
      <c r="AF25" s="85">
        <v>10558</v>
      </c>
      <c r="AH25" s="86">
        <v>49</v>
      </c>
      <c r="AI25" s="86">
        <v>118</v>
      </c>
      <c r="AJ25" s="86">
        <v>161</v>
      </c>
    </row>
    <row r="26" spans="1:36" hidden="1" x14ac:dyDescent="0.25">
      <c r="A26" t="s">
        <v>230</v>
      </c>
      <c r="B26" s="87" t="s">
        <v>225</v>
      </c>
      <c r="C26" s="11">
        <v>545</v>
      </c>
      <c r="D26" s="11">
        <v>843</v>
      </c>
      <c r="E26" s="13" t="s">
        <v>216</v>
      </c>
      <c r="F26" s="11">
        <v>4.3</v>
      </c>
      <c r="G26" s="11">
        <v>8.5</v>
      </c>
      <c r="H26" s="13" t="s">
        <v>216</v>
      </c>
      <c r="I26" s="11">
        <v>0.85</v>
      </c>
      <c r="J26" s="11">
        <v>0.85</v>
      </c>
      <c r="K26" s="13" t="s">
        <v>216</v>
      </c>
      <c r="L26" s="10">
        <v>124717</v>
      </c>
      <c r="M26" s="10">
        <v>200846</v>
      </c>
      <c r="N26" s="13" t="s">
        <v>216</v>
      </c>
      <c r="O26" s="11">
        <v>724</v>
      </c>
      <c r="P26" s="10">
        <v>1303</v>
      </c>
      <c r="R26" s="80">
        <v>524</v>
      </c>
      <c r="S26" s="80">
        <v>736</v>
      </c>
      <c r="T26" s="81">
        <v>1798</v>
      </c>
      <c r="U26" s="81"/>
      <c r="V26" s="80">
        <v>3.3</v>
      </c>
      <c r="W26" s="80">
        <v>6.4</v>
      </c>
      <c r="X26" s="80">
        <v>11.8</v>
      </c>
      <c r="Y26" s="80"/>
      <c r="Z26" s="80">
        <v>1</v>
      </c>
      <c r="AA26" s="80">
        <v>1</v>
      </c>
      <c r="AB26" s="80">
        <v>1</v>
      </c>
      <c r="AC26" s="80"/>
      <c r="AD26" s="81">
        <v>120843</v>
      </c>
      <c r="AE26" s="81">
        <v>194235</v>
      </c>
      <c r="AF26" s="81">
        <v>271309</v>
      </c>
      <c r="AH26" s="80">
        <v>497</v>
      </c>
      <c r="AI26" s="80">
        <v>944</v>
      </c>
      <c r="AJ26" s="81">
        <v>1175</v>
      </c>
    </row>
    <row r="27" spans="1:36" hidden="1" x14ac:dyDescent="0.25">
      <c r="A27" t="s">
        <v>230</v>
      </c>
      <c r="B27" s="87" t="s">
        <v>226</v>
      </c>
      <c r="C27" s="11">
        <v>300</v>
      </c>
      <c r="D27" s="10">
        <v>3094</v>
      </c>
      <c r="E27" s="13" t="s">
        <v>216</v>
      </c>
      <c r="F27" s="11">
        <v>1.9</v>
      </c>
      <c r="G27" s="11">
        <v>8.6999999999999993</v>
      </c>
      <c r="H27" s="13" t="s">
        <v>216</v>
      </c>
      <c r="I27" s="11">
        <v>0.99</v>
      </c>
      <c r="J27" s="11">
        <v>1</v>
      </c>
      <c r="K27" s="13" t="s">
        <v>216</v>
      </c>
      <c r="L27" s="10">
        <v>169971</v>
      </c>
      <c r="M27" s="10">
        <v>1038737</v>
      </c>
      <c r="N27" s="13" t="s">
        <v>216</v>
      </c>
      <c r="O27" s="11">
        <v>675</v>
      </c>
      <c r="P27" s="10">
        <v>1175</v>
      </c>
      <c r="R27" s="13">
        <v>300</v>
      </c>
      <c r="S27" s="13">
        <v>886</v>
      </c>
      <c r="T27" s="12">
        <v>3094</v>
      </c>
      <c r="U27" s="12"/>
      <c r="V27" s="13">
        <v>1.9</v>
      </c>
      <c r="W27" s="13">
        <v>5.6</v>
      </c>
      <c r="X27" s="13">
        <v>8.6999999999999993</v>
      </c>
      <c r="Y27" s="13"/>
      <c r="Z27" s="13">
        <v>0.99</v>
      </c>
      <c r="AA27" s="13">
        <v>1</v>
      </c>
      <c r="AB27" s="13">
        <v>1</v>
      </c>
      <c r="AC27" s="13"/>
      <c r="AD27" s="12">
        <v>169971</v>
      </c>
      <c r="AE27" s="12">
        <v>528781</v>
      </c>
      <c r="AF27" s="12">
        <v>1038737</v>
      </c>
      <c r="AH27" s="13">
        <v>675</v>
      </c>
      <c r="AI27" s="12">
        <v>1016</v>
      </c>
      <c r="AJ27" s="12">
        <v>1175</v>
      </c>
    </row>
    <row r="28" spans="1:36" x14ac:dyDescent="0.25">
      <c r="A28" t="s">
        <v>230</v>
      </c>
      <c r="B28" s="87" t="s">
        <v>194</v>
      </c>
      <c r="C28" s="11">
        <v>375</v>
      </c>
      <c r="D28" s="11">
        <v>866</v>
      </c>
      <c r="E28" s="13" t="s">
        <v>216</v>
      </c>
      <c r="F28" s="11">
        <v>4.3</v>
      </c>
      <c r="G28" s="11">
        <v>11.5</v>
      </c>
      <c r="H28" s="13" t="s">
        <v>216</v>
      </c>
      <c r="I28" s="11">
        <v>0.47</v>
      </c>
      <c r="J28" s="11">
        <v>0.91</v>
      </c>
      <c r="K28" s="13" t="s">
        <v>216</v>
      </c>
      <c r="L28" s="10">
        <v>6662</v>
      </c>
      <c r="M28" s="10">
        <v>18428</v>
      </c>
      <c r="N28" s="13" t="s">
        <v>216</v>
      </c>
      <c r="O28" s="11">
        <v>96</v>
      </c>
      <c r="P28" s="11">
        <v>252</v>
      </c>
      <c r="R28" s="13">
        <v>518</v>
      </c>
      <c r="S28" s="107">
        <v>850</v>
      </c>
      <c r="T28" s="12">
        <v>2264</v>
      </c>
      <c r="U28" s="12"/>
      <c r="V28" s="13">
        <v>4.9000000000000004</v>
      </c>
      <c r="W28" s="13">
        <v>8.9</v>
      </c>
      <c r="X28" s="13">
        <v>20.100000000000001</v>
      </c>
      <c r="Y28" s="13"/>
      <c r="Z28" s="13">
        <v>0.62</v>
      </c>
      <c r="AA28" s="13">
        <v>0.7</v>
      </c>
      <c r="AB28" s="13">
        <v>0.9</v>
      </c>
      <c r="AC28" s="13"/>
      <c r="AD28" s="12">
        <v>11040</v>
      </c>
      <c r="AE28" s="12">
        <v>19941</v>
      </c>
      <c r="AF28" s="12">
        <v>26386</v>
      </c>
      <c r="AH28" s="13">
        <v>111</v>
      </c>
      <c r="AI28" s="13">
        <v>210</v>
      </c>
      <c r="AJ28" s="13">
        <v>298</v>
      </c>
    </row>
    <row r="29" spans="1:36" hidden="1" x14ac:dyDescent="0.25">
      <c r="A29" s="25" t="s">
        <v>230</v>
      </c>
      <c r="B29" s="88" t="s">
        <v>227</v>
      </c>
      <c r="C29" s="83">
        <v>182</v>
      </c>
      <c r="D29" s="83">
        <v>295</v>
      </c>
      <c r="E29" s="83" t="s">
        <v>216</v>
      </c>
      <c r="F29" s="83">
        <v>4.4000000000000004</v>
      </c>
      <c r="G29" s="83">
        <v>16.100000000000001</v>
      </c>
      <c r="H29" s="83" t="s">
        <v>216</v>
      </c>
      <c r="I29" s="83">
        <v>0.97</v>
      </c>
      <c r="J29" s="83">
        <v>0.1</v>
      </c>
      <c r="K29" s="83" t="s">
        <v>216</v>
      </c>
      <c r="L29" s="84">
        <v>3003</v>
      </c>
      <c r="M29" s="84">
        <v>5028</v>
      </c>
      <c r="N29" s="83" t="s">
        <v>216</v>
      </c>
      <c r="O29" s="83">
        <v>83</v>
      </c>
      <c r="P29" s="83">
        <v>309</v>
      </c>
      <c r="R29" s="86">
        <v>347</v>
      </c>
      <c r="S29" s="86">
        <v>420</v>
      </c>
      <c r="T29" s="86">
        <v>665</v>
      </c>
      <c r="U29" s="86"/>
      <c r="V29" s="86">
        <v>5.8</v>
      </c>
      <c r="W29" s="86">
        <v>9.1999999999999993</v>
      </c>
      <c r="X29" s="86">
        <v>18.5</v>
      </c>
      <c r="Y29" s="86"/>
      <c r="Z29" s="86">
        <v>1</v>
      </c>
      <c r="AA29" s="86">
        <v>0.97</v>
      </c>
      <c r="AB29" s="86">
        <v>0.97</v>
      </c>
      <c r="AC29" s="86"/>
      <c r="AD29" s="85">
        <v>5846</v>
      </c>
      <c r="AE29" s="85">
        <v>7689</v>
      </c>
      <c r="AF29" s="85">
        <v>9805</v>
      </c>
      <c r="AH29" s="86">
        <v>73</v>
      </c>
      <c r="AI29" s="86">
        <v>140</v>
      </c>
      <c r="AJ29" s="86">
        <v>219</v>
      </c>
    </row>
    <row r="30" spans="1:36" hidden="1" x14ac:dyDescent="0.25">
      <c r="A30" t="s">
        <v>231</v>
      </c>
      <c r="B30" s="87" t="s">
        <v>225</v>
      </c>
      <c r="C30" s="10">
        <v>3097</v>
      </c>
      <c r="D30" s="10">
        <v>17613</v>
      </c>
      <c r="E30" s="11"/>
      <c r="F30" s="11">
        <v>2.5</v>
      </c>
      <c r="G30" s="11">
        <v>9.1</v>
      </c>
      <c r="H30" s="11"/>
      <c r="I30" s="11">
        <v>0.6</v>
      </c>
      <c r="J30" s="11">
        <v>1</v>
      </c>
      <c r="K30" s="11"/>
      <c r="L30" s="10">
        <v>465080</v>
      </c>
      <c r="M30" s="10">
        <v>1779088</v>
      </c>
      <c r="N30" s="11"/>
      <c r="O30" s="11">
        <v>237</v>
      </c>
      <c r="P30" s="11">
        <v>518</v>
      </c>
      <c r="R30" s="81">
        <v>3097</v>
      </c>
      <c r="S30" s="81">
        <v>6516</v>
      </c>
      <c r="T30" s="81">
        <v>17613</v>
      </c>
      <c r="U30" s="80" t="s">
        <v>216</v>
      </c>
      <c r="V30" s="80">
        <v>2.5</v>
      </c>
      <c r="W30" s="80">
        <v>3.6</v>
      </c>
      <c r="X30" s="80">
        <v>9.1</v>
      </c>
      <c r="Y30" s="80" t="s">
        <v>216</v>
      </c>
      <c r="Z30" s="80">
        <v>0.6</v>
      </c>
      <c r="AA30" s="80">
        <v>0.7</v>
      </c>
      <c r="AB30" s="80">
        <v>1</v>
      </c>
      <c r="AC30" s="80" t="s">
        <v>216</v>
      </c>
      <c r="AD30" s="81">
        <v>465080</v>
      </c>
      <c r="AE30" s="81">
        <v>818516</v>
      </c>
      <c r="AF30" s="81">
        <v>1779088</v>
      </c>
      <c r="AG30" s="80" t="s">
        <v>216</v>
      </c>
      <c r="AH30" s="80">
        <v>237</v>
      </c>
      <c r="AI30" s="80">
        <v>274</v>
      </c>
      <c r="AJ30" s="80">
        <v>518</v>
      </c>
    </row>
    <row r="31" spans="1:36" hidden="1" x14ac:dyDescent="0.25">
      <c r="A31" t="s">
        <v>231</v>
      </c>
      <c r="B31" s="87" t="s">
        <v>232</v>
      </c>
      <c r="C31" s="10">
        <v>3019</v>
      </c>
      <c r="D31" s="10">
        <v>21750</v>
      </c>
      <c r="E31" s="11"/>
      <c r="F31" s="11">
        <v>2.5</v>
      </c>
      <c r="G31" s="11">
        <v>15.8</v>
      </c>
      <c r="H31" s="11"/>
      <c r="I31" s="11">
        <v>0.41</v>
      </c>
      <c r="J31" s="11">
        <v>1</v>
      </c>
      <c r="K31" s="11"/>
      <c r="L31" s="10">
        <v>175993</v>
      </c>
      <c r="M31" s="10">
        <v>1707591</v>
      </c>
      <c r="N31" s="11"/>
      <c r="O31" s="11">
        <v>77</v>
      </c>
      <c r="P31" s="11">
        <v>270</v>
      </c>
      <c r="R31" s="12">
        <v>3019</v>
      </c>
      <c r="S31" s="12">
        <v>6426</v>
      </c>
      <c r="T31" s="12">
        <v>21750</v>
      </c>
      <c r="U31" s="13" t="s">
        <v>216</v>
      </c>
      <c r="V31" s="13">
        <v>2.5</v>
      </c>
      <c r="W31" s="13">
        <v>4.5</v>
      </c>
      <c r="X31" s="13">
        <v>15.8</v>
      </c>
      <c r="Y31" s="13" t="s">
        <v>216</v>
      </c>
      <c r="Z31" s="13">
        <v>0.41</v>
      </c>
      <c r="AA31" s="13">
        <v>0.45</v>
      </c>
      <c r="AB31" s="13">
        <v>1</v>
      </c>
      <c r="AC31" s="13" t="s">
        <v>216</v>
      </c>
      <c r="AD31" s="12">
        <v>175993</v>
      </c>
      <c r="AE31" s="12">
        <v>384052</v>
      </c>
      <c r="AF31" s="12">
        <v>1707591</v>
      </c>
      <c r="AG31" s="13" t="s">
        <v>216</v>
      </c>
      <c r="AH31" s="13">
        <v>77</v>
      </c>
      <c r="AI31" s="13">
        <v>115</v>
      </c>
      <c r="AJ31" s="13">
        <v>270</v>
      </c>
    </row>
    <row r="32" spans="1:36" x14ac:dyDescent="0.25">
      <c r="A32" t="s">
        <v>231</v>
      </c>
      <c r="B32" s="87" t="s">
        <v>194</v>
      </c>
      <c r="C32" s="10">
        <v>11039</v>
      </c>
      <c r="D32" s="10">
        <v>17654</v>
      </c>
      <c r="E32" s="11"/>
      <c r="F32" s="11">
        <v>3</v>
      </c>
      <c r="G32" s="11">
        <v>21.4</v>
      </c>
      <c r="H32" s="11"/>
      <c r="I32" s="11">
        <v>0.56999999999999995</v>
      </c>
      <c r="J32" s="11">
        <v>0.92</v>
      </c>
      <c r="K32" s="11"/>
      <c r="L32" s="10">
        <v>317625</v>
      </c>
      <c r="M32" s="10">
        <v>272111</v>
      </c>
      <c r="N32" s="11"/>
      <c r="O32" s="11">
        <v>76</v>
      </c>
      <c r="P32" s="11">
        <v>316</v>
      </c>
      <c r="R32" s="12">
        <v>11039</v>
      </c>
      <c r="S32" s="12">
        <v>23633</v>
      </c>
      <c r="T32" s="12">
        <v>17654</v>
      </c>
      <c r="U32" s="13" t="s">
        <v>216</v>
      </c>
      <c r="V32" s="13">
        <v>3</v>
      </c>
      <c r="W32" s="13">
        <v>7.3</v>
      </c>
      <c r="X32" s="13">
        <v>21.4</v>
      </c>
      <c r="Y32" s="13" t="s">
        <v>216</v>
      </c>
      <c r="Z32" s="13">
        <v>0.56999999999999995</v>
      </c>
      <c r="AA32" s="13">
        <v>0.61</v>
      </c>
      <c r="AB32" s="13">
        <v>0.92</v>
      </c>
      <c r="AC32" s="13" t="s">
        <v>216</v>
      </c>
      <c r="AD32" s="12">
        <v>317625</v>
      </c>
      <c r="AE32" s="12">
        <v>644219</v>
      </c>
      <c r="AF32" s="12">
        <v>272111</v>
      </c>
      <c r="AG32" s="13" t="s">
        <v>216</v>
      </c>
      <c r="AH32" s="13">
        <v>76</v>
      </c>
      <c r="AI32" s="13">
        <v>157</v>
      </c>
      <c r="AJ32" s="13">
        <v>316</v>
      </c>
    </row>
    <row r="33" spans="1:36" hidden="1" x14ac:dyDescent="0.25">
      <c r="A33" s="25" t="s">
        <v>231</v>
      </c>
      <c r="B33" s="88" t="s">
        <v>227</v>
      </c>
      <c r="C33" s="83">
        <v>855</v>
      </c>
      <c r="D33" s="84">
        <v>1973</v>
      </c>
      <c r="E33" s="83"/>
      <c r="F33" s="83">
        <v>4.8</v>
      </c>
      <c r="G33" s="83">
        <v>15.1</v>
      </c>
      <c r="H33" s="83"/>
      <c r="I33" s="83">
        <v>0.72</v>
      </c>
      <c r="J33" s="83">
        <v>0.86</v>
      </c>
      <c r="K33" s="83"/>
      <c r="L33" s="84">
        <v>17196</v>
      </c>
      <c r="M33" s="84">
        <v>28802</v>
      </c>
      <c r="N33" s="83"/>
      <c r="O33" s="83">
        <v>94</v>
      </c>
      <c r="P33" s="83">
        <v>213</v>
      </c>
      <c r="R33" s="86">
        <v>855</v>
      </c>
      <c r="S33" s="85">
        <v>1402</v>
      </c>
      <c r="T33" s="85">
        <v>1973</v>
      </c>
      <c r="U33" s="86" t="s">
        <v>216</v>
      </c>
      <c r="V33" s="86">
        <v>4.8</v>
      </c>
      <c r="W33" s="86">
        <v>9.3000000000000007</v>
      </c>
      <c r="X33" s="86">
        <v>15.1</v>
      </c>
      <c r="Y33" s="86" t="s">
        <v>216</v>
      </c>
      <c r="Z33" s="86">
        <v>0.72</v>
      </c>
      <c r="AA33" s="86">
        <v>0.78</v>
      </c>
      <c r="AB33" s="86">
        <v>0.86</v>
      </c>
      <c r="AC33" s="86" t="s">
        <v>216</v>
      </c>
      <c r="AD33" s="85">
        <v>17196</v>
      </c>
      <c r="AE33" s="85">
        <v>25080</v>
      </c>
      <c r="AF33" s="85">
        <v>28802</v>
      </c>
      <c r="AG33" s="86" t="s">
        <v>216</v>
      </c>
      <c r="AH33" s="86">
        <v>94</v>
      </c>
      <c r="AI33" s="86">
        <v>163</v>
      </c>
      <c r="AJ33" s="86">
        <v>213</v>
      </c>
    </row>
    <row r="34" spans="1:36" hidden="1" x14ac:dyDescent="0.25">
      <c r="A34" t="s">
        <v>68</v>
      </c>
      <c r="B34" s="87" t="s">
        <v>225</v>
      </c>
      <c r="C34" s="11">
        <v>934</v>
      </c>
      <c r="D34" s="10">
        <v>5792</v>
      </c>
      <c r="E34" s="11"/>
      <c r="F34" s="11">
        <v>1.8</v>
      </c>
      <c r="G34" s="11">
        <v>7.2</v>
      </c>
      <c r="H34" s="11"/>
      <c r="I34" s="11">
        <v>0.49</v>
      </c>
      <c r="J34" s="11">
        <v>1</v>
      </c>
      <c r="K34" s="11"/>
      <c r="L34" s="10">
        <v>129831</v>
      </c>
      <c r="M34" s="10">
        <v>607842</v>
      </c>
      <c r="N34" s="11"/>
      <c r="O34" s="11">
        <v>176</v>
      </c>
      <c r="P34" s="11">
        <v>426</v>
      </c>
      <c r="R34" s="80">
        <v>934</v>
      </c>
      <c r="S34" s="81">
        <v>2055</v>
      </c>
      <c r="T34" s="81">
        <v>5792</v>
      </c>
      <c r="U34" s="80" t="s">
        <v>216</v>
      </c>
      <c r="V34" s="80">
        <v>1.8</v>
      </c>
      <c r="W34" s="80">
        <v>2.9</v>
      </c>
      <c r="X34" s="80">
        <v>7.2</v>
      </c>
      <c r="Y34" s="80" t="s">
        <v>216</v>
      </c>
      <c r="Z34" s="80">
        <v>0.49</v>
      </c>
      <c r="AA34" s="80">
        <v>0.7</v>
      </c>
      <c r="AB34" s="80">
        <v>1</v>
      </c>
      <c r="AC34" s="80" t="s">
        <v>216</v>
      </c>
      <c r="AD34" s="81">
        <v>129631</v>
      </c>
      <c r="AE34" s="81">
        <v>282394</v>
      </c>
      <c r="AF34" s="81">
        <v>607842</v>
      </c>
      <c r="AG34" s="80" t="s">
        <v>216</v>
      </c>
      <c r="AH34" s="80">
        <v>176</v>
      </c>
      <c r="AI34" s="80">
        <v>245</v>
      </c>
      <c r="AJ34" s="80">
        <v>426</v>
      </c>
    </row>
    <row r="35" spans="1:36" hidden="1" x14ac:dyDescent="0.25">
      <c r="A35" t="s">
        <v>68</v>
      </c>
      <c r="B35" s="87" t="s">
        <v>232</v>
      </c>
      <c r="C35" s="11">
        <v>718</v>
      </c>
      <c r="D35" s="10">
        <v>7791</v>
      </c>
      <c r="E35" s="11"/>
      <c r="F35" s="11">
        <v>1.9</v>
      </c>
      <c r="G35" s="11">
        <v>14</v>
      </c>
      <c r="H35" s="11"/>
      <c r="I35" s="11">
        <v>0.27</v>
      </c>
      <c r="J35" s="11">
        <v>1</v>
      </c>
      <c r="K35" s="11"/>
      <c r="L35" s="10">
        <v>52519</v>
      </c>
      <c r="M35" s="10">
        <v>790464</v>
      </c>
      <c r="N35" s="11"/>
      <c r="O35" s="11">
        <v>79</v>
      </c>
      <c r="P35" s="11">
        <v>297</v>
      </c>
      <c r="R35" s="13">
        <v>718</v>
      </c>
      <c r="S35" s="12">
        <v>1803</v>
      </c>
      <c r="T35" s="12">
        <v>7791</v>
      </c>
      <c r="U35" s="13" t="s">
        <v>216</v>
      </c>
      <c r="V35" s="13">
        <v>1.9</v>
      </c>
      <c r="W35" s="13">
        <v>3.5</v>
      </c>
      <c r="X35" s="13">
        <v>14</v>
      </c>
      <c r="Y35" s="13" t="s">
        <v>216</v>
      </c>
      <c r="Z35" s="13">
        <v>0.27</v>
      </c>
      <c r="AA35" s="13">
        <v>0.37</v>
      </c>
      <c r="AB35" s="13">
        <v>1</v>
      </c>
      <c r="AC35" s="13" t="s">
        <v>216</v>
      </c>
      <c r="AD35" s="12">
        <v>52519</v>
      </c>
      <c r="AE35" s="12">
        <v>191009</v>
      </c>
      <c r="AF35" s="12">
        <v>790464</v>
      </c>
      <c r="AG35" s="13" t="s">
        <v>216</v>
      </c>
      <c r="AH35" s="13">
        <v>79</v>
      </c>
      <c r="AI35" s="13">
        <v>141</v>
      </c>
      <c r="AJ35" s="13">
        <v>297</v>
      </c>
    </row>
    <row r="36" spans="1:36" x14ac:dyDescent="0.25">
      <c r="A36" t="s">
        <v>68</v>
      </c>
      <c r="B36" s="87" t="s">
        <v>194</v>
      </c>
      <c r="C36" s="10">
        <v>3752</v>
      </c>
      <c r="D36" s="10">
        <v>8029</v>
      </c>
      <c r="E36" s="11"/>
      <c r="F36" s="11">
        <v>4</v>
      </c>
      <c r="G36" s="11">
        <v>22.1</v>
      </c>
      <c r="H36" s="11"/>
      <c r="I36" s="11">
        <v>0.33</v>
      </c>
      <c r="J36" s="11">
        <v>0.73</v>
      </c>
      <c r="K36" s="11"/>
      <c r="L36" s="10">
        <v>98166</v>
      </c>
      <c r="M36" s="10">
        <v>120143</v>
      </c>
      <c r="N36" s="11"/>
      <c r="O36" s="11">
        <v>90</v>
      </c>
      <c r="P36" s="11">
        <v>309</v>
      </c>
      <c r="R36" s="12">
        <v>3752</v>
      </c>
      <c r="S36" s="106">
        <v>5351</v>
      </c>
      <c r="T36" s="12">
        <v>8029</v>
      </c>
      <c r="U36" s="13" t="s">
        <v>216</v>
      </c>
      <c r="V36" s="13">
        <v>4</v>
      </c>
      <c r="W36" s="13">
        <v>7.5</v>
      </c>
      <c r="X36" s="13">
        <v>22.1</v>
      </c>
      <c r="Y36" s="13" t="s">
        <v>216</v>
      </c>
      <c r="Z36" s="13">
        <v>0.33</v>
      </c>
      <c r="AA36" s="13">
        <v>0.37</v>
      </c>
      <c r="AB36" s="13">
        <v>0.73</v>
      </c>
      <c r="AC36" s="13" t="s">
        <v>216</v>
      </c>
      <c r="AD36" s="12">
        <v>98166</v>
      </c>
      <c r="AE36" s="12">
        <v>124684</v>
      </c>
      <c r="AF36" s="12">
        <v>120143</v>
      </c>
      <c r="AG36" s="13" t="s">
        <v>216</v>
      </c>
      <c r="AH36" s="13">
        <v>90</v>
      </c>
      <c r="AI36" s="13">
        <v>153</v>
      </c>
      <c r="AJ36" s="13">
        <v>309</v>
      </c>
    </row>
    <row r="37" spans="1:36" hidden="1" x14ac:dyDescent="0.25">
      <c r="A37" s="25" t="s">
        <v>68</v>
      </c>
      <c r="B37" s="88" t="s">
        <v>227</v>
      </c>
      <c r="C37" s="83">
        <v>624</v>
      </c>
      <c r="D37" s="84">
        <v>1504</v>
      </c>
      <c r="E37" s="83"/>
      <c r="F37" s="83">
        <v>4.2</v>
      </c>
      <c r="G37" s="83">
        <v>13.1</v>
      </c>
      <c r="H37" s="83"/>
      <c r="I37" s="83">
        <v>0.85</v>
      </c>
      <c r="J37" s="83">
        <v>0.98</v>
      </c>
      <c r="K37" s="83"/>
      <c r="L37" s="84">
        <v>12576</v>
      </c>
      <c r="M37" s="84">
        <v>22084</v>
      </c>
      <c r="N37" s="83"/>
      <c r="O37" s="83">
        <v>83</v>
      </c>
      <c r="P37" s="83">
        <v>185</v>
      </c>
      <c r="R37" s="86">
        <v>624</v>
      </c>
      <c r="S37" s="85">
        <v>1001</v>
      </c>
      <c r="T37" s="85">
        <v>1504</v>
      </c>
      <c r="U37" s="86" t="s">
        <v>216</v>
      </c>
      <c r="V37" s="86">
        <v>4.2</v>
      </c>
      <c r="W37" s="86">
        <v>7.4</v>
      </c>
      <c r="X37" s="86">
        <v>13.1</v>
      </c>
      <c r="Y37" s="86" t="s">
        <v>216</v>
      </c>
      <c r="Z37" s="86">
        <v>0.85</v>
      </c>
      <c r="AA37" s="86">
        <v>0.94</v>
      </c>
      <c r="AB37" s="86">
        <v>0.98</v>
      </c>
      <c r="AC37" s="86" t="s">
        <v>216</v>
      </c>
      <c r="AD37" s="85">
        <v>12576</v>
      </c>
      <c r="AE37" s="85">
        <v>18112</v>
      </c>
      <c r="AF37" s="85">
        <v>22084</v>
      </c>
      <c r="AG37" s="86" t="s">
        <v>216</v>
      </c>
      <c r="AH37" s="86">
        <v>83</v>
      </c>
      <c r="AI37" s="86">
        <v>131</v>
      </c>
      <c r="AJ37" s="86">
        <v>185</v>
      </c>
    </row>
    <row r="38" spans="1:36" hidden="1" x14ac:dyDescent="0.25">
      <c r="A38" t="s">
        <v>69</v>
      </c>
      <c r="B38" s="87" t="s">
        <v>225</v>
      </c>
      <c r="C38" s="10">
        <v>1025</v>
      </c>
      <c r="D38" s="10">
        <v>4610</v>
      </c>
      <c r="E38" s="11"/>
      <c r="F38" s="11">
        <v>2</v>
      </c>
      <c r="G38" s="11">
        <v>8.6</v>
      </c>
      <c r="H38" s="11"/>
      <c r="I38" s="11">
        <v>0.35</v>
      </c>
      <c r="J38" s="11">
        <v>0.9</v>
      </c>
      <c r="K38" s="11"/>
      <c r="L38" s="10">
        <v>137656</v>
      </c>
      <c r="M38" s="10">
        <v>337240</v>
      </c>
      <c r="N38" s="11"/>
      <c r="O38" s="11">
        <v>211</v>
      </c>
      <c r="P38" s="11">
        <v>465</v>
      </c>
      <c r="R38" s="81">
        <v>1025</v>
      </c>
      <c r="S38" s="81">
        <v>2475</v>
      </c>
      <c r="T38" s="81">
        <v>4610</v>
      </c>
      <c r="U38" s="80" t="s">
        <v>216</v>
      </c>
      <c r="V38" s="80">
        <v>2</v>
      </c>
      <c r="W38" s="80">
        <v>4.5</v>
      </c>
      <c r="X38" s="80">
        <v>8.6</v>
      </c>
      <c r="Y38" s="80" t="s">
        <v>216</v>
      </c>
      <c r="Z38" s="80">
        <v>0.35</v>
      </c>
      <c r="AA38" s="80">
        <v>0.9</v>
      </c>
      <c r="AB38" s="80">
        <v>0.9</v>
      </c>
      <c r="AC38" s="80" t="s">
        <v>216</v>
      </c>
      <c r="AD38" s="81">
        <v>137656</v>
      </c>
      <c r="AE38" s="81">
        <v>264812</v>
      </c>
      <c r="AF38" s="81">
        <v>337240</v>
      </c>
      <c r="AG38" s="80" t="s">
        <v>216</v>
      </c>
      <c r="AH38" s="80">
        <v>211</v>
      </c>
      <c r="AI38" s="80">
        <v>359</v>
      </c>
      <c r="AJ38" s="80">
        <v>465</v>
      </c>
    </row>
    <row r="39" spans="1:36" hidden="1" x14ac:dyDescent="0.25">
      <c r="A39" t="s">
        <v>69</v>
      </c>
      <c r="B39" s="87" t="s">
        <v>232</v>
      </c>
      <c r="C39" s="11">
        <v>868</v>
      </c>
      <c r="D39" s="10">
        <v>5436</v>
      </c>
      <c r="E39" s="11"/>
      <c r="F39" s="11">
        <v>1.9</v>
      </c>
      <c r="G39" s="11">
        <v>15.1</v>
      </c>
      <c r="H39" s="11"/>
      <c r="I39" s="11">
        <v>0.2</v>
      </c>
      <c r="J39" s="11">
        <v>0.93</v>
      </c>
      <c r="K39" s="11"/>
      <c r="L39" s="10">
        <v>63454</v>
      </c>
      <c r="M39" s="10">
        <v>246459</v>
      </c>
      <c r="N39" s="11"/>
      <c r="O39" s="11">
        <v>92</v>
      </c>
      <c r="P39" s="11">
        <v>251</v>
      </c>
      <c r="R39" s="13">
        <v>868</v>
      </c>
      <c r="S39" s="12">
        <v>3176</v>
      </c>
      <c r="T39" s="12">
        <v>5436</v>
      </c>
      <c r="U39" s="13" t="s">
        <v>216</v>
      </c>
      <c r="V39" s="13">
        <v>1.9</v>
      </c>
      <c r="W39" s="13">
        <v>7.2</v>
      </c>
      <c r="X39" s="13">
        <v>15.1</v>
      </c>
      <c r="Y39" s="13" t="s">
        <v>216</v>
      </c>
      <c r="Z39" s="13">
        <v>0.2</v>
      </c>
      <c r="AA39" s="13">
        <v>0.78</v>
      </c>
      <c r="AB39" s="13">
        <v>0.93</v>
      </c>
      <c r="AC39" s="13" t="s">
        <v>216</v>
      </c>
      <c r="AD39" s="12">
        <v>63454</v>
      </c>
      <c r="AE39" s="12">
        <v>195918</v>
      </c>
      <c r="AF39" s="12">
        <v>246459</v>
      </c>
      <c r="AG39" s="13" t="s">
        <v>216</v>
      </c>
      <c r="AH39" s="13">
        <v>92</v>
      </c>
      <c r="AI39" s="13">
        <v>188</v>
      </c>
      <c r="AJ39" s="13">
        <v>251</v>
      </c>
    </row>
    <row r="40" spans="1:36" x14ac:dyDescent="0.25">
      <c r="A40" t="s">
        <v>69</v>
      </c>
      <c r="B40" s="87" t="s">
        <v>194</v>
      </c>
      <c r="C40" s="11">
        <v>261</v>
      </c>
      <c r="D40" s="10">
        <v>5599</v>
      </c>
      <c r="E40" s="11"/>
      <c r="F40" s="11">
        <v>2.6</v>
      </c>
      <c r="G40" s="11">
        <v>24.9</v>
      </c>
      <c r="H40" s="11"/>
      <c r="I40" s="11">
        <v>0.32</v>
      </c>
      <c r="J40" s="11">
        <v>0.9</v>
      </c>
      <c r="K40" s="11"/>
      <c r="L40" s="10">
        <v>8741</v>
      </c>
      <c r="M40" s="10">
        <v>82075</v>
      </c>
      <c r="N40" s="11"/>
      <c r="O40" s="11">
        <v>72</v>
      </c>
      <c r="P40" s="11">
        <v>352</v>
      </c>
      <c r="R40" s="13">
        <v>261</v>
      </c>
      <c r="S40" s="106">
        <v>3233</v>
      </c>
      <c r="T40" s="12">
        <v>5599</v>
      </c>
      <c r="U40" s="13" t="s">
        <v>216</v>
      </c>
      <c r="V40" s="13">
        <v>2.6</v>
      </c>
      <c r="W40" s="13">
        <v>12.6</v>
      </c>
      <c r="X40" s="13">
        <v>24.9</v>
      </c>
      <c r="Y40" s="13" t="s">
        <v>216</v>
      </c>
      <c r="Z40" s="13">
        <v>0.32</v>
      </c>
      <c r="AA40" s="13">
        <v>0.84</v>
      </c>
      <c r="AB40" s="13">
        <v>0.9</v>
      </c>
      <c r="AC40" s="13" t="s">
        <v>216</v>
      </c>
      <c r="AD40" s="12">
        <v>8741</v>
      </c>
      <c r="AE40" s="12">
        <v>67197</v>
      </c>
      <c r="AF40" s="12">
        <v>82075</v>
      </c>
      <c r="AG40" s="13" t="s">
        <v>216</v>
      </c>
      <c r="AH40" s="13">
        <v>72</v>
      </c>
      <c r="AI40" s="13">
        <v>256</v>
      </c>
      <c r="AJ40" s="13">
        <v>352</v>
      </c>
    </row>
    <row r="41" spans="1:36" hidden="1" x14ac:dyDescent="0.25">
      <c r="A41" s="25" t="s">
        <v>69</v>
      </c>
      <c r="B41" s="88" t="s">
        <v>227</v>
      </c>
      <c r="C41" s="83">
        <v>219</v>
      </c>
      <c r="D41" s="84">
        <v>1741</v>
      </c>
      <c r="E41" s="83"/>
      <c r="F41" s="83">
        <v>2.2999999999999998</v>
      </c>
      <c r="G41" s="83">
        <v>16.5</v>
      </c>
      <c r="H41" s="83"/>
      <c r="I41" s="83">
        <v>0.21</v>
      </c>
      <c r="J41" s="83">
        <v>1</v>
      </c>
      <c r="K41" s="83"/>
      <c r="L41" s="84">
        <v>4484</v>
      </c>
      <c r="M41" s="84">
        <v>26042</v>
      </c>
      <c r="N41" s="83"/>
      <c r="O41" s="83">
        <v>44</v>
      </c>
      <c r="P41" s="83">
        <v>234</v>
      </c>
      <c r="R41" s="86">
        <v>219</v>
      </c>
      <c r="S41" s="85">
        <v>1093</v>
      </c>
      <c r="T41" s="85">
        <v>1741</v>
      </c>
      <c r="U41" s="86" t="s">
        <v>216</v>
      </c>
      <c r="V41" s="86">
        <v>2.2999999999999998</v>
      </c>
      <c r="W41" s="86">
        <v>9.6999999999999993</v>
      </c>
      <c r="X41" s="86">
        <v>16.5</v>
      </c>
      <c r="Y41" s="86" t="s">
        <v>216</v>
      </c>
      <c r="Z41" s="86">
        <v>0.21</v>
      </c>
      <c r="AA41" s="86">
        <v>0.91</v>
      </c>
      <c r="AB41" s="86">
        <v>1</v>
      </c>
      <c r="AC41" s="86" t="s">
        <v>216</v>
      </c>
      <c r="AD41" s="85">
        <v>4484</v>
      </c>
      <c r="AE41" s="85">
        <v>19991</v>
      </c>
      <c r="AF41" s="85">
        <v>26042</v>
      </c>
      <c r="AG41" s="86" t="s">
        <v>216</v>
      </c>
      <c r="AH41" s="86">
        <v>44</v>
      </c>
      <c r="AI41" s="86">
        <v>170</v>
      </c>
      <c r="AJ41" s="86">
        <v>234</v>
      </c>
    </row>
    <row r="42" spans="1:36" hidden="1" x14ac:dyDescent="0.25">
      <c r="A42" t="s">
        <v>233</v>
      </c>
      <c r="B42" s="87" t="s">
        <v>225</v>
      </c>
      <c r="C42" s="10">
        <v>8218</v>
      </c>
      <c r="D42" s="10">
        <v>23980</v>
      </c>
      <c r="E42" s="11"/>
      <c r="F42" s="11">
        <v>5.6</v>
      </c>
      <c r="G42" s="11">
        <v>14.3</v>
      </c>
      <c r="H42" s="11"/>
      <c r="I42" s="11">
        <v>0.64</v>
      </c>
      <c r="J42" s="11">
        <v>1</v>
      </c>
      <c r="K42" s="11"/>
      <c r="L42" s="10">
        <v>1344061</v>
      </c>
      <c r="M42" s="10">
        <v>3511194</v>
      </c>
      <c r="N42" s="11"/>
      <c r="O42" s="11">
        <v>536</v>
      </c>
      <c r="P42" s="10">
        <v>1307</v>
      </c>
      <c r="R42" s="81">
        <v>8873</v>
      </c>
      <c r="S42" s="81">
        <v>20865</v>
      </c>
      <c r="T42" s="81">
        <v>24356</v>
      </c>
      <c r="U42" s="80" t="s">
        <v>216</v>
      </c>
      <c r="V42" s="80">
        <v>5.9</v>
      </c>
      <c r="W42" s="80">
        <v>11</v>
      </c>
      <c r="X42" s="80">
        <v>14.5</v>
      </c>
      <c r="Y42" s="80" t="s">
        <v>216</v>
      </c>
      <c r="Z42" s="80">
        <v>0.65</v>
      </c>
      <c r="AA42" s="80">
        <v>1</v>
      </c>
      <c r="AB42" s="80">
        <v>1</v>
      </c>
      <c r="AC42" s="80" t="s">
        <v>216</v>
      </c>
      <c r="AD42" s="81">
        <v>1484327</v>
      </c>
      <c r="AE42" s="81">
        <v>3049618</v>
      </c>
      <c r="AF42" s="81">
        <v>3809863</v>
      </c>
      <c r="AG42" s="80" t="s">
        <v>216</v>
      </c>
      <c r="AH42" s="80">
        <v>551</v>
      </c>
      <c r="AI42" s="80">
        <v>998</v>
      </c>
      <c r="AJ42" s="81">
        <v>1295</v>
      </c>
    </row>
    <row r="43" spans="1:36" hidden="1" x14ac:dyDescent="0.25">
      <c r="A43" t="s">
        <v>233</v>
      </c>
      <c r="B43" s="87" t="s">
        <v>226</v>
      </c>
      <c r="C43" s="10">
        <v>6239</v>
      </c>
      <c r="D43" s="10">
        <v>166140</v>
      </c>
      <c r="E43" s="11"/>
      <c r="F43" s="11">
        <v>1.9</v>
      </c>
      <c r="G43" s="11">
        <v>9.8000000000000007</v>
      </c>
      <c r="H43" s="11"/>
      <c r="I43" s="11">
        <v>0.44</v>
      </c>
      <c r="J43" s="11">
        <v>1</v>
      </c>
      <c r="K43" s="11"/>
      <c r="L43" s="10">
        <v>3080762</v>
      </c>
      <c r="M43" s="10">
        <v>48310830</v>
      </c>
      <c r="N43" s="11"/>
      <c r="O43" s="11">
        <v>582</v>
      </c>
      <c r="P43" s="10">
        <v>1042</v>
      </c>
      <c r="R43" s="12">
        <v>6239</v>
      </c>
      <c r="S43" s="12">
        <v>46130</v>
      </c>
      <c r="T43" s="12">
        <v>166140</v>
      </c>
      <c r="U43" s="13" t="s">
        <v>216</v>
      </c>
      <c r="V43" s="13">
        <v>1.9</v>
      </c>
      <c r="W43" s="13">
        <v>6.7</v>
      </c>
      <c r="X43" s="13">
        <v>9.8000000000000007</v>
      </c>
      <c r="Y43" s="13" t="s">
        <v>216</v>
      </c>
      <c r="Z43" s="13">
        <v>0.44</v>
      </c>
      <c r="AA43" s="13">
        <v>1</v>
      </c>
      <c r="AB43" s="13">
        <v>1</v>
      </c>
      <c r="AC43" s="13" t="s">
        <v>216</v>
      </c>
      <c r="AD43" s="12">
        <v>3080762</v>
      </c>
      <c r="AE43" s="12">
        <v>21871960</v>
      </c>
      <c r="AF43" s="12">
        <v>48310830</v>
      </c>
      <c r="AG43" s="13" t="s">
        <v>216</v>
      </c>
      <c r="AH43" s="13">
        <v>582</v>
      </c>
      <c r="AI43" s="13">
        <v>883</v>
      </c>
      <c r="AJ43" s="12">
        <v>1042</v>
      </c>
    </row>
    <row r="44" spans="1:36" x14ac:dyDescent="0.25">
      <c r="A44" t="s">
        <v>233</v>
      </c>
      <c r="B44" s="87" t="s">
        <v>194</v>
      </c>
      <c r="C44" s="10">
        <v>4629</v>
      </c>
      <c r="D44" s="10">
        <v>18200</v>
      </c>
      <c r="E44" s="11"/>
      <c r="F44" s="11">
        <v>3.6</v>
      </c>
      <c r="G44" s="11">
        <v>16.399999999999999</v>
      </c>
      <c r="H44" s="11"/>
      <c r="I44" s="11">
        <v>0.79</v>
      </c>
      <c r="J44" s="11">
        <v>1</v>
      </c>
      <c r="K44" s="11"/>
      <c r="L44" s="10">
        <v>88808</v>
      </c>
      <c r="M44" s="10">
        <v>352126</v>
      </c>
      <c r="N44" s="11"/>
      <c r="O44" s="11">
        <v>70</v>
      </c>
      <c r="P44" s="11">
        <v>307</v>
      </c>
      <c r="R44" s="12">
        <v>4144</v>
      </c>
      <c r="S44" s="106">
        <v>15655</v>
      </c>
      <c r="T44" s="12">
        <v>17626</v>
      </c>
      <c r="U44" s="13" t="s">
        <v>216</v>
      </c>
      <c r="V44" s="13">
        <v>4.2</v>
      </c>
      <c r="W44" s="13">
        <v>12.4</v>
      </c>
      <c r="X44" s="13">
        <v>17.100000000000001</v>
      </c>
      <c r="Y44" s="13" t="s">
        <v>216</v>
      </c>
      <c r="Z44" s="13">
        <v>0.81</v>
      </c>
      <c r="AA44" s="13">
        <v>0.96</v>
      </c>
      <c r="AB44" s="13">
        <v>1</v>
      </c>
      <c r="AC44" s="13" t="s">
        <v>216</v>
      </c>
      <c r="AD44" s="12">
        <v>83989</v>
      </c>
      <c r="AE44" s="12">
        <v>338523</v>
      </c>
      <c r="AF44" s="12">
        <v>381605</v>
      </c>
      <c r="AG44" s="13" t="s">
        <v>216</v>
      </c>
      <c r="AH44" s="13">
        <v>91</v>
      </c>
      <c r="AI44" s="13">
        <v>264</v>
      </c>
      <c r="AJ44" s="13">
        <v>359</v>
      </c>
    </row>
    <row r="45" spans="1:36" hidden="1" x14ac:dyDescent="0.25">
      <c r="A45" s="25" t="s">
        <v>233</v>
      </c>
      <c r="B45" s="88" t="s">
        <v>227</v>
      </c>
      <c r="C45" s="83">
        <v>450</v>
      </c>
      <c r="D45" s="84">
        <v>1358</v>
      </c>
      <c r="E45" s="83"/>
      <c r="F45" s="83">
        <v>2.8</v>
      </c>
      <c r="G45" s="83">
        <v>16.899999999999999</v>
      </c>
      <c r="H45" s="83"/>
      <c r="I45" s="83">
        <v>0.5</v>
      </c>
      <c r="J45" s="83">
        <v>0.9</v>
      </c>
      <c r="K45" s="83"/>
      <c r="L45" s="84">
        <v>8746</v>
      </c>
      <c r="M45" s="84">
        <v>25046</v>
      </c>
      <c r="N45" s="83"/>
      <c r="O45" s="83">
        <v>56</v>
      </c>
      <c r="P45" s="83">
        <v>316</v>
      </c>
      <c r="R45" s="86">
        <v>198</v>
      </c>
      <c r="S45" s="85">
        <v>1352</v>
      </c>
      <c r="T45" s="85">
        <v>1727</v>
      </c>
      <c r="U45" s="86" t="s">
        <v>216</v>
      </c>
      <c r="V45" s="86">
        <v>2.2999999999999998</v>
      </c>
      <c r="W45" s="86">
        <v>10</v>
      </c>
      <c r="X45" s="86">
        <v>26.1</v>
      </c>
      <c r="Y45" s="86" t="s">
        <v>216</v>
      </c>
      <c r="Z45" s="86">
        <v>0.23</v>
      </c>
      <c r="AA45" s="86">
        <v>0.39</v>
      </c>
      <c r="AB45" s="86">
        <v>1</v>
      </c>
      <c r="AC45" s="86" t="s">
        <v>216</v>
      </c>
      <c r="AD45" s="85">
        <v>3913</v>
      </c>
      <c r="AE45" s="85">
        <v>25618</v>
      </c>
      <c r="AF45" s="85">
        <v>17101</v>
      </c>
      <c r="AG45" s="86" t="s">
        <v>216</v>
      </c>
      <c r="AH45" s="86">
        <v>45</v>
      </c>
      <c r="AI45" s="86">
        <v>193</v>
      </c>
      <c r="AJ45" s="86">
        <v>271</v>
      </c>
    </row>
    <row r="46" spans="1:36" hidden="1" x14ac:dyDescent="0.25">
      <c r="A46" t="s">
        <v>64</v>
      </c>
      <c r="B46" s="87" t="s">
        <v>225</v>
      </c>
      <c r="C46" s="10">
        <v>1911</v>
      </c>
      <c r="D46" s="10">
        <v>3520</v>
      </c>
      <c r="E46" s="11" t="s">
        <v>216</v>
      </c>
      <c r="F46" s="11">
        <v>4.2</v>
      </c>
      <c r="G46" s="11">
        <v>10.7</v>
      </c>
      <c r="H46" s="11" t="s">
        <v>216</v>
      </c>
      <c r="I46" s="11">
        <v>1</v>
      </c>
      <c r="J46" s="11">
        <v>1</v>
      </c>
      <c r="K46" s="11" t="s">
        <v>216</v>
      </c>
      <c r="L46" s="10">
        <v>220570</v>
      </c>
      <c r="M46" s="10">
        <v>396000</v>
      </c>
      <c r="N46" s="11" t="s">
        <v>216</v>
      </c>
      <c r="O46" s="11">
        <v>449</v>
      </c>
      <c r="P46" s="10">
        <v>1075</v>
      </c>
      <c r="R46" s="81">
        <v>1839</v>
      </c>
      <c r="S46" s="81">
        <v>2877</v>
      </c>
      <c r="T46" s="81">
        <v>3270</v>
      </c>
      <c r="U46" s="80" t="s">
        <v>216</v>
      </c>
      <c r="V46" s="80">
        <v>4.3</v>
      </c>
      <c r="W46" s="80">
        <v>8.6</v>
      </c>
      <c r="X46" s="80">
        <v>11</v>
      </c>
      <c r="Y46" s="80" t="s">
        <v>216</v>
      </c>
      <c r="Z46" s="80">
        <v>1</v>
      </c>
      <c r="AA46" s="80">
        <v>1</v>
      </c>
      <c r="AB46" s="80">
        <v>1</v>
      </c>
      <c r="AC46" s="80" t="s">
        <v>216</v>
      </c>
      <c r="AD46" s="81">
        <v>218075</v>
      </c>
      <c r="AE46" s="81">
        <v>324661</v>
      </c>
      <c r="AF46" s="81">
        <v>374482</v>
      </c>
      <c r="AG46" s="80" t="s">
        <v>216</v>
      </c>
      <c r="AH46" s="80">
        <v>480</v>
      </c>
      <c r="AI46" s="80">
        <v>879</v>
      </c>
      <c r="AJ46" s="81">
        <v>1115</v>
      </c>
    </row>
    <row r="47" spans="1:36" hidden="1" x14ac:dyDescent="0.25">
      <c r="A47" t="s">
        <v>64</v>
      </c>
      <c r="B47" s="87" t="s">
        <v>226</v>
      </c>
      <c r="C47" s="11">
        <v>277</v>
      </c>
      <c r="D47" s="10">
        <v>3217</v>
      </c>
      <c r="E47" s="11" t="s">
        <v>216</v>
      </c>
      <c r="F47" s="11">
        <v>2.1</v>
      </c>
      <c r="G47" s="11">
        <v>10</v>
      </c>
      <c r="H47" s="11" t="s">
        <v>216</v>
      </c>
      <c r="I47" s="11">
        <v>0.97</v>
      </c>
      <c r="J47" s="11">
        <v>1</v>
      </c>
      <c r="K47" s="11" t="s">
        <v>216</v>
      </c>
      <c r="L47" s="10">
        <v>132516</v>
      </c>
      <c r="M47" s="10">
        <v>636146</v>
      </c>
      <c r="N47" s="11" t="s">
        <v>216</v>
      </c>
      <c r="O47" s="11">
        <v>667</v>
      </c>
      <c r="P47" s="10">
        <v>1152</v>
      </c>
      <c r="R47" s="13">
        <v>277</v>
      </c>
      <c r="S47" s="13">
        <v>932</v>
      </c>
      <c r="T47" s="12">
        <v>3217</v>
      </c>
      <c r="U47" s="13" t="s">
        <v>216</v>
      </c>
      <c r="V47" s="13">
        <v>2.1</v>
      </c>
      <c r="W47" s="13">
        <v>7</v>
      </c>
      <c r="X47" s="13">
        <v>10</v>
      </c>
      <c r="Y47" s="13" t="s">
        <v>216</v>
      </c>
      <c r="Z47" s="13">
        <v>0.97</v>
      </c>
      <c r="AA47" s="13">
        <v>1</v>
      </c>
      <c r="AB47" s="13">
        <v>1</v>
      </c>
      <c r="AC47" s="13" t="s">
        <v>216</v>
      </c>
      <c r="AD47" s="12">
        <v>132516</v>
      </c>
      <c r="AE47" s="12">
        <v>340763</v>
      </c>
      <c r="AF47" s="12">
        <v>636146</v>
      </c>
      <c r="AG47" s="13" t="s">
        <v>216</v>
      </c>
      <c r="AH47" s="13">
        <v>667</v>
      </c>
      <c r="AI47" s="12">
        <v>1023</v>
      </c>
      <c r="AJ47" s="12">
        <v>1152</v>
      </c>
    </row>
    <row r="48" spans="1:36" x14ac:dyDescent="0.25">
      <c r="A48" t="s">
        <v>64</v>
      </c>
      <c r="B48" s="87" t="s">
        <v>194</v>
      </c>
      <c r="C48" s="11">
        <v>931</v>
      </c>
      <c r="D48" s="10">
        <v>5023</v>
      </c>
      <c r="E48" s="11" t="s">
        <v>216</v>
      </c>
      <c r="F48" s="11">
        <v>2.7</v>
      </c>
      <c r="G48" s="11">
        <v>11.1</v>
      </c>
      <c r="H48" s="11" t="s">
        <v>216</v>
      </c>
      <c r="I48" s="11">
        <v>0.49</v>
      </c>
      <c r="J48" s="11">
        <v>0.83</v>
      </c>
      <c r="K48" s="11" t="s">
        <v>216</v>
      </c>
      <c r="L48" s="10">
        <v>17612</v>
      </c>
      <c r="M48" s="10">
        <v>100296</v>
      </c>
      <c r="N48" s="11" t="s">
        <v>216</v>
      </c>
      <c r="O48" s="11">
        <v>52</v>
      </c>
      <c r="P48" s="11">
        <v>217</v>
      </c>
      <c r="R48" s="12">
        <v>1873</v>
      </c>
      <c r="S48" s="106">
        <v>6225</v>
      </c>
      <c r="T48" s="12">
        <v>8434</v>
      </c>
      <c r="U48" s="13" t="s">
        <v>216</v>
      </c>
      <c r="V48" s="13">
        <v>3.4</v>
      </c>
      <c r="W48" s="13">
        <v>8.1</v>
      </c>
      <c r="X48" s="13">
        <v>12.5</v>
      </c>
      <c r="Y48" s="13" t="s">
        <v>216</v>
      </c>
      <c r="Z48" s="13">
        <v>0.51</v>
      </c>
      <c r="AA48" s="13">
        <v>0.82</v>
      </c>
      <c r="AB48" s="13">
        <v>0.87</v>
      </c>
      <c r="AC48" s="13" t="s">
        <v>216</v>
      </c>
      <c r="AD48" s="12">
        <v>33578</v>
      </c>
      <c r="AE48" s="12">
        <v>130350</v>
      </c>
      <c r="AF48" s="12">
        <v>178656</v>
      </c>
      <c r="AG48" s="13" t="s">
        <v>216</v>
      </c>
      <c r="AH48" s="13">
        <v>65</v>
      </c>
      <c r="AI48" s="13">
        <v>165</v>
      </c>
      <c r="AJ48" s="13">
        <v>253</v>
      </c>
    </row>
    <row r="49" spans="1:36" hidden="1" x14ac:dyDescent="0.25">
      <c r="A49" s="25" t="s">
        <v>64</v>
      </c>
      <c r="B49" s="88" t="s">
        <v>227</v>
      </c>
      <c r="C49" s="83">
        <v>427</v>
      </c>
      <c r="D49" s="83">
        <v>895</v>
      </c>
      <c r="E49" s="83" t="s">
        <v>216</v>
      </c>
      <c r="F49" s="83">
        <v>3.3</v>
      </c>
      <c r="G49" s="83">
        <v>14.3</v>
      </c>
      <c r="H49" s="83" t="s">
        <v>216</v>
      </c>
      <c r="I49" s="83">
        <v>0.76</v>
      </c>
      <c r="J49" s="83">
        <v>0.98</v>
      </c>
      <c r="K49" s="83" t="s">
        <v>216</v>
      </c>
      <c r="L49" s="84">
        <v>7680</v>
      </c>
      <c r="M49" s="84">
        <v>16160</v>
      </c>
      <c r="N49" s="83" t="s">
        <v>216</v>
      </c>
      <c r="O49" s="83">
        <v>63</v>
      </c>
      <c r="P49" s="83">
        <v>270</v>
      </c>
      <c r="R49" s="86">
        <v>653</v>
      </c>
      <c r="S49" s="85">
        <v>1017</v>
      </c>
      <c r="T49" s="85">
        <v>2423</v>
      </c>
      <c r="U49" s="86" t="s">
        <v>216</v>
      </c>
      <c r="V49" s="86">
        <v>3.9</v>
      </c>
      <c r="W49" s="86">
        <v>9</v>
      </c>
      <c r="X49" s="86">
        <v>28.2</v>
      </c>
      <c r="Y49" s="86" t="s">
        <v>216</v>
      </c>
      <c r="Z49" s="86">
        <v>0.86</v>
      </c>
      <c r="AA49" s="86">
        <v>0.98</v>
      </c>
      <c r="AB49" s="86">
        <v>1</v>
      </c>
      <c r="AC49" s="86" t="s">
        <v>216</v>
      </c>
      <c r="AD49" s="85">
        <v>11599</v>
      </c>
      <c r="AE49" s="85">
        <v>18040</v>
      </c>
      <c r="AF49" s="85">
        <v>22929</v>
      </c>
      <c r="AG49" s="86" t="s">
        <v>216</v>
      </c>
      <c r="AH49" s="86">
        <v>73</v>
      </c>
      <c r="AI49" s="86">
        <v>165</v>
      </c>
      <c r="AJ49" s="86">
        <v>275</v>
      </c>
    </row>
    <row r="50" spans="1:36" hidden="1" x14ac:dyDescent="0.25">
      <c r="A50" t="s">
        <v>234</v>
      </c>
      <c r="B50" s="87" t="s">
        <v>225</v>
      </c>
      <c r="C50" s="10">
        <v>4568</v>
      </c>
      <c r="D50" s="10">
        <v>10938</v>
      </c>
      <c r="E50" s="13" t="s">
        <v>216</v>
      </c>
      <c r="F50" s="11">
        <v>3.1</v>
      </c>
      <c r="G50" s="11">
        <v>10.7</v>
      </c>
      <c r="H50" s="13" t="s">
        <v>216</v>
      </c>
      <c r="I50" s="11">
        <v>0.63</v>
      </c>
      <c r="J50" s="11">
        <v>1</v>
      </c>
      <c r="K50" s="13" t="s">
        <v>216</v>
      </c>
      <c r="L50" s="10">
        <v>483371</v>
      </c>
      <c r="M50" s="10">
        <v>1033237</v>
      </c>
      <c r="N50" s="13" t="s">
        <v>216</v>
      </c>
      <c r="O50" s="11">
        <v>285</v>
      </c>
      <c r="P50" s="11">
        <v>907</v>
      </c>
      <c r="R50" s="81">
        <v>4370</v>
      </c>
      <c r="S50" s="81">
        <v>9066</v>
      </c>
      <c r="T50" s="81">
        <v>10046</v>
      </c>
      <c r="U50" s="80" t="s">
        <v>216</v>
      </c>
      <c r="V50" s="80">
        <v>3.2</v>
      </c>
      <c r="W50" s="80">
        <v>8.3000000000000007</v>
      </c>
      <c r="X50" s="80">
        <v>10.7</v>
      </c>
      <c r="Y50" s="80" t="s">
        <v>216</v>
      </c>
      <c r="Z50" s="80">
        <v>0.66</v>
      </c>
      <c r="AA50" s="80">
        <v>1</v>
      </c>
      <c r="AB50" s="80">
        <v>1</v>
      </c>
      <c r="AC50" s="80" t="s">
        <v>216</v>
      </c>
      <c r="AD50" s="81">
        <v>499147</v>
      </c>
      <c r="AE50" s="81">
        <v>919467</v>
      </c>
      <c r="AF50" s="81">
        <v>1022259</v>
      </c>
      <c r="AG50" s="80" t="s">
        <v>216</v>
      </c>
      <c r="AH50" s="80">
        <v>306</v>
      </c>
      <c r="AI50" s="80">
        <v>738</v>
      </c>
      <c r="AJ50" s="80">
        <v>937</v>
      </c>
    </row>
    <row r="51" spans="1:36" hidden="1" x14ac:dyDescent="0.25">
      <c r="A51" t="s">
        <v>234</v>
      </c>
      <c r="B51" s="87" t="s">
        <v>232</v>
      </c>
      <c r="C51" s="89" t="s">
        <v>235</v>
      </c>
      <c r="D51" s="10">
        <v>3147</v>
      </c>
      <c r="E51" s="13" t="s">
        <v>216</v>
      </c>
      <c r="F51" s="89" t="s">
        <v>235</v>
      </c>
      <c r="G51" s="11">
        <v>16.5</v>
      </c>
      <c r="H51" s="13" t="s">
        <v>216</v>
      </c>
      <c r="I51" s="11">
        <v>0</v>
      </c>
      <c r="J51" s="11">
        <v>1</v>
      </c>
      <c r="K51" s="13" t="s">
        <v>216</v>
      </c>
      <c r="L51" s="89" t="s">
        <v>235</v>
      </c>
      <c r="M51" s="10">
        <v>102934</v>
      </c>
      <c r="N51" s="13" t="s">
        <v>216</v>
      </c>
      <c r="O51" s="89" t="s">
        <v>235</v>
      </c>
      <c r="P51" s="11">
        <v>519</v>
      </c>
      <c r="R51" s="13">
        <v>0</v>
      </c>
      <c r="S51" s="12">
        <v>2703</v>
      </c>
      <c r="T51" s="12">
        <v>3083</v>
      </c>
      <c r="U51" s="13" t="s">
        <v>216</v>
      </c>
      <c r="V51" s="13">
        <v>0</v>
      </c>
      <c r="W51" s="13">
        <v>10.9</v>
      </c>
      <c r="X51" s="13">
        <v>15.8</v>
      </c>
      <c r="Y51" s="13" t="s">
        <v>216</v>
      </c>
      <c r="Z51" s="13">
        <v>0</v>
      </c>
      <c r="AA51" s="13">
        <v>1</v>
      </c>
      <c r="AB51" s="13">
        <v>1</v>
      </c>
      <c r="AC51" s="13" t="s">
        <v>216</v>
      </c>
      <c r="AD51" s="13">
        <v>0</v>
      </c>
      <c r="AE51" s="12">
        <v>85801</v>
      </c>
      <c r="AF51" s="12">
        <v>96292</v>
      </c>
      <c r="AG51" s="13" t="s">
        <v>216</v>
      </c>
      <c r="AH51" s="13">
        <v>0</v>
      </c>
      <c r="AI51" s="13">
        <v>319</v>
      </c>
      <c r="AJ51" s="13">
        <v>454</v>
      </c>
    </row>
    <row r="52" spans="1:36" hidden="1" x14ac:dyDescent="0.25">
      <c r="A52" t="s">
        <v>234</v>
      </c>
      <c r="B52" s="87" t="s">
        <v>226</v>
      </c>
      <c r="C52" s="10">
        <v>1376</v>
      </c>
      <c r="D52" s="10">
        <v>25984</v>
      </c>
      <c r="E52" s="13" t="s">
        <v>216</v>
      </c>
      <c r="F52" s="11">
        <v>1.9</v>
      </c>
      <c r="G52" s="11">
        <v>10.5</v>
      </c>
      <c r="H52" s="13" t="s">
        <v>216</v>
      </c>
      <c r="I52" s="11">
        <v>0.39</v>
      </c>
      <c r="J52" s="11">
        <v>1</v>
      </c>
      <c r="K52" s="13" t="s">
        <v>216</v>
      </c>
      <c r="L52" s="10">
        <v>595692</v>
      </c>
      <c r="M52" s="10">
        <v>4495859</v>
      </c>
      <c r="N52" s="13" t="s">
        <v>216</v>
      </c>
      <c r="O52" s="11">
        <v>548</v>
      </c>
      <c r="P52" s="10">
        <v>1057</v>
      </c>
      <c r="S52"/>
    </row>
    <row r="53" spans="1:36" x14ac:dyDescent="0.25">
      <c r="A53" t="s">
        <v>234</v>
      </c>
      <c r="B53" s="87" t="s">
        <v>194</v>
      </c>
      <c r="C53" s="10">
        <v>3164</v>
      </c>
      <c r="D53" s="10">
        <v>27453</v>
      </c>
      <c r="E53" s="13" t="s">
        <v>216</v>
      </c>
      <c r="F53" s="11">
        <v>2.7</v>
      </c>
      <c r="G53" s="11">
        <v>14.1</v>
      </c>
      <c r="H53" s="13" t="s">
        <v>216</v>
      </c>
      <c r="I53" s="11">
        <v>0.32</v>
      </c>
      <c r="J53" s="11">
        <v>0.91</v>
      </c>
      <c r="K53" s="13" t="s">
        <v>216</v>
      </c>
      <c r="L53" s="10">
        <v>60503</v>
      </c>
      <c r="M53" s="10">
        <v>504253</v>
      </c>
      <c r="N53" s="13" t="s">
        <v>216</v>
      </c>
      <c r="O53" s="11">
        <v>51</v>
      </c>
      <c r="P53" s="11">
        <v>254</v>
      </c>
      <c r="R53" s="12">
        <v>1376</v>
      </c>
      <c r="S53" s="106">
        <v>8196</v>
      </c>
      <c r="T53" s="12">
        <v>25984</v>
      </c>
      <c r="U53" s="13" t="s">
        <v>216</v>
      </c>
      <c r="V53" s="13">
        <v>1.9</v>
      </c>
      <c r="W53" s="13">
        <v>7.1</v>
      </c>
      <c r="X53" s="13">
        <v>10.5</v>
      </c>
      <c r="Y53" s="13" t="s">
        <v>216</v>
      </c>
      <c r="Z53" s="13">
        <v>0.39</v>
      </c>
      <c r="AA53" s="13">
        <v>1</v>
      </c>
      <c r="AB53" s="13">
        <v>1</v>
      </c>
      <c r="AC53" s="13" t="s">
        <v>216</v>
      </c>
      <c r="AD53" s="12">
        <v>595692</v>
      </c>
      <c r="AE53" s="12">
        <v>2731905</v>
      </c>
      <c r="AF53" s="12">
        <v>4495859</v>
      </c>
      <c r="AG53" s="13" t="s">
        <v>216</v>
      </c>
      <c r="AH53" s="13">
        <v>548</v>
      </c>
      <c r="AI53" s="13">
        <v>901</v>
      </c>
      <c r="AJ53" s="12">
        <v>1057</v>
      </c>
    </row>
    <row r="54" spans="1:36" hidden="1" x14ac:dyDescent="0.25">
      <c r="A54" s="25" t="s">
        <v>234</v>
      </c>
      <c r="B54" s="88" t="s">
        <v>227</v>
      </c>
      <c r="C54" s="83">
        <v>603</v>
      </c>
      <c r="D54" s="84">
        <v>3558</v>
      </c>
      <c r="E54" s="83" t="s">
        <v>216</v>
      </c>
      <c r="F54" s="83">
        <v>2.7</v>
      </c>
      <c r="G54" s="83">
        <v>19.3</v>
      </c>
      <c r="H54" s="83" t="s">
        <v>216</v>
      </c>
      <c r="I54" s="83">
        <v>0.38</v>
      </c>
      <c r="J54" s="83">
        <v>0.96</v>
      </c>
      <c r="K54" s="83" t="s">
        <v>216</v>
      </c>
      <c r="L54" s="84">
        <v>13403</v>
      </c>
      <c r="M54" s="84">
        <v>62722</v>
      </c>
      <c r="N54" s="83" t="s">
        <v>216</v>
      </c>
      <c r="O54" s="83">
        <v>55</v>
      </c>
      <c r="P54" s="83">
        <v>337</v>
      </c>
      <c r="R54" s="85">
        <v>1343</v>
      </c>
      <c r="S54" s="85">
        <v>4766</v>
      </c>
      <c r="T54" s="85">
        <v>10330</v>
      </c>
      <c r="U54" s="86" t="s">
        <v>216</v>
      </c>
      <c r="V54" s="86">
        <v>3.1</v>
      </c>
      <c r="W54" s="86">
        <v>13</v>
      </c>
      <c r="X54" s="86">
        <v>36.1</v>
      </c>
      <c r="Y54" s="86" t="s">
        <v>216</v>
      </c>
      <c r="Z54" s="86">
        <v>0.45</v>
      </c>
      <c r="AA54" s="86">
        <v>0.94</v>
      </c>
      <c r="AB54" s="86">
        <v>0.99</v>
      </c>
      <c r="AC54" s="86" t="s">
        <v>216</v>
      </c>
      <c r="AD54" s="85">
        <v>29188</v>
      </c>
      <c r="AE54" s="85">
        <v>86779</v>
      </c>
      <c r="AF54" s="85">
        <v>100718</v>
      </c>
      <c r="AG54" s="86" t="s">
        <v>216</v>
      </c>
      <c r="AH54" s="86">
        <v>64</v>
      </c>
      <c r="AI54" s="86">
        <v>233</v>
      </c>
      <c r="AJ54" s="86">
        <v>345</v>
      </c>
    </row>
    <row r="55" spans="1:36" hidden="1" x14ac:dyDescent="0.25">
      <c r="A55" t="s">
        <v>16</v>
      </c>
      <c r="B55" s="87" t="s">
        <v>225</v>
      </c>
      <c r="C55" s="10">
        <v>1560</v>
      </c>
      <c r="D55" s="10">
        <v>2696</v>
      </c>
      <c r="E55" s="11" t="s">
        <v>216</v>
      </c>
      <c r="F55" s="11">
        <v>3.9</v>
      </c>
      <c r="G55" s="11">
        <v>10.6</v>
      </c>
      <c r="H55" s="11" t="s">
        <v>216</v>
      </c>
      <c r="I55" s="11">
        <v>1</v>
      </c>
      <c r="J55" s="11">
        <v>1</v>
      </c>
      <c r="K55" s="11" t="s">
        <v>216</v>
      </c>
      <c r="L55" s="10">
        <v>262852</v>
      </c>
      <c r="M55" s="10">
        <v>489937</v>
      </c>
      <c r="N55" s="11" t="s">
        <v>216</v>
      </c>
      <c r="O55" s="11">
        <v>484</v>
      </c>
      <c r="P55" s="10">
        <v>1225</v>
      </c>
      <c r="R55" s="81">
        <v>1581</v>
      </c>
      <c r="S55" s="81">
        <v>2367</v>
      </c>
      <c r="T55" s="81">
        <v>2760</v>
      </c>
      <c r="U55" s="80" t="s">
        <v>216</v>
      </c>
      <c r="V55" s="80">
        <v>3.3</v>
      </c>
      <c r="W55" s="80">
        <v>6.9</v>
      </c>
      <c r="X55" s="80">
        <v>8.6999999999999993</v>
      </c>
      <c r="Y55" s="80" t="s">
        <v>216</v>
      </c>
      <c r="Z55" s="80">
        <v>1</v>
      </c>
      <c r="AA55" s="80">
        <v>1</v>
      </c>
      <c r="AB55" s="80">
        <v>1</v>
      </c>
      <c r="AC55" s="80" t="s">
        <v>216</v>
      </c>
      <c r="AD55" s="81">
        <v>248620</v>
      </c>
      <c r="AE55" s="81">
        <v>371277</v>
      </c>
      <c r="AF55" s="81">
        <v>463354</v>
      </c>
      <c r="AG55" s="80" t="s">
        <v>216</v>
      </c>
      <c r="AH55" s="80">
        <v>398</v>
      </c>
      <c r="AI55" s="80">
        <v>772</v>
      </c>
      <c r="AJ55" s="80">
        <v>959</v>
      </c>
    </row>
    <row r="56" spans="1:36" hidden="1" x14ac:dyDescent="0.25">
      <c r="A56" t="s">
        <v>16</v>
      </c>
      <c r="B56" s="87" t="s">
        <v>232</v>
      </c>
      <c r="C56" s="11">
        <v>353</v>
      </c>
      <c r="D56" s="10">
        <v>4906</v>
      </c>
      <c r="E56" s="11" t="s">
        <v>216</v>
      </c>
      <c r="F56" s="11">
        <v>1.6</v>
      </c>
      <c r="G56" s="11">
        <v>15.3</v>
      </c>
      <c r="H56" s="11" t="s">
        <v>216</v>
      </c>
      <c r="I56" s="11">
        <v>0.65</v>
      </c>
      <c r="J56" s="11">
        <v>1</v>
      </c>
      <c r="K56" s="11" t="s">
        <v>216</v>
      </c>
      <c r="L56" s="10">
        <v>71873</v>
      </c>
      <c r="M56" s="10">
        <v>304131</v>
      </c>
      <c r="N56" s="11" t="s">
        <v>216</v>
      </c>
      <c r="O56" s="11">
        <v>279</v>
      </c>
      <c r="P56" s="11">
        <v>741</v>
      </c>
      <c r="R56" s="13">
        <v>413</v>
      </c>
      <c r="S56" s="13">
        <v>756</v>
      </c>
      <c r="T56" s="12">
        <v>4862</v>
      </c>
      <c r="U56" s="13" t="s">
        <v>216</v>
      </c>
      <c r="V56" s="13">
        <v>1.8</v>
      </c>
      <c r="W56" s="13">
        <v>3.1</v>
      </c>
      <c r="X56" s="13">
        <v>17.2</v>
      </c>
      <c r="Y56" s="13" t="s">
        <v>216</v>
      </c>
      <c r="Z56" s="13">
        <v>0.79</v>
      </c>
      <c r="AA56" s="13">
        <v>1</v>
      </c>
      <c r="AB56" s="13">
        <v>1</v>
      </c>
      <c r="AC56" s="13" t="s">
        <v>216</v>
      </c>
      <c r="AD56" s="12">
        <v>87930</v>
      </c>
      <c r="AE56" s="12">
        <v>175350</v>
      </c>
      <c r="AF56" s="12">
        <v>286925</v>
      </c>
      <c r="AG56" s="13" t="s">
        <v>216</v>
      </c>
      <c r="AH56" s="13">
        <v>327</v>
      </c>
      <c r="AI56" s="13">
        <v>601</v>
      </c>
      <c r="AJ56" s="13">
        <v>809</v>
      </c>
    </row>
    <row r="57" spans="1:36" hidden="1" x14ac:dyDescent="0.25">
      <c r="A57" t="s">
        <v>16</v>
      </c>
      <c r="B57" s="87" t="s">
        <v>226</v>
      </c>
      <c r="C57" s="10">
        <v>1615</v>
      </c>
      <c r="D57" s="10">
        <v>20637</v>
      </c>
      <c r="E57" s="11" t="s">
        <v>216</v>
      </c>
      <c r="F57" s="11">
        <v>2</v>
      </c>
      <c r="G57" s="11">
        <v>9.6999999999999993</v>
      </c>
      <c r="H57" s="11" t="s">
        <v>216</v>
      </c>
      <c r="I57" s="11">
        <v>0.84</v>
      </c>
      <c r="J57" s="11">
        <v>1</v>
      </c>
      <c r="K57" s="11" t="s">
        <v>216</v>
      </c>
      <c r="L57" s="10">
        <v>901866</v>
      </c>
      <c r="M57" s="10">
        <v>4323376</v>
      </c>
      <c r="N57" s="11" t="s">
        <v>216</v>
      </c>
      <c r="O57" s="11">
        <v>703</v>
      </c>
      <c r="P57" s="10">
        <v>1147</v>
      </c>
      <c r="R57" s="12">
        <v>1615</v>
      </c>
      <c r="S57" s="12">
        <v>6014</v>
      </c>
      <c r="T57" s="12">
        <v>20637</v>
      </c>
      <c r="U57" s="13" t="s">
        <v>216</v>
      </c>
      <c r="V57" s="13">
        <v>2</v>
      </c>
      <c r="W57" s="13">
        <v>6.5</v>
      </c>
      <c r="X57" s="13">
        <v>9.6999999999999993</v>
      </c>
      <c r="Y57" s="13" t="s">
        <v>216</v>
      </c>
      <c r="Z57" s="13">
        <v>0.84</v>
      </c>
      <c r="AA57" s="13">
        <v>1</v>
      </c>
      <c r="AB57" s="13">
        <v>1</v>
      </c>
      <c r="AC57" s="13" t="s">
        <v>216</v>
      </c>
      <c r="AD57" s="12">
        <v>901866</v>
      </c>
      <c r="AE57" s="12">
        <v>2573274</v>
      </c>
      <c r="AF57" s="12">
        <v>4323376</v>
      </c>
      <c r="AG57" s="13" t="s">
        <v>216</v>
      </c>
      <c r="AH57" s="13">
        <v>703</v>
      </c>
      <c r="AI57" s="13">
        <v>997</v>
      </c>
      <c r="AJ57" s="12">
        <v>1147</v>
      </c>
    </row>
    <row r="58" spans="1:36" x14ac:dyDescent="0.25">
      <c r="A58" t="s">
        <v>16</v>
      </c>
      <c r="B58" s="87" t="s">
        <v>194</v>
      </c>
      <c r="C58" s="11">
        <v>222</v>
      </c>
      <c r="D58" s="11">
        <v>796</v>
      </c>
      <c r="E58" s="11" t="s">
        <v>216</v>
      </c>
      <c r="F58" s="11">
        <v>4.3</v>
      </c>
      <c r="G58" s="11">
        <v>11.3</v>
      </c>
      <c r="H58" s="11" t="s">
        <v>216</v>
      </c>
      <c r="I58" s="11">
        <v>0.28000000000000003</v>
      </c>
      <c r="J58" s="11">
        <v>1</v>
      </c>
      <c r="K58" s="11" t="s">
        <v>216</v>
      </c>
      <c r="L58" s="10">
        <v>2588</v>
      </c>
      <c r="M58" s="10">
        <v>16974</v>
      </c>
      <c r="N58" s="11" t="s">
        <v>216</v>
      </c>
      <c r="O58" s="11">
        <v>101</v>
      </c>
      <c r="P58" s="11">
        <v>242</v>
      </c>
      <c r="R58" s="13">
        <v>484</v>
      </c>
      <c r="S58" s="106">
        <v>1033</v>
      </c>
      <c r="T58" s="12">
        <v>1306</v>
      </c>
      <c r="U58" s="13" t="s">
        <v>216</v>
      </c>
      <c r="V58" s="13">
        <v>3.8</v>
      </c>
      <c r="W58" s="13">
        <v>8.6999999999999993</v>
      </c>
      <c r="X58" s="13">
        <v>12.5</v>
      </c>
      <c r="Y58" s="13" t="s">
        <v>216</v>
      </c>
      <c r="Z58" s="13">
        <v>0.37</v>
      </c>
      <c r="AA58" s="13">
        <v>1</v>
      </c>
      <c r="AB58" s="13">
        <v>1</v>
      </c>
      <c r="AC58" s="13" t="s">
        <v>216</v>
      </c>
      <c r="AD58" s="12">
        <v>5192</v>
      </c>
      <c r="AE58" s="12">
        <v>23024</v>
      </c>
      <c r="AF58" s="12">
        <v>30151</v>
      </c>
      <c r="AG58" s="13" t="s">
        <v>216</v>
      </c>
      <c r="AH58" s="13">
        <v>84</v>
      </c>
      <c r="AI58" s="13">
        <v>194</v>
      </c>
      <c r="AJ58" s="13">
        <v>283</v>
      </c>
    </row>
    <row r="59" spans="1:36" hidden="1" x14ac:dyDescent="0.25">
      <c r="A59" t="s">
        <v>16</v>
      </c>
      <c r="B59" s="87" t="s">
        <v>236</v>
      </c>
      <c r="C59" s="11">
        <v>592</v>
      </c>
      <c r="D59" s="10">
        <v>1038</v>
      </c>
      <c r="E59" s="11" t="s">
        <v>216</v>
      </c>
      <c r="F59" s="11">
        <v>3.2</v>
      </c>
      <c r="G59" s="11">
        <v>10.3</v>
      </c>
      <c r="H59" s="11" t="s">
        <v>216</v>
      </c>
      <c r="I59" s="11">
        <v>0.87</v>
      </c>
      <c r="J59" s="11">
        <v>0.9</v>
      </c>
      <c r="K59" s="11" t="s">
        <v>216</v>
      </c>
      <c r="L59" s="10">
        <v>11032</v>
      </c>
      <c r="M59" s="10">
        <v>18954</v>
      </c>
      <c r="N59" s="11" t="s">
        <v>216</v>
      </c>
      <c r="O59" s="11">
        <v>60</v>
      </c>
      <c r="P59" s="11">
        <v>187</v>
      </c>
      <c r="R59" s="13">
        <v>445</v>
      </c>
      <c r="S59" s="13">
        <v>614</v>
      </c>
      <c r="T59" s="13">
        <v>885</v>
      </c>
      <c r="U59" s="13" t="s">
        <v>216</v>
      </c>
      <c r="V59" s="13">
        <v>4</v>
      </c>
      <c r="W59" s="13">
        <v>9.1999999999999993</v>
      </c>
      <c r="X59" s="13">
        <v>17.2</v>
      </c>
      <c r="Y59" s="13" t="s">
        <v>216</v>
      </c>
      <c r="Z59" s="13">
        <v>0.91</v>
      </c>
      <c r="AA59" s="13">
        <v>0.98</v>
      </c>
      <c r="AB59" s="13">
        <v>1</v>
      </c>
      <c r="AC59" s="13" t="s">
        <v>216</v>
      </c>
      <c r="AD59" s="12">
        <v>8032</v>
      </c>
      <c r="AE59" s="12">
        <v>10980</v>
      </c>
      <c r="AF59" s="12">
        <v>13309</v>
      </c>
      <c r="AG59" s="13" t="s">
        <v>216</v>
      </c>
      <c r="AH59" s="13">
        <v>71</v>
      </c>
      <c r="AI59" s="13">
        <v>167</v>
      </c>
      <c r="AJ59" s="13">
        <v>265</v>
      </c>
    </row>
    <row r="60" spans="1:36" hidden="1" x14ac:dyDescent="0.25">
      <c r="A60" s="25" t="s">
        <v>16</v>
      </c>
      <c r="B60" s="88" t="s">
        <v>227</v>
      </c>
      <c r="C60" s="83">
        <v>379</v>
      </c>
      <c r="D60" s="83">
        <v>756</v>
      </c>
      <c r="E60" s="83" t="s">
        <v>216</v>
      </c>
      <c r="F60" s="83">
        <v>3</v>
      </c>
      <c r="G60" s="83">
        <v>12.8</v>
      </c>
      <c r="H60" s="83" t="s">
        <v>216</v>
      </c>
      <c r="I60" s="83">
        <v>0.8</v>
      </c>
      <c r="J60" s="83">
        <v>0.98</v>
      </c>
      <c r="K60" s="83" t="s">
        <v>216</v>
      </c>
      <c r="L60" s="84">
        <v>6415</v>
      </c>
      <c r="M60" s="84">
        <v>12964</v>
      </c>
      <c r="N60" s="83" t="s">
        <v>216</v>
      </c>
      <c r="O60" s="83">
        <v>56</v>
      </c>
      <c r="P60" s="83">
        <v>246</v>
      </c>
      <c r="R60" s="86">
        <v>788</v>
      </c>
      <c r="S60" s="86">
        <v>953</v>
      </c>
      <c r="T60" s="85">
        <v>1209</v>
      </c>
      <c r="U60" s="86" t="s">
        <v>216</v>
      </c>
      <c r="V60" s="86">
        <v>4.5</v>
      </c>
      <c r="W60" s="86">
        <v>8.1999999999999993</v>
      </c>
      <c r="X60" s="86">
        <v>13.2</v>
      </c>
      <c r="Y60" s="86" t="s">
        <v>216</v>
      </c>
      <c r="Z60" s="86">
        <v>0.99</v>
      </c>
      <c r="AA60" s="86">
        <v>0.99</v>
      </c>
      <c r="AB60" s="86">
        <v>0.99</v>
      </c>
      <c r="AC60" s="86" t="s">
        <v>216</v>
      </c>
      <c r="AD60" s="85">
        <v>14657</v>
      </c>
      <c r="AE60" s="85">
        <v>17583</v>
      </c>
      <c r="AF60" s="85">
        <v>21378</v>
      </c>
      <c r="AG60" s="86" t="s">
        <v>216</v>
      </c>
      <c r="AH60" s="86">
        <v>83</v>
      </c>
      <c r="AI60" s="86">
        <v>150</v>
      </c>
      <c r="AJ60" s="86">
        <v>231</v>
      </c>
    </row>
    <row r="61" spans="1:36" hidden="1" x14ac:dyDescent="0.25">
      <c r="A61" t="s">
        <v>237</v>
      </c>
      <c r="B61" s="11" t="s">
        <v>225</v>
      </c>
      <c r="C61" s="10">
        <v>21372</v>
      </c>
      <c r="D61" s="10">
        <v>23047</v>
      </c>
      <c r="E61" s="11" t="s">
        <v>216</v>
      </c>
      <c r="F61" s="11">
        <v>17.2</v>
      </c>
      <c r="G61" s="11">
        <v>28.2</v>
      </c>
      <c r="H61" s="11" t="s">
        <v>216</v>
      </c>
      <c r="I61" s="11">
        <v>1</v>
      </c>
      <c r="J61" s="11">
        <v>1</v>
      </c>
      <c r="K61" s="11" t="s">
        <v>216</v>
      </c>
      <c r="L61" s="10">
        <v>742631</v>
      </c>
      <c r="M61" s="10">
        <v>773735</v>
      </c>
      <c r="N61" s="11" t="s">
        <v>216</v>
      </c>
      <c r="O61" s="11">
        <v>416</v>
      </c>
      <c r="P61" s="11">
        <v>669</v>
      </c>
      <c r="R61" s="81">
        <v>9388</v>
      </c>
      <c r="S61" s="81">
        <v>10134</v>
      </c>
      <c r="T61" s="81">
        <v>11200</v>
      </c>
      <c r="U61" s="80" t="s">
        <v>216</v>
      </c>
      <c r="V61" s="80">
        <v>11.2</v>
      </c>
      <c r="W61" s="80">
        <v>12.3</v>
      </c>
      <c r="X61" s="80">
        <v>14.7</v>
      </c>
      <c r="Y61" s="80" t="s">
        <v>216</v>
      </c>
      <c r="Z61" s="80">
        <v>0.75</v>
      </c>
      <c r="AA61" s="80">
        <v>0.75</v>
      </c>
      <c r="AB61" s="80">
        <v>1</v>
      </c>
      <c r="AC61" s="80" t="s">
        <v>216</v>
      </c>
      <c r="AD61" s="81">
        <v>886535</v>
      </c>
      <c r="AE61" s="81">
        <v>918159</v>
      </c>
      <c r="AF61" s="81">
        <v>1047550</v>
      </c>
      <c r="AG61" s="80" t="s">
        <v>216</v>
      </c>
      <c r="AH61" s="80">
        <v>506</v>
      </c>
      <c r="AI61" s="80">
        <v>539</v>
      </c>
      <c r="AJ61" s="80">
        <v>680</v>
      </c>
    </row>
    <row r="62" spans="1:36" hidden="1" x14ac:dyDescent="0.25">
      <c r="A62" t="s">
        <v>237</v>
      </c>
      <c r="B62" s="11" t="s">
        <v>226</v>
      </c>
      <c r="C62" s="10">
        <v>4418</v>
      </c>
      <c r="D62" s="10">
        <v>79061</v>
      </c>
      <c r="E62" s="11" t="s">
        <v>216</v>
      </c>
      <c r="F62" s="11">
        <v>2.7</v>
      </c>
      <c r="G62" s="11">
        <v>9.3000000000000007</v>
      </c>
      <c r="H62" s="11" t="s">
        <v>216</v>
      </c>
      <c r="I62" s="11">
        <v>0.79</v>
      </c>
      <c r="J62" s="11">
        <v>1</v>
      </c>
      <c r="K62" s="11" t="s">
        <v>216</v>
      </c>
      <c r="L62" s="10">
        <v>3133646</v>
      </c>
      <c r="M62" s="10">
        <v>19208380</v>
      </c>
      <c r="N62" s="11" t="s">
        <v>216</v>
      </c>
      <c r="O62" s="11">
        <v>832</v>
      </c>
      <c r="P62" s="11">
        <v>987</v>
      </c>
      <c r="R62" s="12">
        <v>4418</v>
      </c>
      <c r="S62" s="12">
        <v>13511</v>
      </c>
      <c r="T62" s="12">
        <v>79061</v>
      </c>
      <c r="U62" s="13" t="s">
        <v>216</v>
      </c>
      <c r="V62" s="13">
        <v>2.7</v>
      </c>
      <c r="W62" s="13">
        <v>6.5</v>
      </c>
      <c r="X62" s="13">
        <v>9.3000000000000007</v>
      </c>
      <c r="Y62" s="13" t="s">
        <v>216</v>
      </c>
      <c r="Z62" s="13">
        <v>0.79</v>
      </c>
      <c r="AA62" s="13">
        <v>1</v>
      </c>
      <c r="AB62" s="13">
        <v>1</v>
      </c>
      <c r="AC62" s="13" t="s">
        <v>216</v>
      </c>
      <c r="AD62" s="12">
        <v>3133646</v>
      </c>
      <c r="AE62" s="12">
        <v>7443617</v>
      </c>
      <c r="AF62" s="12">
        <v>19208380</v>
      </c>
      <c r="AG62" s="13" t="s">
        <v>216</v>
      </c>
      <c r="AH62" s="13">
        <v>832</v>
      </c>
      <c r="AI62" s="13">
        <v>880</v>
      </c>
      <c r="AJ62" s="13">
        <v>987</v>
      </c>
    </row>
    <row r="63" spans="1:36" x14ac:dyDescent="0.25">
      <c r="A63" t="s">
        <v>237</v>
      </c>
      <c r="B63" s="11" t="s">
        <v>194</v>
      </c>
      <c r="C63" s="10">
        <v>2018</v>
      </c>
      <c r="D63" s="10">
        <v>5890</v>
      </c>
      <c r="E63" s="11" t="s">
        <v>216</v>
      </c>
      <c r="F63" s="11">
        <v>4.5999999999999996</v>
      </c>
      <c r="G63" s="11">
        <v>13.2</v>
      </c>
      <c r="H63" s="11" t="s">
        <v>216</v>
      </c>
      <c r="I63" s="11">
        <v>0.7</v>
      </c>
      <c r="J63" s="11">
        <v>0.97</v>
      </c>
      <c r="K63" s="11" t="s">
        <v>216</v>
      </c>
      <c r="L63" s="10">
        <v>45547</v>
      </c>
      <c r="M63" s="10">
        <v>133332</v>
      </c>
      <c r="N63" s="11" t="s">
        <v>216</v>
      </c>
      <c r="O63" s="11">
        <v>106</v>
      </c>
      <c r="P63" s="11">
        <v>290</v>
      </c>
      <c r="R63" s="12">
        <v>2367</v>
      </c>
      <c r="S63" s="106">
        <v>4771</v>
      </c>
      <c r="T63" s="12">
        <v>6025</v>
      </c>
      <c r="U63" s="13" t="s">
        <v>216</v>
      </c>
      <c r="V63" s="13">
        <v>5.2</v>
      </c>
      <c r="W63" s="13">
        <v>8.9</v>
      </c>
      <c r="X63" s="13">
        <v>11.9</v>
      </c>
      <c r="Y63" s="13" t="s">
        <v>216</v>
      </c>
      <c r="Z63" s="13">
        <v>0.88</v>
      </c>
      <c r="AA63" s="13">
        <v>0.99</v>
      </c>
      <c r="AB63" s="13">
        <v>0.99</v>
      </c>
      <c r="AC63" s="13" t="s">
        <v>216</v>
      </c>
      <c r="AD63" s="12">
        <v>54883</v>
      </c>
      <c r="AE63" s="12">
        <v>112226</v>
      </c>
      <c r="AF63" s="12">
        <v>142734</v>
      </c>
      <c r="AG63" s="13" t="s">
        <v>216</v>
      </c>
      <c r="AH63" s="13">
        <v>121</v>
      </c>
      <c r="AI63" s="13">
        <v>205</v>
      </c>
      <c r="AJ63" s="13">
        <v>274</v>
      </c>
    </row>
    <row r="64" spans="1:36" s="25" customFormat="1" hidden="1" x14ac:dyDescent="0.25">
      <c r="A64" s="25" t="s">
        <v>237</v>
      </c>
      <c r="B64" s="83" t="s">
        <v>227</v>
      </c>
      <c r="C64" s="83">
        <v>289</v>
      </c>
      <c r="D64" s="83">
        <v>547</v>
      </c>
      <c r="E64" s="83" t="s">
        <v>216</v>
      </c>
      <c r="F64" s="83">
        <v>3.5</v>
      </c>
      <c r="G64" s="83">
        <v>15.8</v>
      </c>
      <c r="H64" s="83" t="s">
        <v>216</v>
      </c>
      <c r="I64" s="83">
        <v>0.45</v>
      </c>
      <c r="J64" s="83">
        <v>0.66</v>
      </c>
      <c r="K64" s="83" t="s">
        <v>216</v>
      </c>
      <c r="L64" s="84">
        <v>5192</v>
      </c>
      <c r="M64" s="84">
        <v>9655</v>
      </c>
      <c r="N64" s="83" t="s">
        <v>216</v>
      </c>
      <c r="O64" s="83">
        <v>63</v>
      </c>
      <c r="P64" s="83">
        <v>287</v>
      </c>
      <c r="R64" s="86">
        <v>367</v>
      </c>
      <c r="S64" s="86">
        <v>505</v>
      </c>
      <c r="T64" s="85">
        <v>1161</v>
      </c>
      <c r="U64" s="86" t="s">
        <v>216</v>
      </c>
      <c r="V64" s="86">
        <v>5.3</v>
      </c>
      <c r="W64" s="86">
        <v>12.2</v>
      </c>
      <c r="X64" s="86">
        <v>24.7</v>
      </c>
      <c r="Y64" s="86" t="s">
        <v>216</v>
      </c>
      <c r="Z64" s="86">
        <v>0.4</v>
      </c>
      <c r="AA64" s="86">
        <v>0.39</v>
      </c>
      <c r="AB64" s="86">
        <v>0.8</v>
      </c>
      <c r="AC64" s="86" t="s">
        <v>216</v>
      </c>
      <c r="AD64" s="85">
        <v>6171</v>
      </c>
      <c r="AE64" s="85">
        <v>8488</v>
      </c>
      <c r="AF64" s="85">
        <v>10142</v>
      </c>
      <c r="AG64" s="86" t="s">
        <v>216</v>
      </c>
      <c r="AH64" s="86">
        <v>98</v>
      </c>
      <c r="AI64" s="86">
        <v>224</v>
      </c>
      <c r="AJ64" s="86">
        <v>253</v>
      </c>
    </row>
    <row r="65" spans="1:36" hidden="1" x14ac:dyDescent="0.25">
      <c r="A65" t="s">
        <v>238</v>
      </c>
      <c r="B65" s="11" t="s">
        <v>232</v>
      </c>
      <c r="C65" s="90">
        <v>1624</v>
      </c>
      <c r="D65" s="90">
        <v>10560</v>
      </c>
      <c r="E65" s="91" t="s">
        <v>216</v>
      </c>
      <c r="F65" s="91">
        <v>4.7</v>
      </c>
      <c r="G65" s="91">
        <v>15</v>
      </c>
      <c r="H65" s="91" t="s">
        <v>216</v>
      </c>
      <c r="I65" s="91">
        <v>0.3</v>
      </c>
      <c r="J65" s="91">
        <v>0.99</v>
      </c>
      <c r="K65" s="91" t="s">
        <v>216</v>
      </c>
      <c r="L65" s="90">
        <v>66195</v>
      </c>
      <c r="M65" s="90">
        <v>335351</v>
      </c>
      <c r="N65" s="91" t="s">
        <v>216</v>
      </c>
      <c r="O65" s="91">
        <v>176</v>
      </c>
      <c r="P65" s="91">
        <v>424</v>
      </c>
      <c r="R65" s="81">
        <v>1624</v>
      </c>
      <c r="S65" s="81">
        <v>3079</v>
      </c>
      <c r="T65" s="81">
        <v>10560</v>
      </c>
      <c r="U65" s="80" t="s">
        <v>216</v>
      </c>
      <c r="V65" s="80">
        <v>4.7</v>
      </c>
      <c r="W65" s="80">
        <v>8</v>
      </c>
      <c r="X65" s="80">
        <v>15</v>
      </c>
      <c r="Y65" s="80" t="s">
        <v>216</v>
      </c>
      <c r="Z65" s="80">
        <v>0.3</v>
      </c>
      <c r="AA65" s="80">
        <v>0.44</v>
      </c>
      <c r="AB65" s="80">
        <v>0.99</v>
      </c>
      <c r="AC65" s="80" t="s">
        <v>216</v>
      </c>
      <c r="AD65" s="81">
        <v>66195</v>
      </c>
      <c r="AE65" s="81">
        <v>114944</v>
      </c>
      <c r="AF65" s="81">
        <v>335351</v>
      </c>
      <c r="AG65" s="80" t="s">
        <v>216</v>
      </c>
      <c r="AH65" s="80">
        <v>176</v>
      </c>
      <c r="AI65" s="80">
        <v>290</v>
      </c>
      <c r="AJ65" s="80">
        <v>424</v>
      </c>
    </row>
    <row r="66" spans="1:36" x14ac:dyDescent="0.25">
      <c r="A66" t="s">
        <v>238</v>
      </c>
      <c r="B66" s="11" t="s">
        <v>194</v>
      </c>
      <c r="C66" s="10">
        <v>11526</v>
      </c>
      <c r="D66" s="10">
        <v>23332</v>
      </c>
      <c r="E66" s="11" t="s">
        <v>216</v>
      </c>
      <c r="F66" s="11">
        <v>4.7</v>
      </c>
      <c r="G66" s="11">
        <v>21.8</v>
      </c>
      <c r="H66" s="11" t="s">
        <v>216</v>
      </c>
      <c r="I66" s="11">
        <v>0.48</v>
      </c>
      <c r="J66" s="11">
        <v>0.97</v>
      </c>
      <c r="K66" s="11" t="s">
        <v>216</v>
      </c>
      <c r="L66" s="10">
        <v>254912</v>
      </c>
      <c r="M66" s="10">
        <v>345473</v>
      </c>
      <c r="N66" s="11" t="s">
        <v>216</v>
      </c>
      <c r="O66" s="11">
        <v>92</v>
      </c>
      <c r="P66" s="11">
        <v>295</v>
      </c>
      <c r="R66" s="12">
        <v>11526</v>
      </c>
      <c r="S66" s="106">
        <v>16208</v>
      </c>
      <c r="T66" s="12">
        <v>23332</v>
      </c>
      <c r="U66" s="13" t="s">
        <v>216</v>
      </c>
      <c r="V66" s="13">
        <v>4.7</v>
      </c>
      <c r="W66" s="13">
        <v>7.7</v>
      </c>
      <c r="X66" s="13">
        <v>21.8</v>
      </c>
      <c r="Y66" s="13" t="s">
        <v>216</v>
      </c>
      <c r="Z66" s="13">
        <v>0.48</v>
      </c>
      <c r="AA66" s="13">
        <v>0.59</v>
      </c>
      <c r="AB66" s="13">
        <v>0.97</v>
      </c>
      <c r="AC66" s="13" t="s">
        <v>216</v>
      </c>
      <c r="AD66" s="12">
        <v>254912</v>
      </c>
      <c r="AE66" s="12">
        <v>358878</v>
      </c>
      <c r="AF66" s="12">
        <v>345473</v>
      </c>
      <c r="AG66" s="13" t="s">
        <v>216</v>
      </c>
      <c r="AH66" s="13">
        <v>92</v>
      </c>
      <c r="AI66" s="13">
        <v>150</v>
      </c>
      <c r="AJ66" s="13">
        <v>295</v>
      </c>
    </row>
    <row r="67" spans="1:36" s="25" customFormat="1" hidden="1" x14ac:dyDescent="0.25">
      <c r="A67" s="25" t="s">
        <v>238</v>
      </c>
      <c r="B67" s="83" t="s">
        <v>227</v>
      </c>
      <c r="C67" s="84">
        <v>1952</v>
      </c>
      <c r="D67" s="84">
        <v>4954</v>
      </c>
      <c r="E67" s="83" t="s">
        <v>216</v>
      </c>
      <c r="F67" s="83">
        <v>8</v>
      </c>
      <c r="G67" s="83">
        <v>24.1</v>
      </c>
      <c r="H67" s="83" t="s">
        <v>216</v>
      </c>
      <c r="I67" s="83">
        <v>0.42</v>
      </c>
      <c r="J67" s="83">
        <v>0.98</v>
      </c>
      <c r="K67" s="83" t="s">
        <v>216</v>
      </c>
      <c r="L67" s="84">
        <v>32330</v>
      </c>
      <c r="M67" s="84">
        <v>73470</v>
      </c>
      <c r="N67" s="83" t="s">
        <v>216</v>
      </c>
      <c r="O67" s="83">
        <v>131</v>
      </c>
      <c r="P67" s="83">
        <v>350</v>
      </c>
      <c r="R67" s="85">
        <v>1952</v>
      </c>
      <c r="S67" s="85">
        <v>2533</v>
      </c>
      <c r="T67" s="85">
        <v>4954</v>
      </c>
      <c r="U67" s="86" t="s">
        <v>216</v>
      </c>
      <c r="V67" s="86">
        <v>8</v>
      </c>
      <c r="W67" s="86">
        <v>15</v>
      </c>
      <c r="X67" s="86">
        <v>24.1</v>
      </c>
      <c r="Y67" s="86" t="s">
        <v>216</v>
      </c>
      <c r="Z67" s="86">
        <v>0.42</v>
      </c>
      <c r="AA67" s="86">
        <v>0.43</v>
      </c>
      <c r="AB67" s="86">
        <v>0.98</v>
      </c>
      <c r="AC67" s="86" t="s">
        <v>216</v>
      </c>
      <c r="AD67" s="85">
        <v>32330</v>
      </c>
      <c r="AE67" s="85">
        <v>41276</v>
      </c>
      <c r="AF67" s="85">
        <v>73470</v>
      </c>
      <c r="AG67" s="86" t="s">
        <v>216</v>
      </c>
      <c r="AH67" s="86">
        <v>131</v>
      </c>
      <c r="AI67" s="86">
        <v>240</v>
      </c>
      <c r="AJ67" s="86">
        <v>350</v>
      </c>
    </row>
    <row r="68" spans="1:36" hidden="1" x14ac:dyDescent="0.25">
      <c r="A68" t="s">
        <v>239</v>
      </c>
      <c r="B68" s="11" t="s">
        <v>225</v>
      </c>
      <c r="C68" s="10">
        <v>1491</v>
      </c>
      <c r="D68" s="10">
        <v>2618</v>
      </c>
      <c r="E68" s="11"/>
      <c r="F68" s="11">
        <v>3.3</v>
      </c>
      <c r="G68" s="11">
        <v>8.3000000000000007</v>
      </c>
      <c r="H68" s="11"/>
      <c r="I68" s="11">
        <v>0.98</v>
      </c>
      <c r="J68" s="11">
        <v>1</v>
      </c>
      <c r="K68" s="11"/>
      <c r="L68" s="10">
        <v>186551</v>
      </c>
      <c r="M68" s="10">
        <v>331777</v>
      </c>
      <c r="N68" s="11"/>
      <c r="O68" s="11">
        <v>371</v>
      </c>
      <c r="P68" s="11">
        <v>884</v>
      </c>
      <c r="R68" s="12">
        <v>1380</v>
      </c>
      <c r="S68" s="12">
        <v>2223</v>
      </c>
      <c r="T68" s="12">
        <v>2690</v>
      </c>
      <c r="U68" s="13" t="s">
        <v>216</v>
      </c>
      <c r="V68" s="13">
        <v>3.5</v>
      </c>
      <c r="W68" s="13">
        <v>7</v>
      </c>
      <c r="X68" s="13">
        <v>8.8000000000000007</v>
      </c>
      <c r="Y68" s="13" t="s">
        <v>216</v>
      </c>
      <c r="Z68" s="13">
        <v>0.96</v>
      </c>
      <c r="AA68" s="13">
        <v>1</v>
      </c>
      <c r="AB68" s="13">
        <v>1</v>
      </c>
      <c r="AC68" s="13" t="s">
        <v>216</v>
      </c>
      <c r="AD68" s="12">
        <v>194805</v>
      </c>
      <c r="AE68" s="12">
        <v>323012</v>
      </c>
      <c r="AF68" s="12">
        <v>411593</v>
      </c>
      <c r="AG68" s="13" t="s">
        <v>216</v>
      </c>
      <c r="AH68" s="13">
        <v>384</v>
      </c>
      <c r="AI68" s="92">
        <v>725</v>
      </c>
      <c r="AJ68" s="92">
        <v>913</v>
      </c>
    </row>
    <row r="69" spans="1:36" hidden="1" x14ac:dyDescent="0.25">
      <c r="A69" t="s">
        <v>239</v>
      </c>
      <c r="B69" s="11" t="s">
        <v>226</v>
      </c>
      <c r="C69" s="10">
        <v>4652</v>
      </c>
      <c r="D69" s="10">
        <v>45517</v>
      </c>
      <c r="E69" s="11"/>
      <c r="F69" s="11">
        <v>2</v>
      </c>
      <c r="G69" s="11">
        <v>10.4</v>
      </c>
      <c r="H69" s="11"/>
      <c r="I69" s="11">
        <v>0.97</v>
      </c>
      <c r="J69" s="11">
        <v>1</v>
      </c>
      <c r="K69" s="11"/>
      <c r="L69" s="10">
        <v>2200608</v>
      </c>
      <c r="M69" s="10">
        <v>10474620</v>
      </c>
      <c r="N69" s="11"/>
      <c r="O69" s="11">
        <v>641</v>
      </c>
      <c r="P69" s="10">
        <v>1122</v>
      </c>
      <c r="R69" s="12">
        <v>4652</v>
      </c>
      <c r="S69" s="12">
        <v>16540</v>
      </c>
      <c r="T69" s="12">
        <v>45517</v>
      </c>
      <c r="U69" s="13" t="s">
        <v>216</v>
      </c>
      <c r="V69" s="13">
        <v>2</v>
      </c>
      <c r="W69" s="13">
        <v>6.7</v>
      </c>
      <c r="X69" s="13">
        <v>10.4</v>
      </c>
      <c r="Y69" s="13" t="s">
        <v>216</v>
      </c>
      <c r="Z69" s="13">
        <v>0.97</v>
      </c>
      <c r="AA69" s="13">
        <v>1</v>
      </c>
      <c r="AB69" s="13">
        <v>1</v>
      </c>
      <c r="AC69" s="13" t="s">
        <v>216</v>
      </c>
      <c r="AD69" s="12">
        <v>2200608</v>
      </c>
      <c r="AE69" s="12">
        <v>6194596</v>
      </c>
      <c r="AF69" s="12">
        <v>10474620</v>
      </c>
      <c r="AG69" s="13" t="s">
        <v>216</v>
      </c>
      <c r="AH69" s="13">
        <v>641</v>
      </c>
      <c r="AI69" s="92">
        <v>960</v>
      </c>
      <c r="AJ69" s="93">
        <v>1122</v>
      </c>
    </row>
    <row r="70" spans="1:36" x14ac:dyDescent="0.25">
      <c r="A70" t="s">
        <v>239</v>
      </c>
      <c r="B70" s="11" t="s">
        <v>194</v>
      </c>
      <c r="C70" s="11">
        <v>568</v>
      </c>
      <c r="D70" s="10">
        <v>5053</v>
      </c>
      <c r="E70" s="11"/>
      <c r="F70" s="11">
        <v>2.4</v>
      </c>
      <c r="G70" s="11">
        <v>19.2</v>
      </c>
      <c r="H70" s="11"/>
      <c r="I70" s="11">
        <v>0.56000000000000005</v>
      </c>
      <c r="J70" s="11">
        <v>0.99</v>
      </c>
      <c r="K70" s="11"/>
      <c r="L70" s="10">
        <v>12475</v>
      </c>
      <c r="M70" s="10">
        <v>68929</v>
      </c>
      <c r="N70" s="11"/>
      <c r="O70" s="11">
        <v>54</v>
      </c>
      <c r="P70" s="11">
        <v>266</v>
      </c>
      <c r="R70" s="12">
        <v>1066</v>
      </c>
      <c r="S70" s="106">
        <v>3306</v>
      </c>
      <c r="T70" s="12">
        <v>4280</v>
      </c>
      <c r="U70" s="13" t="s">
        <v>216</v>
      </c>
      <c r="V70" s="13">
        <v>2.6</v>
      </c>
      <c r="W70" s="13">
        <v>8.8000000000000007</v>
      </c>
      <c r="X70" s="13">
        <v>12.6</v>
      </c>
      <c r="Y70" s="13" t="s">
        <v>216</v>
      </c>
      <c r="Z70" s="13">
        <v>0.71</v>
      </c>
      <c r="AA70" s="13">
        <v>1</v>
      </c>
      <c r="AB70" s="13">
        <v>1</v>
      </c>
      <c r="AC70" s="13" t="s">
        <v>216</v>
      </c>
      <c r="AD70" s="12">
        <v>20097</v>
      </c>
      <c r="AE70" s="12">
        <v>77730</v>
      </c>
      <c r="AF70" s="12">
        <v>102601</v>
      </c>
      <c r="AG70" s="13" t="s">
        <v>216</v>
      </c>
      <c r="AH70" s="13">
        <v>56</v>
      </c>
      <c r="AI70" s="92">
        <v>206</v>
      </c>
      <c r="AJ70" s="92">
        <v>294</v>
      </c>
    </row>
    <row r="71" spans="1:36" hidden="1" x14ac:dyDescent="0.25">
      <c r="A71" t="s">
        <v>239</v>
      </c>
      <c r="B71" s="11" t="s">
        <v>227</v>
      </c>
      <c r="C71" s="11">
        <v>467</v>
      </c>
      <c r="D71" s="11">
        <v>923</v>
      </c>
      <c r="E71" s="11"/>
      <c r="F71" s="11">
        <v>4.4000000000000004</v>
      </c>
      <c r="G71" s="11">
        <v>15.2</v>
      </c>
      <c r="H71" s="11"/>
      <c r="I71" s="11">
        <v>0.69</v>
      </c>
      <c r="J71" s="11">
        <v>0.92</v>
      </c>
      <c r="K71" s="11"/>
      <c r="L71" s="10">
        <v>7740</v>
      </c>
      <c r="M71" s="10">
        <v>15246</v>
      </c>
      <c r="N71" s="11"/>
      <c r="O71" s="11">
        <v>80</v>
      </c>
      <c r="P71" s="11">
        <v>275</v>
      </c>
      <c r="R71" s="13">
        <v>631</v>
      </c>
      <c r="S71" s="12">
        <v>1109</v>
      </c>
      <c r="T71" s="12">
        <v>2517</v>
      </c>
      <c r="U71" s="13" t="s">
        <v>216</v>
      </c>
      <c r="V71" s="13">
        <v>3.7</v>
      </c>
      <c r="W71" s="13">
        <v>10.4</v>
      </c>
      <c r="X71" s="13">
        <v>29.9</v>
      </c>
      <c r="Y71" s="13" t="s">
        <v>216</v>
      </c>
      <c r="Z71" s="13">
        <v>0.77</v>
      </c>
      <c r="AA71" s="13">
        <v>0.84</v>
      </c>
      <c r="AB71" s="13">
        <v>1</v>
      </c>
      <c r="AC71" s="13" t="s">
        <v>216</v>
      </c>
      <c r="AD71" s="12">
        <v>10560</v>
      </c>
      <c r="AE71" s="12">
        <v>18414</v>
      </c>
      <c r="AF71" s="12">
        <v>22539</v>
      </c>
      <c r="AG71" s="13" t="s">
        <v>216</v>
      </c>
      <c r="AH71" s="13">
        <v>69</v>
      </c>
      <c r="AI71" s="92">
        <v>188</v>
      </c>
      <c r="AJ71" s="92">
        <v>292</v>
      </c>
    </row>
    <row r="72" spans="1:36" hidden="1" x14ac:dyDescent="0.25">
      <c r="A72" s="25" t="s">
        <v>239</v>
      </c>
      <c r="B72" s="83" t="s">
        <v>236</v>
      </c>
      <c r="C72" s="83">
        <v>197</v>
      </c>
      <c r="D72" s="83">
        <v>563</v>
      </c>
      <c r="E72" s="83"/>
      <c r="F72" s="83">
        <v>2.1</v>
      </c>
      <c r="G72" s="83">
        <v>8.6</v>
      </c>
      <c r="H72" s="83"/>
      <c r="I72" s="83">
        <v>0.84</v>
      </c>
      <c r="J72" s="83">
        <v>0.97</v>
      </c>
      <c r="K72" s="83"/>
      <c r="L72" s="84">
        <v>3647</v>
      </c>
      <c r="M72" s="84">
        <v>10403</v>
      </c>
      <c r="N72" s="83"/>
      <c r="O72" s="83">
        <v>38</v>
      </c>
      <c r="P72" s="83">
        <v>158</v>
      </c>
      <c r="R72" s="86">
        <v>187</v>
      </c>
      <c r="S72" s="86">
        <v>338</v>
      </c>
      <c r="T72" s="86">
        <v>893</v>
      </c>
      <c r="U72" s="86" t="s">
        <v>216</v>
      </c>
      <c r="V72" s="86">
        <v>2.6</v>
      </c>
      <c r="W72" s="86">
        <v>5.3</v>
      </c>
      <c r="X72" s="86">
        <v>17.399999999999999</v>
      </c>
      <c r="Y72" s="86" t="s">
        <v>216</v>
      </c>
      <c r="Z72" s="86">
        <v>0.94</v>
      </c>
      <c r="AA72" s="86">
        <v>1</v>
      </c>
      <c r="AB72" s="86">
        <v>1</v>
      </c>
      <c r="AC72" s="86" t="s">
        <v>216</v>
      </c>
      <c r="AD72" s="85">
        <v>3500</v>
      </c>
      <c r="AE72" s="85">
        <v>6247</v>
      </c>
      <c r="AF72" s="85">
        <v>8797</v>
      </c>
      <c r="AG72" s="86" t="s">
        <v>216</v>
      </c>
      <c r="AH72" s="86">
        <v>48</v>
      </c>
      <c r="AI72" s="94">
        <v>97</v>
      </c>
      <c r="AJ72" s="94">
        <v>170</v>
      </c>
    </row>
    <row r="73" spans="1:36" hidden="1" x14ac:dyDescent="0.25">
      <c r="A73" t="s">
        <v>240</v>
      </c>
      <c r="B73" s="11" t="s">
        <v>225</v>
      </c>
      <c r="C73" s="11">
        <v>91</v>
      </c>
      <c r="D73" s="11">
        <v>444</v>
      </c>
      <c r="E73" s="11"/>
      <c r="F73" s="11">
        <v>1.6</v>
      </c>
      <c r="G73" s="11">
        <v>7.7</v>
      </c>
      <c r="H73" s="11"/>
      <c r="I73" s="11">
        <v>0.43</v>
      </c>
      <c r="J73" s="11">
        <v>1</v>
      </c>
      <c r="K73" s="11"/>
      <c r="L73" s="10">
        <v>13341</v>
      </c>
      <c r="M73" s="10">
        <v>58100</v>
      </c>
      <c r="N73" s="11"/>
      <c r="O73" s="11">
        <v>219</v>
      </c>
      <c r="P73" s="11">
        <v>869</v>
      </c>
      <c r="R73" s="80">
        <v>91</v>
      </c>
      <c r="S73" s="80">
        <v>414</v>
      </c>
      <c r="T73" s="80">
        <v>444</v>
      </c>
      <c r="U73" s="80" t="s">
        <v>216</v>
      </c>
      <c r="V73" s="80">
        <v>1.6</v>
      </c>
      <c r="W73" s="80">
        <v>6.6</v>
      </c>
      <c r="X73" s="80">
        <v>7.7</v>
      </c>
      <c r="Y73" s="80" t="s">
        <v>216</v>
      </c>
      <c r="Z73" s="80">
        <v>0.43</v>
      </c>
      <c r="AA73" s="80">
        <v>1</v>
      </c>
      <c r="AB73" s="80">
        <v>1</v>
      </c>
      <c r="AC73" s="80" t="s">
        <v>216</v>
      </c>
      <c r="AD73" s="81">
        <v>13341</v>
      </c>
      <c r="AE73" s="81">
        <v>53922</v>
      </c>
      <c r="AF73" s="81">
        <v>58100</v>
      </c>
      <c r="AG73" s="80" t="s">
        <v>216</v>
      </c>
      <c r="AH73" s="80">
        <v>219</v>
      </c>
      <c r="AI73" s="80">
        <v>746</v>
      </c>
      <c r="AJ73" s="80">
        <v>869</v>
      </c>
    </row>
    <row r="74" spans="1:36" hidden="1" x14ac:dyDescent="0.25">
      <c r="A74" t="s">
        <v>240</v>
      </c>
      <c r="B74" s="11" t="s">
        <v>226</v>
      </c>
      <c r="C74" s="11">
        <v>0</v>
      </c>
      <c r="D74" s="10">
        <v>4482</v>
      </c>
      <c r="E74" s="11"/>
      <c r="F74" s="11">
        <v>1</v>
      </c>
      <c r="G74" s="11">
        <v>9.5</v>
      </c>
      <c r="H74" s="11"/>
      <c r="I74" s="11">
        <v>0</v>
      </c>
      <c r="J74" s="11">
        <v>1</v>
      </c>
      <c r="K74" s="11"/>
      <c r="L74" s="11">
        <v>0</v>
      </c>
      <c r="M74" s="10">
        <v>802195</v>
      </c>
      <c r="N74" s="11"/>
      <c r="O74" s="11">
        <v>406</v>
      </c>
      <c r="P74" s="10">
        <v>1078</v>
      </c>
      <c r="R74" s="13">
        <v>0</v>
      </c>
      <c r="S74" s="12">
        <v>1789</v>
      </c>
      <c r="T74" s="12">
        <v>4482</v>
      </c>
      <c r="U74" s="13" t="s">
        <v>216</v>
      </c>
      <c r="V74" s="13">
        <v>1</v>
      </c>
      <c r="W74" s="13">
        <v>6.5</v>
      </c>
      <c r="X74" s="13">
        <v>9.5</v>
      </c>
      <c r="Y74" s="13" t="s">
        <v>216</v>
      </c>
      <c r="Z74" s="13">
        <v>0</v>
      </c>
      <c r="AA74" s="13">
        <v>1</v>
      </c>
      <c r="AB74" s="13">
        <v>1</v>
      </c>
      <c r="AC74" s="13" t="s">
        <v>216</v>
      </c>
      <c r="AD74" s="13">
        <v>0</v>
      </c>
      <c r="AE74" s="12">
        <v>483833</v>
      </c>
      <c r="AF74" s="12">
        <v>802195</v>
      </c>
      <c r="AG74" s="13" t="s">
        <v>216</v>
      </c>
      <c r="AH74" s="13">
        <v>406</v>
      </c>
      <c r="AI74" s="13">
        <v>968</v>
      </c>
      <c r="AJ74" s="12">
        <v>1078</v>
      </c>
    </row>
    <row r="75" spans="1:36" x14ac:dyDescent="0.25">
      <c r="A75" t="s">
        <v>240</v>
      </c>
      <c r="B75" s="11" t="s">
        <v>194</v>
      </c>
      <c r="C75" s="11">
        <v>772</v>
      </c>
      <c r="D75" s="10">
        <v>5266</v>
      </c>
      <c r="E75" s="11"/>
      <c r="F75" s="11">
        <v>2.2000000000000002</v>
      </c>
      <c r="G75" s="11">
        <v>14.3</v>
      </c>
      <c r="H75" s="11"/>
      <c r="I75" s="11">
        <v>0.43</v>
      </c>
      <c r="J75" s="11">
        <v>1</v>
      </c>
      <c r="K75" s="11"/>
      <c r="L75" s="10">
        <v>17887</v>
      </c>
      <c r="M75" s="10">
        <v>129864</v>
      </c>
      <c r="N75" s="11"/>
      <c r="O75" s="11">
        <v>51</v>
      </c>
      <c r="P75" s="11">
        <v>338</v>
      </c>
      <c r="R75" s="13">
        <v>772</v>
      </c>
      <c r="S75" s="106">
        <v>4621</v>
      </c>
      <c r="T75" s="12">
        <v>5266</v>
      </c>
      <c r="U75" s="13" t="s">
        <v>216</v>
      </c>
      <c r="V75" s="13">
        <v>2.2000000000000002</v>
      </c>
      <c r="W75" s="13">
        <v>11</v>
      </c>
      <c r="X75" s="13">
        <v>14.3</v>
      </c>
      <c r="Y75" s="13" t="s">
        <v>216</v>
      </c>
      <c r="Z75" s="13">
        <v>0.43</v>
      </c>
      <c r="AA75" s="13">
        <v>0.99</v>
      </c>
      <c r="AB75" s="13">
        <v>1</v>
      </c>
      <c r="AC75" s="13" t="s">
        <v>216</v>
      </c>
      <c r="AD75" s="12">
        <v>17887</v>
      </c>
      <c r="AE75" s="12">
        <v>114139</v>
      </c>
      <c r="AF75" s="12">
        <v>129864</v>
      </c>
      <c r="AG75" s="13" t="s">
        <v>216</v>
      </c>
      <c r="AH75" s="13">
        <v>51</v>
      </c>
      <c r="AI75" s="13">
        <v>260</v>
      </c>
      <c r="AJ75" s="13">
        <v>338</v>
      </c>
    </row>
    <row r="76" spans="1:36" hidden="1" x14ac:dyDescent="0.25">
      <c r="A76" s="25" t="s">
        <v>240</v>
      </c>
      <c r="B76" s="83" t="s">
        <v>227</v>
      </c>
      <c r="C76" s="83">
        <v>64</v>
      </c>
      <c r="D76" s="83">
        <v>486</v>
      </c>
      <c r="E76" s="83"/>
      <c r="F76" s="83">
        <v>2.4</v>
      </c>
      <c r="G76" s="83">
        <v>36.4</v>
      </c>
      <c r="H76" s="83"/>
      <c r="I76" s="83">
        <v>0.39</v>
      </c>
      <c r="J76" s="83">
        <v>1</v>
      </c>
      <c r="K76" s="83"/>
      <c r="L76" s="84">
        <v>1136</v>
      </c>
      <c r="M76" s="84">
        <v>4655</v>
      </c>
      <c r="N76" s="83"/>
      <c r="O76" s="83">
        <v>43</v>
      </c>
      <c r="P76" s="83">
        <v>354</v>
      </c>
      <c r="R76" s="86">
        <v>64</v>
      </c>
      <c r="S76" s="86">
        <v>223</v>
      </c>
      <c r="T76" s="86">
        <v>486</v>
      </c>
      <c r="U76" s="86" t="s">
        <v>216</v>
      </c>
      <c r="V76" s="86">
        <v>2.4</v>
      </c>
      <c r="W76" s="86">
        <v>13.9</v>
      </c>
      <c r="X76" s="86">
        <v>36.4</v>
      </c>
      <c r="Y76" s="86" t="s">
        <v>216</v>
      </c>
      <c r="Z76" s="86">
        <v>0.39</v>
      </c>
      <c r="AA76" s="86">
        <v>0.98</v>
      </c>
      <c r="AB76" s="86">
        <v>1</v>
      </c>
      <c r="AC76" s="86" t="s">
        <v>216</v>
      </c>
      <c r="AD76" s="85">
        <v>1136</v>
      </c>
      <c r="AE76" s="85">
        <v>4038</v>
      </c>
      <c r="AF76" s="85">
        <v>4655</v>
      </c>
      <c r="AG76" s="86" t="s">
        <v>216</v>
      </c>
      <c r="AH76" s="86">
        <v>43</v>
      </c>
      <c r="AI76" s="86">
        <v>255</v>
      </c>
      <c r="AJ76" s="86">
        <v>354</v>
      </c>
    </row>
    <row r="77" spans="1:36" hidden="1" x14ac:dyDescent="0.25">
      <c r="A77" t="s">
        <v>53</v>
      </c>
      <c r="B77" s="11" t="s">
        <v>225</v>
      </c>
      <c r="C77" s="10">
        <v>1747</v>
      </c>
      <c r="D77" s="10">
        <v>2560</v>
      </c>
      <c r="E77" s="11" t="s">
        <v>216</v>
      </c>
      <c r="F77" s="11">
        <v>3.8</v>
      </c>
      <c r="G77" s="11">
        <v>10.3</v>
      </c>
      <c r="H77" s="11" t="s">
        <v>216</v>
      </c>
      <c r="I77" s="11">
        <v>0.89</v>
      </c>
      <c r="J77" s="11">
        <v>0.74</v>
      </c>
      <c r="K77" s="11" t="s">
        <v>216</v>
      </c>
      <c r="L77" s="10">
        <v>286800</v>
      </c>
      <c r="M77" s="10">
        <v>461869</v>
      </c>
      <c r="N77" s="11" t="s">
        <v>216</v>
      </c>
      <c r="O77" s="11">
        <v>487</v>
      </c>
      <c r="P77" s="10">
        <v>1262</v>
      </c>
      <c r="R77" s="81">
        <v>1624</v>
      </c>
      <c r="S77" s="81">
        <v>2810</v>
      </c>
      <c r="T77" s="81">
        <v>3037</v>
      </c>
      <c r="U77" s="80" t="s">
        <v>216</v>
      </c>
      <c r="V77" s="80">
        <v>3.8</v>
      </c>
      <c r="W77" s="80">
        <v>8</v>
      </c>
      <c r="X77" s="80">
        <v>10.199999999999999</v>
      </c>
      <c r="Y77" s="80" t="s">
        <v>216</v>
      </c>
      <c r="Z77" s="80">
        <v>0.96</v>
      </c>
      <c r="AA77" s="80">
        <v>1</v>
      </c>
      <c r="AB77" s="80">
        <v>1</v>
      </c>
      <c r="AC77" s="80" t="s">
        <v>216</v>
      </c>
      <c r="AD77" s="81">
        <v>282145</v>
      </c>
      <c r="AE77" s="81">
        <v>507734</v>
      </c>
      <c r="AF77" s="81">
        <v>559240</v>
      </c>
      <c r="AG77" s="80" t="s">
        <v>216</v>
      </c>
      <c r="AH77" s="80">
        <v>488</v>
      </c>
      <c r="AI77" s="80">
        <v>971</v>
      </c>
      <c r="AJ77" s="81">
        <v>1221</v>
      </c>
    </row>
    <row r="78" spans="1:36" hidden="1" x14ac:dyDescent="0.25">
      <c r="A78" t="s">
        <v>53</v>
      </c>
      <c r="B78" s="11" t="s">
        <v>226</v>
      </c>
      <c r="C78" s="11">
        <v>699</v>
      </c>
      <c r="D78" s="10">
        <v>18072</v>
      </c>
      <c r="E78" s="11" t="s">
        <v>216</v>
      </c>
      <c r="F78" s="11">
        <v>1.6</v>
      </c>
      <c r="G78" s="11">
        <v>10.5</v>
      </c>
      <c r="H78" s="11" t="s">
        <v>216</v>
      </c>
      <c r="I78" s="11">
        <v>0.69</v>
      </c>
      <c r="J78" s="11">
        <v>1</v>
      </c>
      <c r="K78" s="11" t="s">
        <v>216</v>
      </c>
      <c r="L78" s="10">
        <v>338274</v>
      </c>
      <c r="M78" s="10">
        <v>4703217</v>
      </c>
      <c r="N78" s="11" t="s">
        <v>216</v>
      </c>
      <c r="O78" s="11">
        <v>532</v>
      </c>
      <c r="P78" s="10">
        <v>1175</v>
      </c>
      <c r="R78" s="13">
        <v>699</v>
      </c>
      <c r="S78" s="12">
        <v>3971</v>
      </c>
      <c r="T78" s="12">
        <v>18072</v>
      </c>
      <c r="U78" s="13" t="s">
        <v>216</v>
      </c>
      <c r="V78" s="13">
        <v>1.6</v>
      </c>
      <c r="W78" s="13">
        <v>7.1</v>
      </c>
      <c r="X78" s="13">
        <v>10.5</v>
      </c>
      <c r="Y78" s="13" t="s">
        <v>216</v>
      </c>
      <c r="Z78" s="13">
        <v>0.69</v>
      </c>
      <c r="AA78" s="13">
        <v>1</v>
      </c>
      <c r="AB78" s="13">
        <v>1</v>
      </c>
      <c r="AC78" s="13" t="s">
        <v>216</v>
      </c>
      <c r="AD78" s="12">
        <v>338274</v>
      </c>
      <c r="AE78" s="12">
        <v>2255690</v>
      </c>
      <c r="AF78" s="12">
        <v>4703217</v>
      </c>
      <c r="AG78" s="13" t="s">
        <v>216</v>
      </c>
      <c r="AH78" s="13">
        <v>532</v>
      </c>
      <c r="AI78" s="12">
        <v>1024</v>
      </c>
      <c r="AJ78" s="12">
        <v>1175</v>
      </c>
    </row>
    <row r="79" spans="1:36" x14ac:dyDescent="0.25">
      <c r="A79" t="s">
        <v>53</v>
      </c>
      <c r="B79" s="11" t="s">
        <v>194</v>
      </c>
      <c r="C79" s="11">
        <v>473</v>
      </c>
      <c r="D79" s="10">
        <v>2862</v>
      </c>
      <c r="E79" s="11" t="s">
        <v>216</v>
      </c>
      <c r="F79" s="11">
        <v>3</v>
      </c>
      <c r="G79" s="11">
        <v>10.1</v>
      </c>
      <c r="H79" s="11" t="s">
        <v>216</v>
      </c>
      <c r="I79" s="11">
        <v>0.45</v>
      </c>
      <c r="J79" s="11">
        <v>0.98</v>
      </c>
      <c r="K79" s="11" t="s">
        <v>216</v>
      </c>
      <c r="L79" s="10">
        <v>11774</v>
      </c>
      <c r="M79" s="10">
        <v>76939</v>
      </c>
      <c r="N79" s="11" t="s">
        <v>216</v>
      </c>
      <c r="O79" s="11">
        <v>78</v>
      </c>
      <c r="P79" s="11">
        <v>269</v>
      </c>
      <c r="R79" s="13">
        <v>824</v>
      </c>
      <c r="S79" s="106">
        <v>3362</v>
      </c>
      <c r="T79" s="12">
        <v>3934</v>
      </c>
      <c r="U79" s="13" t="s">
        <v>216</v>
      </c>
      <c r="V79" s="13">
        <v>2.2000000000000002</v>
      </c>
      <c r="W79" s="13">
        <v>7.6</v>
      </c>
      <c r="X79" s="13">
        <v>10.5</v>
      </c>
      <c r="Y79" s="13" t="s">
        <v>216</v>
      </c>
      <c r="Z79" s="13">
        <v>0.47</v>
      </c>
      <c r="AA79" s="13">
        <v>0.89</v>
      </c>
      <c r="AB79" s="13">
        <v>0.98</v>
      </c>
      <c r="AC79" s="13" t="s">
        <v>216</v>
      </c>
      <c r="AD79" s="12">
        <v>19934</v>
      </c>
      <c r="AE79" s="12">
        <v>96963</v>
      </c>
      <c r="AF79" s="12">
        <v>113303</v>
      </c>
      <c r="AG79" s="13" t="s">
        <v>216</v>
      </c>
      <c r="AH79" s="13">
        <v>51</v>
      </c>
      <c r="AI79" s="13">
        <v>211</v>
      </c>
      <c r="AJ79" s="13">
        <v>293</v>
      </c>
    </row>
    <row r="80" spans="1:36" hidden="1" x14ac:dyDescent="0.25">
      <c r="A80" t="s">
        <v>53</v>
      </c>
      <c r="B80" s="11" t="s">
        <v>227</v>
      </c>
      <c r="C80" s="11">
        <v>410</v>
      </c>
      <c r="D80" s="11">
        <v>860</v>
      </c>
      <c r="E80" s="11" t="s">
        <v>216</v>
      </c>
      <c r="F80" s="11">
        <v>3.9</v>
      </c>
      <c r="G80" s="11">
        <v>17.600000000000001</v>
      </c>
      <c r="H80" s="11" t="s">
        <v>216</v>
      </c>
      <c r="I80" s="11">
        <v>0.55000000000000004</v>
      </c>
      <c r="J80" s="11">
        <v>1</v>
      </c>
      <c r="K80" s="11" t="s">
        <v>216</v>
      </c>
      <c r="L80" s="10">
        <v>5596</v>
      </c>
      <c r="M80" s="10">
        <v>13094</v>
      </c>
      <c r="N80" s="11" t="s">
        <v>216</v>
      </c>
      <c r="O80" s="11">
        <v>72</v>
      </c>
      <c r="P80" s="11">
        <v>336</v>
      </c>
      <c r="R80" s="13">
        <v>500</v>
      </c>
      <c r="S80" s="13">
        <v>909</v>
      </c>
      <c r="T80" s="12">
        <v>1947</v>
      </c>
      <c r="U80" s="13" t="s">
        <v>216</v>
      </c>
      <c r="V80" s="13">
        <v>3.8</v>
      </c>
      <c r="W80" s="13">
        <v>12.6</v>
      </c>
      <c r="X80" s="13">
        <v>33.799999999999997</v>
      </c>
      <c r="Y80" s="13" t="s">
        <v>216</v>
      </c>
      <c r="Z80" s="13">
        <v>0.72</v>
      </c>
      <c r="AA80" s="13">
        <v>1</v>
      </c>
      <c r="AB80" s="13">
        <v>1</v>
      </c>
      <c r="AC80" s="13" t="s">
        <v>216</v>
      </c>
      <c r="AD80" s="12">
        <v>7065</v>
      </c>
      <c r="AE80" s="12">
        <v>13699</v>
      </c>
      <c r="AF80" s="12">
        <v>15906</v>
      </c>
      <c r="AG80" s="13" t="s">
        <v>216</v>
      </c>
      <c r="AH80" s="13">
        <v>69</v>
      </c>
      <c r="AI80" s="13">
        <v>242</v>
      </c>
      <c r="AJ80" s="13">
        <v>352</v>
      </c>
    </row>
    <row r="81" spans="1:36" hidden="1" x14ac:dyDescent="0.25">
      <c r="A81" s="25" t="s">
        <v>53</v>
      </c>
      <c r="B81" s="83" t="s">
        <v>236</v>
      </c>
      <c r="C81" s="83">
        <v>449</v>
      </c>
      <c r="D81" s="83">
        <v>782</v>
      </c>
      <c r="E81" s="83" t="s">
        <v>216</v>
      </c>
      <c r="F81" s="83">
        <v>4.3</v>
      </c>
      <c r="G81" s="83">
        <v>10.4</v>
      </c>
      <c r="H81" s="83" t="s">
        <v>216</v>
      </c>
      <c r="I81" s="83">
        <v>0.87</v>
      </c>
      <c r="J81" s="83">
        <v>0.99</v>
      </c>
      <c r="K81" s="83" t="s">
        <v>216</v>
      </c>
      <c r="L81" s="84">
        <v>8499</v>
      </c>
      <c r="M81" s="84">
        <v>14195</v>
      </c>
      <c r="N81" s="83" t="s">
        <v>216</v>
      </c>
      <c r="O81" s="83">
        <v>82</v>
      </c>
      <c r="P81" s="83">
        <v>190</v>
      </c>
      <c r="R81" s="86">
        <v>639</v>
      </c>
      <c r="S81" s="86">
        <v>876</v>
      </c>
      <c r="T81" s="85">
        <v>2177</v>
      </c>
      <c r="U81" s="86" t="s">
        <v>216</v>
      </c>
      <c r="V81" s="86">
        <v>4.3</v>
      </c>
      <c r="W81" s="86">
        <v>6.7</v>
      </c>
      <c r="X81" s="86">
        <v>20.5</v>
      </c>
      <c r="Y81" s="86" t="s">
        <v>216</v>
      </c>
      <c r="Z81" s="86">
        <v>0.95</v>
      </c>
      <c r="AA81" s="86">
        <v>1</v>
      </c>
      <c r="AB81" s="86">
        <v>1</v>
      </c>
      <c r="AC81" s="86" t="s">
        <v>216</v>
      </c>
      <c r="AD81" s="85">
        <v>12035</v>
      </c>
      <c r="AE81" s="85">
        <v>15871</v>
      </c>
      <c r="AF81" s="85">
        <v>21187</v>
      </c>
      <c r="AG81" s="86" t="s">
        <v>216</v>
      </c>
      <c r="AH81" s="86">
        <v>81</v>
      </c>
      <c r="AI81" s="86">
        <v>122</v>
      </c>
      <c r="AJ81" s="86">
        <v>200</v>
      </c>
    </row>
    <row r="82" spans="1:36" hidden="1" x14ac:dyDescent="0.25">
      <c r="A82" t="s">
        <v>241</v>
      </c>
      <c r="B82" s="11" t="s">
        <v>225</v>
      </c>
      <c r="C82" s="11">
        <v>124</v>
      </c>
      <c r="D82" s="11">
        <v>225</v>
      </c>
      <c r="E82" s="11" t="s">
        <v>216</v>
      </c>
      <c r="F82" s="11">
        <v>4.4000000000000004</v>
      </c>
      <c r="G82" s="11">
        <v>7</v>
      </c>
      <c r="H82" s="11" t="s">
        <v>216</v>
      </c>
      <c r="I82" s="11">
        <v>0.44</v>
      </c>
      <c r="J82" s="11">
        <v>0.88</v>
      </c>
      <c r="K82" s="11" t="s">
        <v>216</v>
      </c>
      <c r="L82" s="10">
        <v>36961</v>
      </c>
      <c r="M82" s="10">
        <v>64512</v>
      </c>
      <c r="N82" s="11" t="s">
        <v>216</v>
      </c>
      <c r="O82" s="11">
        <v>817</v>
      </c>
      <c r="P82" s="10">
        <v>1130</v>
      </c>
      <c r="R82" s="80">
        <v>124</v>
      </c>
      <c r="S82" s="80">
        <v>168</v>
      </c>
      <c r="T82" s="80">
        <v>225</v>
      </c>
      <c r="U82" s="80" t="s">
        <v>216</v>
      </c>
      <c r="V82" s="80">
        <v>4.4000000000000004</v>
      </c>
      <c r="W82" s="80">
        <v>5.9</v>
      </c>
      <c r="X82" s="80">
        <v>7</v>
      </c>
      <c r="Y82" s="80" t="s">
        <v>216</v>
      </c>
      <c r="Z82" s="80">
        <v>0.44</v>
      </c>
      <c r="AA82" s="80">
        <v>0.44</v>
      </c>
      <c r="AB82" s="80">
        <v>0.88</v>
      </c>
      <c r="AC82" s="80" t="s">
        <v>216</v>
      </c>
      <c r="AD82" s="81">
        <v>36961</v>
      </c>
      <c r="AE82" s="81">
        <v>52311</v>
      </c>
      <c r="AF82" s="81">
        <v>64512</v>
      </c>
      <c r="AG82" s="80" t="s">
        <v>216</v>
      </c>
      <c r="AH82" s="80">
        <v>817</v>
      </c>
      <c r="AI82" s="81">
        <v>1040</v>
      </c>
      <c r="AJ82" s="81">
        <v>1130</v>
      </c>
    </row>
    <row r="83" spans="1:36" hidden="1" x14ac:dyDescent="0.25">
      <c r="A83" t="s">
        <v>241</v>
      </c>
      <c r="B83" s="11" t="s">
        <v>226</v>
      </c>
      <c r="C83" s="11">
        <v>797</v>
      </c>
      <c r="D83" s="10">
        <v>5842</v>
      </c>
      <c r="E83" s="11" t="s">
        <v>216</v>
      </c>
      <c r="F83" s="11">
        <v>3.5</v>
      </c>
      <c r="G83" s="11">
        <v>11.4</v>
      </c>
      <c r="H83" s="11" t="s">
        <v>216</v>
      </c>
      <c r="I83" s="11">
        <v>0.97</v>
      </c>
      <c r="J83" s="11">
        <v>1</v>
      </c>
      <c r="K83" s="11" t="s">
        <v>216</v>
      </c>
      <c r="L83" s="10">
        <v>80161</v>
      </c>
      <c r="M83" s="10">
        <v>166842</v>
      </c>
      <c r="N83" s="11" t="s">
        <v>216</v>
      </c>
      <c r="O83" s="11">
        <v>164</v>
      </c>
      <c r="P83" s="11">
        <v>137</v>
      </c>
      <c r="R83" s="13">
        <v>797</v>
      </c>
      <c r="S83" s="12">
        <v>1943</v>
      </c>
      <c r="T83" s="12">
        <v>5842</v>
      </c>
      <c r="U83" s="13" t="s">
        <v>216</v>
      </c>
      <c r="V83" s="13">
        <v>3.5</v>
      </c>
      <c r="W83" s="13">
        <v>8.5</v>
      </c>
      <c r="X83" s="13">
        <v>11.4</v>
      </c>
      <c r="Y83" s="13" t="s">
        <v>216</v>
      </c>
      <c r="Z83" s="13">
        <v>0.97</v>
      </c>
      <c r="AA83" s="13">
        <v>1</v>
      </c>
      <c r="AB83" s="13">
        <v>1</v>
      </c>
      <c r="AC83" s="13" t="s">
        <v>216</v>
      </c>
      <c r="AD83" s="12">
        <v>80161</v>
      </c>
      <c r="AE83" s="12">
        <v>121877</v>
      </c>
      <c r="AF83" s="12">
        <v>166842</v>
      </c>
      <c r="AG83" s="13" t="s">
        <v>216</v>
      </c>
      <c r="AH83" s="13">
        <v>164</v>
      </c>
      <c r="AI83" s="13">
        <v>164</v>
      </c>
      <c r="AJ83" s="13">
        <v>137</v>
      </c>
    </row>
    <row r="84" spans="1:36" x14ac:dyDescent="0.25">
      <c r="A84" t="s">
        <v>241</v>
      </c>
      <c r="B84" s="11" t="s">
        <v>194</v>
      </c>
      <c r="C84" s="11">
        <v>251</v>
      </c>
      <c r="D84" s="11">
        <v>416</v>
      </c>
      <c r="E84" s="11" t="s">
        <v>216</v>
      </c>
      <c r="F84" s="11">
        <v>4.3</v>
      </c>
      <c r="G84" s="11">
        <v>9.9</v>
      </c>
      <c r="H84" s="11" t="s">
        <v>216</v>
      </c>
      <c r="I84" s="11">
        <v>0.41</v>
      </c>
      <c r="J84" s="11">
        <v>0.98</v>
      </c>
      <c r="K84" s="11" t="s">
        <v>216</v>
      </c>
      <c r="L84" s="10">
        <v>7638</v>
      </c>
      <c r="M84" s="10">
        <v>12776</v>
      </c>
      <c r="N84" s="11" t="s">
        <v>216</v>
      </c>
      <c r="O84" s="11">
        <v>142</v>
      </c>
      <c r="P84" s="11">
        <v>312</v>
      </c>
      <c r="R84" s="13">
        <v>57</v>
      </c>
      <c r="S84" s="108">
        <v>123</v>
      </c>
      <c r="T84" s="13">
        <v>280</v>
      </c>
      <c r="U84" s="13" t="s">
        <v>216</v>
      </c>
      <c r="V84" s="13">
        <v>5.0999999999999996</v>
      </c>
      <c r="W84" s="13">
        <v>7.5</v>
      </c>
      <c r="X84" s="13">
        <v>10.199999999999999</v>
      </c>
      <c r="Y84" s="13" t="s">
        <v>216</v>
      </c>
      <c r="Z84" s="13">
        <v>0.37</v>
      </c>
      <c r="AA84" s="13">
        <v>0.44</v>
      </c>
      <c r="AB84" s="13">
        <v>0.98</v>
      </c>
      <c r="AC84" s="13" t="s">
        <v>216</v>
      </c>
      <c r="AD84" s="12">
        <v>1663</v>
      </c>
      <c r="AE84" s="12">
        <v>3760</v>
      </c>
      <c r="AF84" s="12">
        <v>8528</v>
      </c>
      <c r="AG84" s="13" t="s">
        <v>216</v>
      </c>
      <c r="AH84" s="13">
        <v>154</v>
      </c>
      <c r="AI84" s="13">
        <v>234</v>
      </c>
      <c r="AJ84" s="13">
        <v>313</v>
      </c>
    </row>
    <row r="85" spans="1:36" hidden="1" x14ac:dyDescent="0.25">
      <c r="A85" s="25" t="s">
        <v>241</v>
      </c>
      <c r="B85" s="83" t="s">
        <v>227</v>
      </c>
      <c r="C85" s="83">
        <v>244</v>
      </c>
      <c r="D85" s="83">
        <v>556</v>
      </c>
      <c r="E85" s="83" t="s">
        <v>216</v>
      </c>
      <c r="F85" s="83">
        <v>15.7</v>
      </c>
      <c r="G85" s="83">
        <v>45.8</v>
      </c>
      <c r="H85" s="83" t="s">
        <v>216</v>
      </c>
      <c r="I85" s="83">
        <v>0.4</v>
      </c>
      <c r="J85" s="83">
        <v>0.76</v>
      </c>
      <c r="K85" s="83" t="s">
        <v>216</v>
      </c>
      <c r="L85" s="84">
        <v>2400</v>
      </c>
      <c r="M85" s="84">
        <v>3496</v>
      </c>
      <c r="N85" s="83" t="s">
        <v>216</v>
      </c>
      <c r="O85" s="83">
        <v>188</v>
      </c>
      <c r="P85" s="83">
        <v>344</v>
      </c>
      <c r="R85" s="86">
        <v>244</v>
      </c>
      <c r="S85" s="86">
        <v>270</v>
      </c>
      <c r="T85" s="86">
        <v>556</v>
      </c>
      <c r="U85" s="86" t="s">
        <v>216</v>
      </c>
      <c r="V85" s="86">
        <v>15.7</v>
      </c>
      <c r="W85" s="86">
        <v>19</v>
      </c>
      <c r="X85" s="86">
        <v>45.8</v>
      </c>
      <c r="Y85" s="86" t="s">
        <v>216</v>
      </c>
      <c r="Z85" s="86">
        <v>0.4</v>
      </c>
      <c r="AA85" s="86">
        <v>0.47</v>
      </c>
      <c r="AB85" s="86">
        <v>0.76</v>
      </c>
      <c r="AC85" s="86" t="s">
        <v>216</v>
      </c>
      <c r="AD85" s="85">
        <v>2400</v>
      </c>
      <c r="AE85" s="85">
        <v>2628</v>
      </c>
      <c r="AF85" s="85">
        <v>3496</v>
      </c>
      <c r="AG85" s="86" t="s">
        <v>216</v>
      </c>
      <c r="AH85" s="86">
        <v>188</v>
      </c>
      <c r="AI85" s="86">
        <v>233</v>
      </c>
      <c r="AJ85" s="86">
        <v>344</v>
      </c>
    </row>
    <row r="86" spans="1:36" hidden="1" x14ac:dyDescent="0.25">
      <c r="A86" t="s">
        <v>242</v>
      </c>
      <c r="B86" s="87" t="s">
        <v>225</v>
      </c>
      <c r="C86" s="11">
        <v>954</v>
      </c>
      <c r="D86" s="10">
        <v>2584</v>
      </c>
      <c r="E86" s="11" t="s">
        <v>216</v>
      </c>
      <c r="F86" s="11">
        <v>4.8499999999999996</v>
      </c>
      <c r="G86" s="11">
        <v>10.78</v>
      </c>
      <c r="H86" s="11" t="s">
        <v>216</v>
      </c>
      <c r="I86" s="11">
        <v>0.62</v>
      </c>
      <c r="J86" s="11">
        <v>0.99</v>
      </c>
      <c r="K86" s="11" t="s">
        <v>216</v>
      </c>
      <c r="L86" s="10">
        <v>158081</v>
      </c>
      <c r="M86" s="10">
        <v>835275</v>
      </c>
      <c r="N86" s="11" t="s">
        <v>216</v>
      </c>
      <c r="O86" s="11">
        <v>568</v>
      </c>
      <c r="P86" s="10">
        <v>1316</v>
      </c>
      <c r="R86" s="80">
        <v>954</v>
      </c>
      <c r="S86" s="81">
        <v>2418</v>
      </c>
      <c r="T86" s="81">
        <v>2584</v>
      </c>
      <c r="U86" s="80" t="s">
        <v>216</v>
      </c>
      <c r="V86" s="80">
        <v>4.8499999999999996</v>
      </c>
      <c r="W86" s="80">
        <v>9.92</v>
      </c>
      <c r="X86" s="80">
        <v>10.78</v>
      </c>
      <c r="Y86" s="80" t="s">
        <v>216</v>
      </c>
      <c r="Z86" s="80">
        <v>0.62</v>
      </c>
      <c r="AA86" s="80">
        <v>0.98</v>
      </c>
      <c r="AB86" s="80">
        <v>0.99</v>
      </c>
      <c r="AC86" s="80" t="s">
        <v>216</v>
      </c>
      <c r="AD86" s="81">
        <v>158081</v>
      </c>
      <c r="AE86" s="81">
        <v>755887</v>
      </c>
      <c r="AF86" s="81">
        <v>835275</v>
      </c>
      <c r="AG86" s="80" t="s">
        <v>216</v>
      </c>
      <c r="AH86" s="80">
        <v>568</v>
      </c>
      <c r="AI86" s="81">
        <v>1234</v>
      </c>
      <c r="AJ86" s="81">
        <v>1316</v>
      </c>
    </row>
    <row r="87" spans="1:36" hidden="1" x14ac:dyDescent="0.25">
      <c r="A87" t="s">
        <v>242</v>
      </c>
      <c r="B87" s="87" t="s">
        <v>226</v>
      </c>
      <c r="C87" s="11">
        <v>361</v>
      </c>
      <c r="D87" s="10">
        <v>10886</v>
      </c>
      <c r="E87" s="11" t="s">
        <v>216</v>
      </c>
      <c r="F87" s="11">
        <v>1.67</v>
      </c>
      <c r="G87" s="11">
        <v>9.02</v>
      </c>
      <c r="H87" s="11" t="s">
        <v>216</v>
      </c>
      <c r="I87" s="11">
        <v>0.45</v>
      </c>
      <c r="J87" s="11">
        <v>1</v>
      </c>
      <c r="K87" s="11" t="s">
        <v>216</v>
      </c>
      <c r="L87" s="10">
        <v>227457</v>
      </c>
      <c r="M87" s="10">
        <v>3829348</v>
      </c>
      <c r="N87" s="11" t="s">
        <v>216</v>
      </c>
      <c r="O87" s="11">
        <v>720</v>
      </c>
      <c r="P87" s="10">
        <v>1083</v>
      </c>
      <c r="R87" s="13">
        <v>361</v>
      </c>
      <c r="S87" s="12">
        <v>2582</v>
      </c>
      <c r="T87" s="12">
        <v>10886</v>
      </c>
      <c r="U87" s="13" t="s">
        <v>216</v>
      </c>
      <c r="V87" s="13">
        <v>1.67</v>
      </c>
      <c r="W87" s="13">
        <v>5.5</v>
      </c>
      <c r="X87" s="13">
        <v>9.02</v>
      </c>
      <c r="Y87" s="13" t="s">
        <v>216</v>
      </c>
      <c r="Z87" s="13">
        <v>0.45</v>
      </c>
      <c r="AA87" s="13">
        <v>1</v>
      </c>
      <c r="AB87" s="13">
        <v>1</v>
      </c>
      <c r="AC87" s="13" t="s">
        <v>216</v>
      </c>
      <c r="AD87" s="12">
        <v>227457</v>
      </c>
      <c r="AE87" s="12">
        <v>1715208</v>
      </c>
      <c r="AF87" s="12">
        <v>3829348</v>
      </c>
      <c r="AG87" s="13" t="s">
        <v>216</v>
      </c>
      <c r="AH87" s="13">
        <v>720</v>
      </c>
      <c r="AI87" s="12">
        <v>1000</v>
      </c>
      <c r="AJ87" s="12">
        <v>1083</v>
      </c>
    </row>
    <row r="88" spans="1:36" x14ac:dyDescent="0.25">
      <c r="A88" t="s">
        <v>242</v>
      </c>
      <c r="B88" s="87" t="s">
        <v>194</v>
      </c>
      <c r="C88" s="11">
        <v>95</v>
      </c>
      <c r="D88" s="11">
        <v>186</v>
      </c>
      <c r="E88" s="11" t="s">
        <v>216</v>
      </c>
      <c r="F88" s="11">
        <v>3.2</v>
      </c>
      <c r="G88" s="11">
        <v>5.87</v>
      </c>
      <c r="H88" s="11" t="s">
        <v>216</v>
      </c>
      <c r="I88" s="11">
        <v>0.05</v>
      </c>
      <c r="J88" s="11">
        <v>0.11</v>
      </c>
      <c r="K88" s="11" t="s">
        <v>216</v>
      </c>
      <c r="L88" s="11">
        <v>308</v>
      </c>
      <c r="M88" s="10">
        <v>3126</v>
      </c>
      <c r="N88" s="11" t="s">
        <v>216</v>
      </c>
      <c r="O88" s="11">
        <v>39</v>
      </c>
      <c r="P88" s="11">
        <v>298</v>
      </c>
      <c r="R88" s="13">
        <v>418</v>
      </c>
      <c r="S88" s="108">
        <v>898</v>
      </c>
      <c r="T88" s="13">
        <v>946</v>
      </c>
      <c r="U88" s="13" t="s">
        <v>216</v>
      </c>
      <c r="V88" s="13">
        <v>2.88</v>
      </c>
      <c r="W88" s="13">
        <v>4.75</v>
      </c>
      <c r="X88" s="13">
        <v>5.4</v>
      </c>
      <c r="Y88" s="13" t="s">
        <v>216</v>
      </c>
      <c r="Z88" s="13">
        <v>0.11</v>
      </c>
      <c r="AA88" s="13">
        <v>0.56000000000000005</v>
      </c>
      <c r="AB88" s="13">
        <v>0.56000000000000005</v>
      </c>
      <c r="AC88" s="13" t="s">
        <v>216</v>
      </c>
      <c r="AD88" s="12">
        <v>1384</v>
      </c>
      <c r="AE88" s="12">
        <v>12730</v>
      </c>
      <c r="AF88" s="12">
        <v>14062</v>
      </c>
      <c r="AG88" s="13" t="s">
        <v>216</v>
      </c>
      <c r="AH88" s="13">
        <v>35</v>
      </c>
      <c r="AI88" s="13">
        <v>244</v>
      </c>
      <c r="AJ88" s="13">
        <v>288</v>
      </c>
    </row>
    <row r="89" spans="1:36" hidden="1" x14ac:dyDescent="0.25">
      <c r="A89" t="s">
        <v>242</v>
      </c>
      <c r="B89" s="87" t="s">
        <v>227</v>
      </c>
      <c r="C89" s="11">
        <v>70</v>
      </c>
      <c r="D89" s="11">
        <v>280</v>
      </c>
      <c r="E89" s="11" t="s">
        <v>216</v>
      </c>
      <c r="F89" s="11">
        <v>3.46</v>
      </c>
      <c r="G89" s="11">
        <v>20.81</v>
      </c>
      <c r="H89" s="11" t="s">
        <v>216</v>
      </c>
      <c r="I89" s="11">
        <v>0.56000000000000005</v>
      </c>
      <c r="J89" s="11">
        <v>0.79</v>
      </c>
      <c r="K89" s="11" t="s">
        <v>216</v>
      </c>
      <c r="L89" s="10">
        <v>1403</v>
      </c>
      <c r="M89" s="10">
        <v>3198</v>
      </c>
      <c r="N89" s="11" t="s">
        <v>216</v>
      </c>
      <c r="O89" s="11">
        <v>71</v>
      </c>
      <c r="P89" s="11">
        <v>272</v>
      </c>
      <c r="R89" s="13">
        <v>70</v>
      </c>
      <c r="S89" s="13">
        <v>123</v>
      </c>
      <c r="T89" s="13">
        <v>280</v>
      </c>
      <c r="U89" s="13" t="s">
        <v>216</v>
      </c>
      <c r="V89" s="13">
        <v>3.46</v>
      </c>
      <c r="W89" s="13">
        <v>7.7</v>
      </c>
      <c r="X89" s="13">
        <v>20.81</v>
      </c>
      <c r="Y89" s="13" t="s">
        <v>216</v>
      </c>
      <c r="Z89" s="13">
        <v>0.56000000000000005</v>
      </c>
      <c r="AA89" s="13">
        <v>0.77</v>
      </c>
      <c r="AB89" s="13">
        <v>0.79</v>
      </c>
      <c r="AC89" s="13" t="s">
        <v>216</v>
      </c>
      <c r="AD89" s="12">
        <v>1403</v>
      </c>
      <c r="AE89" s="12">
        <v>2550</v>
      </c>
      <c r="AF89" s="12">
        <v>3198</v>
      </c>
      <c r="AG89" s="13" t="s">
        <v>216</v>
      </c>
      <c r="AH89" s="13">
        <v>71</v>
      </c>
      <c r="AI89" s="13">
        <v>181</v>
      </c>
      <c r="AJ89" s="13">
        <v>272</v>
      </c>
    </row>
    <row r="90" spans="1:36" hidden="1" x14ac:dyDescent="0.25">
      <c r="A90" s="25" t="s">
        <v>242</v>
      </c>
      <c r="B90" s="88" t="s">
        <v>236</v>
      </c>
      <c r="C90" s="84">
        <v>1230</v>
      </c>
      <c r="D90" s="84">
        <v>3814</v>
      </c>
      <c r="E90" s="83" t="s">
        <v>216</v>
      </c>
      <c r="F90" s="83">
        <v>4.37</v>
      </c>
      <c r="G90" s="83">
        <v>17.73</v>
      </c>
      <c r="H90" s="83" t="s">
        <v>216</v>
      </c>
      <c r="I90" s="83">
        <v>0.88</v>
      </c>
      <c r="J90" s="83">
        <v>1</v>
      </c>
      <c r="K90" s="83" t="s">
        <v>216</v>
      </c>
      <c r="L90" s="84">
        <v>24673</v>
      </c>
      <c r="M90" s="84">
        <v>41020</v>
      </c>
      <c r="N90" s="83" t="s">
        <v>216</v>
      </c>
      <c r="O90" s="83">
        <v>84</v>
      </c>
      <c r="P90" s="83">
        <v>185</v>
      </c>
      <c r="R90" s="85">
        <v>1230</v>
      </c>
      <c r="S90" s="85">
        <v>1437</v>
      </c>
      <c r="T90" s="85">
        <v>3814</v>
      </c>
      <c r="U90" s="86" t="s">
        <v>216</v>
      </c>
      <c r="V90" s="86">
        <v>4.37</v>
      </c>
      <c r="W90" s="86">
        <v>6.04</v>
      </c>
      <c r="X90" s="86">
        <v>17.73</v>
      </c>
      <c r="Y90" s="86" t="s">
        <v>216</v>
      </c>
      <c r="Z90" s="86">
        <v>0.88</v>
      </c>
      <c r="AA90" s="86">
        <v>0.95</v>
      </c>
      <c r="AB90" s="86">
        <v>1</v>
      </c>
      <c r="AC90" s="86" t="s">
        <v>216</v>
      </c>
      <c r="AD90" s="85">
        <v>24673</v>
      </c>
      <c r="AE90" s="85">
        <v>28658</v>
      </c>
      <c r="AF90" s="85">
        <v>41020</v>
      </c>
      <c r="AG90" s="86" t="s">
        <v>216</v>
      </c>
      <c r="AH90" s="86">
        <v>84</v>
      </c>
      <c r="AI90" s="86">
        <v>117</v>
      </c>
      <c r="AJ90" s="86">
        <v>185</v>
      </c>
    </row>
    <row r="92" spans="1:36" x14ac:dyDescent="0.25">
      <c r="C92" s="33">
        <f>C12+C16</f>
        <v>2429</v>
      </c>
      <c r="D92" s="33">
        <f>D12+D16</f>
        <v>6532</v>
      </c>
      <c r="O92" s="33"/>
      <c r="R92" s="33">
        <f>R12+R16</f>
        <v>2396</v>
      </c>
      <c r="S92" s="33">
        <f>S12+S16</f>
        <v>5787</v>
      </c>
      <c r="T92" s="33">
        <f>T12+T16</f>
        <v>13885</v>
      </c>
    </row>
    <row r="93" spans="1:36" x14ac:dyDescent="0.25">
      <c r="C93" s="33">
        <f>SUM(C20+C24+C28)</f>
        <v>1369</v>
      </c>
      <c r="D93" s="33">
        <f>SUM(D20+D24+D28)</f>
        <v>2798</v>
      </c>
      <c r="O93" s="33"/>
      <c r="R93" s="33">
        <f>SUM(R20+R24+R28)</f>
        <v>2045</v>
      </c>
      <c r="S93" s="33">
        <f>SUM(S20+S24+S28)</f>
        <v>3010</v>
      </c>
      <c r="T93" s="33">
        <f>SUM(T20+T24+T28)</f>
        <v>10621</v>
      </c>
    </row>
    <row r="94" spans="1:36" x14ac:dyDescent="0.25">
      <c r="C94" s="33">
        <f>C63+C66</f>
        <v>13544</v>
      </c>
      <c r="D94" s="33">
        <f>D63+D66</f>
        <v>29222</v>
      </c>
      <c r="O94" s="33"/>
      <c r="R94" s="33">
        <f>R63+R66</f>
        <v>13893</v>
      </c>
      <c r="S94" s="33">
        <f>S63+S66</f>
        <v>20979</v>
      </c>
      <c r="T94" s="33">
        <f>T63+T66</f>
        <v>29357</v>
      </c>
    </row>
    <row r="97" spans="13:22" x14ac:dyDescent="0.25">
      <c r="M97" s="22" t="s">
        <v>253</v>
      </c>
      <c r="O97" t="s">
        <v>241</v>
      </c>
      <c r="R97" s="13">
        <v>57</v>
      </c>
      <c r="S97" s="13">
        <v>123</v>
      </c>
      <c r="T97" s="13">
        <v>280</v>
      </c>
      <c r="V97" t="s">
        <v>255</v>
      </c>
    </row>
    <row r="98" spans="13:22" x14ac:dyDescent="0.25">
      <c r="O98" t="s">
        <v>242</v>
      </c>
      <c r="R98" s="13">
        <v>418</v>
      </c>
      <c r="S98" s="13">
        <v>898</v>
      </c>
      <c r="T98" s="13">
        <v>946</v>
      </c>
    </row>
    <row r="99" spans="13:22" x14ac:dyDescent="0.25">
      <c r="O99" s="25" t="s">
        <v>16</v>
      </c>
      <c r="P99" s="40"/>
      <c r="Q99" s="25"/>
      <c r="R99" s="86">
        <v>484</v>
      </c>
      <c r="S99" s="116">
        <v>1033</v>
      </c>
      <c r="T99" s="85">
        <v>1306</v>
      </c>
    </row>
    <row r="100" spans="13:22" x14ac:dyDescent="0.25">
      <c r="O100" t="s">
        <v>53</v>
      </c>
      <c r="R100" s="13">
        <v>824</v>
      </c>
      <c r="S100" s="106">
        <v>3362</v>
      </c>
      <c r="T100" s="12">
        <v>3934</v>
      </c>
      <c r="V100" t="s">
        <v>256</v>
      </c>
    </row>
    <row r="101" spans="13:22" x14ac:dyDescent="0.25">
      <c r="O101" t="s">
        <v>239</v>
      </c>
      <c r="R101" s="12">
        <v>1066</v>
      </c>
      <c r="S101" s="106">
        <v>3306</v>
      </c>
      <c r="T101" s="12">
        <v>4280</v>
      </c>
    </row>
    <row r="102" spans="13:22" x14ac:dyDescent="0.25">
      <c r="O102" t="s">
        <v>11</v>
      </c>
      <c r="R102" s="12">
        <v>1239</v>
      </c>
      <c r="S102" s="106">
        <v>3773</v>
      </c>
      <c r="T102" s="12">
        <v>4344</v>
      </c>
    </row>
    <row r="103" spans="13:22" x14ac:dyDescent="0.25">
      <c r="O103" t="s">
        <v>240</v>
      </c>
      <c r="R103" s="13">
        <v>772</v>
      </c>
      <c r="S103" s="106">
        <v>4621</v>
      </c>
      <c r="T103" s="12">
        <v>5266</v>
      </c>
    </row>
    <row r="104" spans="13:22" x14ac:dyDescent="0.25">
      <c r="O104" s="25" t="s">
        <v>69</v>
      </c>
      <c r="P104" s="40"/>
      <c r="Q104" s="25"/>
      <c r="R104" s="86">
        <v>261</v>
      </c>
      <c r="S104" s="116">
        <v>3233</v>
      </c>
      <c r="T104" s="85">
        <v>5599</v>
      </c>
    </row>
    <row r="105" spans="13:22" x14ac:dyDescent="0.25">
      <c r="O105" t="s">
        <v>68</v>
      </c>
      <c r="R105" s="12">
        <v>3752</v>
      </c>
      <c r="S105" s="106">
        <v>5351</v>
      </c>
      <c r="T105" s="12">
        <v>8029</v>
      </c>
      <c r="V105" t="s">
        <v>254</v>
      </c>
    </row>
    <row r="106" spans="13:22" x14ac:dyDescent="0.25">
      <c r="O106" t="s">
        <v>64</v>
      </c>
      <c r="R106" s="12">
        <v>1873</v>
      </c>
      <c r="S106" s="106">
        <v>6225</v>
      </c>
      <c r="T106" s="12">
        <v>8434</v>
      </c>
    </row>
    <row r="107" spans="13:22" x14ac:dyDescent="0.25">
      <c r="O107" t="s">
        <v>257</v>
      </c>
      <c r="R107" s="13">
        <v>2045</v>
      </c>
      <c r="S107" s="107">
        <v>3010</v>
      </c>
      <c r="T107" s="12">
        <v>10621</v>
      </c>
    </row>
    <row r="108" spans="13:22" x14ac:dyDescent="0.25">
      <c r="O108" s="22" t="s">
        <v>258</v>
      </c>
      <c r="R108" s="47">
        <v>2396</v>
      </c>
      <c r="S108" s="47">
        <v>5787</v>
      </c>
      <c r="T108" s="47">
        <v>13885</v>
      </c>
    </row>
    <row r="109" spans="13:22" x14ac:dyDescent="0.25">
      <c r="O109" t="s">
        <v>233</v>
      </c>
      <c r="R109" s="12">
        <v>4144</v>
      </c>
      <c r="S109" s="106">
        <v>15655</v>
      </c>
      <c r="T109" s="12">
        <v>17626</v>
      </c>
    </row>
    <row r="110" spans="13:22" x14ac:dyDescent="0.25">
      <c r="O110" t="s">
        <v>231</v>
      </c>
      <c r="R110" s="12">
        <v>11039</v>
      </c>
      <c r="S110" s="12">
        <v>23633</v>
      </c>
      <c r="T110" s="12">
        <v>17654</v>
      </c>
    </row>
    <row r="111" spans="13:22" x14ac:dyDescent="0.25">
      <c r="O111" t="s">
        <v>234</v>
      </c>
      <c r="R111" s="12">
        <v>1376</v>
      </c>
      <c r="S111" s="106">
        <v>8196</v>
      </c>
      <c r="T111" s="12">
        <v>25984</v>
      </c>
    </row>
    <row r="112" spans="13:22" x14ac:dyDescent="0.25">
      <c r="O112" t="s">
        <v>259</v>
      </c>
      <c r="R112" s="12">
        <v>13893</v>
      </c>
      <c r="S112" s="106">
        <v>20979</v>
      </c>
      <c r="T112" s="12">
        <v>29357</v>
      </c>
    </row>
  </sheetData>
  <autoFilter ref="A5:AJ90" xr:uid="{00000000-0009-0000-0000-000006000000}">
    <filterColumn colId="1">
      <filters>
        <filter val="Coho"/>
      </filters>
    </filterColumn>
  </autoFilter>
  <sortState xmlns:xlrd2="http://schemas.microsoft.com/office/spreadsheetml/2017/richdata2" ref="O97:T113">
    <sortCondition ref="T97:T113"/>
  </sortState>
  <mergeCells count="11">
    <mergeCell ref="R4:T4"/>
    <mergeCell ref="V4:X4"/>
    <mergeCell ref="Z4:AB4"/>
    <mergeCell ref="AD4:AF4"/>
    <mergeCell ref="AH4:AJ4"/>
    <mergeCell ref="A2:O2"/>
    <mergeCell ref="C4:D4"/>
    <mergeCell ref="F4:G4"/>
    <mergeCell ref="I4:J4"/>
    <mergeCell ref="L4:M4"/>
    <mergeCell ref="O4:P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GJ112"/>
  <sheetViews>
    <sheetView topLeftCell="AB1" workbookViewId="0">
      <selection activeCell="AH34" sqref="AH34"/>
    </sheetView>
  </sheetViews>
  <sheetFormatPr defaultRowHeight="15" x14ac:dyDescent="0.25"/>
  <cols>
    <col min="18" max="18" width="2.28515625" customWidth="1"/>
    <col min="31" max="31" width="4.5703125" customWidth="1"/>
    <col min="40" max="43" width="9.28515625" style="22" bestFit="1" customWidth="1"/>
    <col min="47" max="47" width="11.85546875" customWidth="1"/>
    <col min="48" max="48" width="15.42578125" customWidth="1"/>
    <col min="49" max="49" width="12.5703125" customWidth="1"/>
    <col min="50" max="50" width="14.85546875" customWidth="1"/>
    <col min="51" max="51" width="10" customWidth="1"/>
    <col min="54" max="54" width="11.28515625" customWidth="1"/>
    <col min="55" max="55" width="16.140625" customWidth="1"/>
    <col min="57" max="57" width="11" customWidth="1"/>
    <col min="60" max="60" width="11.85546875" customWidth="1"/>
    <col min="61" max="61" width="11" customWidth="1"/>
    <col min="64" max="64" width="10.7109375" customWidth="1"/>
    <col min="65" max="65" width="10.28515625" customWidth="1"/>
    <col min="66" max="66" width="11.140625" customWidth="1"/>
    <col min="68" max="69" width="10.42578125" customWidth="1"/>
    <col min="72" max="72" width="12.28515625" customWidth="1"/>
    <col min="76" max="76" width="10.5703125" customWidth="1"/>
    <col min="86" max="86" width="10.140625" customWidth="1"/>
    <col min="87" max="87" width="10" customWidth="1"/>
    <col min="88" max="88" width="10.85546875" customWidth="1"/>
    <col min="89" max="89" width="9.140625" customWidth="1"/>
    <col min="91" max="91" width="10.28515625" customWidth="1"/>
    <col min="97" max="97" width="12.42578125" customWidth="1"/>
    <col min="107" max="107" width="10.140625" customWidth="1"/>
    <col min="108" max="108" width="10.42578125" style="472" customWidth="1"/>
    <col min="109" max="109" width="9.140625" style="478"/>
    <col min="110" max="110" width="10" style="478" customWidth="1"/>
    <col min="111" max="111" width="11" style="472" customWidth="1"/>
    <col min="113" max="114" width="9.140625" style="478"/>
    <col min="115" max="116" width="10" customWidth="1"/>
    <col min="119" max="119" width="10.5703125" style="469" customWidth="1"/>
    <col min="120" max="120" width="10.85546875" style="466" customWidth="1"/>
    <col min="122" max="122" width="11.5703125" customWidth="1"/>
    <col min="127" max="127" width="9.140625" style="478"/>
    <col min="128" max="128" width="9.7109375" style="478" customWidth="1"/>
    <col min="129" max="129" width="11.28515625" style="472" customWidth="1"/>
    <col min="131" max="131" width="9.140625" style="478"/>
    <col min="132" max="132" width="10" customWidth="1"/>
    <col min="133" max="133" width="10.28515625" style="469" customWidth="1"/>
    <col min="134" max="134" width="10.85546875" style="466" customWidth="1"/>
    <col min="136" max="136" width="12" customWidth="1"/>
    <col min="141" max="141" width="9.140625" style="466"/>
    <col min="143" max="164" width="11.28515625" customWidth="1"/>
    <col min="165" max="165" width="5.42578125" customWidth="1"/>
    <col min="171" max="171" width="11.85546875" customWidth="1"/>
    <col min="178" max="178" width="10.42578125" customWidth="1"/>
    <col min="179" max="180" width="10.28515625" customWidth="1"/>
    <col min="184" max="184" width="12.140625" bestFit="1" customWidth="1"/>
    <col min="186" max="186" width="12.140625" bestFit="1" customWidth="1"/>
  </cols>
  <sheetData>
    <row r="1" spans="1:192" ht="15.75" thickBot="1" x14ac:dyDescent="0.3">
      <c r="C1" t="s">
        <v>289</v>
      </c>
      <c r="D1" t="s">
        <v>368</v>
      </c>
      <c r="F1" t="s">
        <v>369</v>
      </c>
      <c r="H1" t="s">
        <v>309</v>
      </c>
      <c r="Q1" t="s">
        <v>321</v>
      </c>
      <c r="AF1" t="s">
        <v>26</v>
      </c>
      <c r="AN1" s="22" t="s">
        <v>375</v>
      </c>
      <c r="EM1" s="656" t="s">
        <v>683</v>
      </c>
      <c r="EN1" s="656"/>
      <c r="EO1" s="656"/>
      <c r="EP1" s="656"/>
      <c r="EQ1" s="656"/>
      <c r="ER1" s="656"/>
      <c r="ES1" s="656"/>
      <c r="ET1" s="656"/>
      <c r="EU1" s="656"/>
      <c r="EV1" s="656"/>
      <c r="EW1" s="656"/>
      <c r="EX1" s="656"/>
      <c r="EY1" s="656"/>
      <c r="EZ1" s="656"/>
      <c r="FA1" s="656"/>
      <c r="FB1" s="656"/>
      <c r="FC1" s="656"/>
      <c r="FD1" s="656"/>
      <c r="FE1" s="656"/>
      <c r="FF1" s="656"/>
      <c r="FG1" s="656"/>
    </row>
    <row r="2" spans="1:192" ht="15.75" thickBot="1" x14ac:dyDescent="0.3">
      <c r="B2" s="166">
        <v>1938</v>
      </c>
      <c r="C2">
        <v>271.89999999999998</v>
      </c>
      <c r="D2">
        <v>15174</v>
      </c>
      <c r="E2">
        <f>D2/1000</f>
        <v>15.173999999999999</v>
      </c>
      <c r="F2">
        <f>C2-E2</f>
        <v>256.726</v>
      </c>
      <c r="AO2" s="22" t="s">
        <v>194</v>
      </c>
      <c r="BO2" s="739" t="s">
        <v>1039</v>
      </c>
      <c r="BP2" s="740"/>
      <c r="BQ2" s="740"/>
      <c r="BR2" s="740"/>
      <c r="BS2" s="740"/>
      <c r="BT2" s="740"/>
      <c r="BU2" s="740"/>
      <c r="BV2" s="740"/>
      <c r="BW2" s="740"/>
      <c r="BX2" s="740"/>
      <c r="BY2" s="740"/>
      <c r="BZ2" s="740"/>
      <c r="CA2" s="740"/>
      <c r="CB2" s="740"/>
      <c r="CC2" s="740"/>
      <c r="CD2" s="740"/>
      <c r="CE2" s="741"/>
      <c r="CG2" s="739" t="s">
        <v>1061</v>
      </c>
      <c r="CH2" s="740"/>
      <c r="CI2" s="740"/>
      <c r="CJ2" s="740"/>
      <c r="CK2" s="740"/>
      <c r="CL2" s="740"/>
      <c r="CM2" s="740"/>
      <c r="CN2" s="740"/>
      <c r="CO2" s="740"/>
      <c r="CP2" s="740"/>
      <c r="CQ2" s="740"/>
      <c r="CR2" s="740"/>
      <c r="CS2" s="740"/>
      <c r="CT2" s="740"/>
      <c r="CU2" s="740"/>
      <c r="CV2" s="740"/>
      <c r="CW2" s="740"/>
      <c r="CX2" s="740"/>
      <c r="CY2" s="741"/>
      <c r="DA2" s="739" t="s">
        <v>1084</v>
      </c>
      <c r="DB2" s="740"/>
      <c r="DC2" s="740"/>
      <c r="DD2" s="740"/>
      <c r="DE2" s="740"/>
      <c r="DF2" s="740"/>
      <c r="DG2" s="740"/>
      <c r="DH2" s="740"/>
      <c r="DI2" s="740"/>
      <c r="DJ2" s="740"/>
      <c r="DK2" s="740"/>
      <c r="DL2" s="740"/>
      <c r="DM2" s="740"/>
      <c r="DN2" s="740"/>
      <c r="DO2" s="740"/>
      <c r="DP2" s="740"/>
      <c r="DQ2" s="740"/>
      <c r="DR2" s="740"/>
      <c r="DS2" s="740"/>
      <c r="DT2" s="741"/>
      <c r="DV2" s="716" t="s">
        <v>1098</v>
      </c>
      <c r="DW2" s="716"/>
      <c r="DX2" s="716"/>
      <c r="DY2" s="716"/>
      <c r="DZ2" s="716"/>
      <c r="EA2" s="716"/>
      <c r="EB2" s="716"/>
      <c r="EC2" s="716"/>
      <c r="ED2" s="716"/>
      <c r="EE2" s="716"/>
      <c r="EF2" s="716"/>
      <c r="EG2" s="716"/>
      <c r="EH2" s="716"/>
      <c r="EI2" s="716"/>
      <c r="EJ2" s="716"/>
      <c r="EK2" s="716"/>
      <c r="EL2" s="716"/>
      <c r="EM2" s="656"/>
      <c r="EN2" s="656"/>
      <c r="EO2" s="656"/>
      <c r="EP2" s="656"/>
      <c r="EQ2" s="656"/>
      <c r="ER2" s="656"/>
      <c r="ES2" s="656"/>
      <c r="ET2" s="656"/>
      <c r="EU2" s="656"/>
      <c r="EV2" s="656"/>
      <c r="EW2" s="656"/>
      <c r="EX2" s="656"/>
      <c r="EY2" s="656"/>
      <c r="EZ2" s="656"/>
      <c r="FA2" s="656"/>
      <c r="FB2" s="656"/>
      <c r="FC2" s="656"/>
      <c r="FD2" s="656"/>
      <c r="FE2" s="656"/>
      <c r="FF2" s="656"/>
      <c r="FG2" s="656"/>
    </row>
    <row r="3" spans="1:192" ht="15.75" customHeight="1" x14ac:dyDescent="0.3">
      <c r="A3" s="17"/>
      <c r="B3" s="166">
        <v>1939</v>
      </c>
      <c r="C3">
        <v>184.2</v>
      </c>
      <c r="D3">
        <v>14383</v>
      </c>
      <c r="E3">
        <f t="shared" ref="E3:E63" si="0">D3/1000</f>
        <v>14.382999999999999</v>
      </c>
      <c r="F3">
        <f t="shared" ref="F3:F63" si="1">C3-E3</f>
        <v>169.81699999999998</v>
      </c>
      <c r="S3" t="s">
        <v>314</v>
      </c>
      <c r="U3" t="s">
        <v>317</v>
      </c>
      <c r="X3" t="s">
        <v>322</v>
      </c>
      <c r="Y3" t="s">
        <v>324</v>
      </c>
      <c r="Z3" t="s">
        <v>320</v>
      </c>
      <c r="AA3" t="s">
        <v>327</v>
      </c>
      <c r="AB3" t="s">
        <v>329</v>
      </c>
      <c r="AC3" t="s">
        <v>333</v>
      </c>
      <c r="AF3" t="s">
        <v>336</v>
      </c>
      <c r="AG3" t="s">
        <v>338</v>
      </c>
      <c r="AH3" t="s">
        <v>340</v>
      </c>
      <c r="AK3" t="s">
        <v>361</v>
      </c>
      <c r="AL3" t="s">
        <v>362</v>
      </c>
      <c r="AN3" s="247" t="s">
        <v>376</v>
      </c>
      <c r="AO3" s="248" t="s">
        <v>377</v>
      </c>
      <c r="AP3" s="248" t="s">
        <v>378</v>
      </c>
      <c r="AQ3" s="248" t="s">
        <v>379</v>
      </c>
      <c r="EM3" s="372" t="s">
        <v>704</v>
      </c>
      <c r="FI3" s="656" t="s">
        <v>749</v>
      </c>
      <c r="FJ3" s="656"/>
      <c r="FK3" s="656"/>
      <c r="FL3" s="656"/>
      <c r="FM3" s="656"/>
      <c r="FN3" s="656"/>
      <c r="FO3" s="656"/>
      <c r="FP3" s="656"/>
      <c r="FQ3" s="656"/>
      <c r="FR3" s="656"/>
      <c r="FS3" s="656"/>
      <c r="FT3" s="656"/>
      <c r="FU3" s="656"/>
      <c r="FV3" s="656"/>
      <c r="FW3" s="656"/>
      <c r="FX3" s="656"/>
      <c r="FY3" s="656"/>
      <c r="FZ3" s="656"/>
      <c r="GA3" s="656"/>
      <c r="GB3" s="656"/>
      <c r="GC3" s="656"/>
      <c r="GD3" s="656"/>
      <c r="GE3" s="656"/>
      <c r="GF3" s="656"/>
      <c r="GG3" s="656"/>
      <c r="GH3" s="656"/>
      <c r="GI3" s="656"/>
      <c r="GJ3" s="656"/>
    </row>
    <row r="4" spans="1:192" x14ac:dyDescent="0.25">
      <c r="B4" s="166">
        <v>1940</v>
      </c>
      <c r="C4">
        <v>164.4</v>
      </c>
      <c r="D4">
        <v>11870</v>
      </c>
      <c r="E4">
        <f t="shared" si="0"/>
        <v>11.87</v>
      </c>
      <c r="F4">
        <f t="shared" si="1"/>
        <v>152.53</v>
      </c>
      <c r="S4" s="211" t="s">
        <v>315</v>
      </c>
      <c r="T4" t="s">
        <v>316</v>
      </c>
      <c r="U4" t="s">
        <v>318</v>
      </c>
      <c r="V4" t="s">
        <v>319</v>
      </c>
      <c r="W4" t="s">
        <v>320</v>
      </c>
      <c r="X4" t="s">
        <v>323</v>
      </c>
      <c r="Y4" t="s">
        <v>325</v>
      </c>
      <c r="Z4" t="s">
        <v>326</v>
      </c>
      <c r="AA4" t="s">
        <v>328</v>
      </c>
      <c r="AB4" t="s">
        <v>330</v>
      </c>
      <c r="AC4" t="s">
        <v>334</v>
      </c>
      <c r="AD4" t="s">
        <v>335</v>
      </c>
      <c r="AF4" t="s">
        <v>337</v>
      </c>
      <c r="AG4" t="s">
        <v>339</v>
      </c>
      <c r="AH4" t="s">
        <v>334</v>
      </c>
      <c r="AK4" t="s">
        <v>333</v>
      </c>
      <c r="AL4" t="s">
        <v>363</v>
      </c>
      <c r="BO4" t="s">
        <v>427</v>
      </c>
      <c r="FI4" t="s">
        <v>748</v>
      </c>
    </row>
    <row r="5" spans="1:192" ht="16.149999999999999" customHeight="1" thickBot="1" x14ac:dyDescent="0.3">
      <c r="B5" s="166">
        <v>1941</v>
      </c>
      <c r="C5">
        <v>131.5</v>
      </c>
      <c r="D5">
        <v>17911</v>
      </c>
      <c r="E5">
        <f t="shared" si="0"/>
        <v>17.911000000000001</v>
      </c>
      <c r="F5">
        <f t="shared" si="1"/>
        <v>113.589</v>
      </c>
      <c r="Q5" s="202">
        <v>1990</v>
      </c>
      <c r="R5" s="757">
        <v>47.6</v>
      </c>
      <c r="S5" s="758"/>
      <c r="T5" s="203">
        <v>18.600000000000001</v>
      </c>
      <c r="U5" s="203">
        <v>18.5</v>
      </c>
      <c r="V5" s="204">
        <v>0.4</v>
      </c>
      <c r="W5" s="203">
        <v>9.6999999999999993</v>
      </c>
      <c r="X5" s="203">
        <v>88.8</v>
      </c>
      <c r="Y5" s="203">
        <v>10.8</v>
      </c>
      <c r="Z5" s="203">
        <v>2</v>
      </c>
      <c r="AA5" s="204">
        <v>11.6</v>
      </c>
      <c r="AB5" s="205">
        <v>208</v>
      </c>
      <c r="AK5">
        <v>2900</v>
      </c>
      <c r="AL5" s="241">
        <f t="shared" ref="AL5:AL27" si="2">AK5/1000/AB5</f>
        <v>1.3942307692307691E-2</v>
      </c>
      <c r="BP5" s="753" t="s">
        <v>420</v>
      </c>
      <c r="BQ5" s="701"/>
      <c r="BR5" s="701"/>
      <c r="BS5" s="701"/>
      <c r="BT5" s="718"/>
      <c r="BU5" s="753" t="s">
        <v>421</v>
      </c>
      <c r="BV5" s="701"/>
      <c r="BW5" s="701"/>
      <c r="BX5" s="701"/>
      <c r="BY5" s="718"/>
      <c r="BZ5" s="753" t="s">
        <v>422</v>
      </c>
      <c r="CA5" s="701"/>
      <c r="CB5" s="701"/>
      <c r="CC5" s="701"/>
      <c r="CD5" s="701"/>
      <c r="CE5" s="718"/>
      <c r="FI5" t="s">
        <v>700</v>
      </c>
    </row>
    <row r="6" spans="1:192" ht="18" x14ac:dyDescent="0.25">
      <c r="B6" s="166">
        <v>1942</v>
      </c>
      <c r="C6">
        <v>83.8</v>
      </c>
      <c r="D6">
        <v>12401</v>
      </c>
      <c r="E6">
        <f t="shared" si="0"/>
        <v>12.401</v>
      </c>
      <c r="F6">
        <f t="shared" si="1"/>
        <v>71.399000000000001</v>
      </c>
      <c r="Q6" s="202">
        <v>1991</v>
      </c>
      <c r="R6" s="757">
        <v>327.10000000000002</v>
      </c>
      <c r="S6" s="758"/>
      <c r="T6" s="203">
        <v>80.400000000000006</v>
      </c>
      <c r="U6" s="203">
        <v>209.5</v>
      </c>
      <c r="V6" s="204">
        <v>1.1000000000000001</v>
      </c>
      <c r="W6" s="203">
        <v>29.4</v>
      </c>
      <c r="X6" s="203">
        <v>243.3</v>
      </c>
      <c r="Y6" s="203">
        <v>26.4</v>
      </c>
      <c r="Z6" s="203">
        <v>5.5</v>
      </c>
      <c r="AA6" s="204">
        <v>58.9</v>
      </c>
      <c r="AB6" s="205">
        <v>981.5</v>
      </c>
      <c r="AK6">
        <v>12800</v>
      </c>
      <c r="AL6" s="241">
        <f t="shared" si="2"/>
        <v>1.30412633723892E-2</v>
      </c>
      <c r="AT6" s="742" t="s">
        <v>1044</v>
      </c>
      <c r="AU6" s="742"/>
      <c r="AV6" s="742"/>
      <c r="AW6" s="742"/>
      <c r="AX6" s="742"/>
      <c r="AY6" s="742"/>
      <c r="AZ6" s="742"/>
      <c r="BA6" s="742"/>
      <c r="BB6" s="742"/>
      <c r="BC6" s="742"/>
      <c r="BP6" t="s">
        <v>44</v>
      </c>
      <c r="BQ6" t="s">
        <v>44</v>
      </c>
      <c r="BR6" t="s">
        <v>44</v>
      </c>
      <c r="BS6" t="s">
        <v>423</v>
      </c>
      <c r="BT6" t="s">
        <v>423</v>
      </c>
      <c r="BU6" t="s">
        <v>44</v>
      </c>
      <c r="BV6" t="s">
        <v>44</v>
      </c>
      <c r="BW6" t="s">
        <v>44</v>
      </c>
      <c r="BX6" t="s">
        <v>423</v>
      </c>
      <c r="BY6" t="s">
        <v>423</v>
      </c>
      <c r="BZ6" t="s">
        <v>44</v>
      </c>
      <c r="CA6" t="s">
        <v>44</v>
      </c>
      <c r="CB6" t="s">
        <v>44</v>
      </c>
      <c r="CC6" t="s">
        <v>423</v>
      </c>
      <c r="CD6" t="s">
        <v>423</v>
      </c>
      <c r="CE6" t="s">
        <v>424</v>
      </c>
      <c r="CG6" t="s">
        <v>1045</v>
      </c>
      <c r="CX6" t="s">
        <v>454</v>
      </c>
      <c r="DA6" t="s">
        <v>1083</v>
      </c>
      <c r="DV6" t="s">
        <v>1085</v>
      </c>
      <c r="EM6" s="373" t="s">
        <v>705</v>
      </c>
      <c r="EN6" s="702" t="s">
        <v>706</v>
      </c>
      <c r="EO6" s="703"/>
      <c r="EP6" s="703"/>
      <c r="EQ6" s="703"/>
      <c r="ER6" s="703"/>
      <c r="ES6" s="703"/>
      <c r="ET6" s="703"/>
      <c r="EU6" s="703"/>
      <c r="EV6" s="703"/>
      <c r="EW6" s="703"/>
      <c r="EX6" s="703"/>
      <c r="EY6" s="703"/>
      <c r="EZ6" s="703"/>
      <c r="FA6" s="703"/>
      <c r="FB6" s="703"/>
      <c r="FC6" s="703"/>
      <c r="FD6" s="703"/>
      <c r="FE6" s="704"/>
      <c r="FF6" s="374"/>
      <c r="FG6" s="374"/>
      <c r="FH6" s="374"/>
    </row>
    <row r="7" spans="1:192" ht="18" customHeight="1" thickBot="1" x14ac:dyDescent="0.3">
      <c r="B7" s="166">
        <v>1943</v>
      </c>
      <c r="C7">
        <v>80.900000000000006</v>
      </c>
      <c r="D7">
        <v>2547</v>
      </c>
      <c r="E7">
        <f t="shared" si="0"/>
        <v>2.5470000000000002</v>
      </c>
      <c r="F7">
        <f t="shared" si="1"/>
        <v>78.353000000000009</v>
      </c>
      <c r="Q7" s="202">
        <v>1992</v>
      </c>
      <c r="R7" s="757">
        <v>38.200000000000003</v>
      </c>
      <c r="S7" s="758"/>
      <c r="T7" s="203">
        <v>15.8</v>
      </c>
      <c r="U7" s="203">
        <v>43.1</v>
      </c>
      <c r="V7" s="204">
        <v>0.6</v>
      </c>
      <c r="W7" s="203">
        <v>8.4</v>
      </c>
      <c r="X7" s="203">
        <v>86.9</v>
      </c>
      <c r="Y7" s="203">
        <v>9.4</v>
      </c>
      <c r="Z7" s="203">
        <v>5.2</v>
      </c>
      <c r="AA7" s="204">
        <v>17.8</v>
      </c>
      <c r="AB7" s="205">
        <v>225.4</v>
      </c>
      <c r="AK7">
        <v>1000</v>
      </c>
      <c r="AL7" s="241">
        <f t="shared" si="2"/>
        <v>4.4365572315882874E-3</v>
      </c>
      <c r="AT7" s="17"/>
      <c r="AU7" s="17"/>
      <c r="AV7" s="17"/>
      <c r="AW7" s="17"/>
      <c r="AX7" s="17"/>
      <c r="AY7" s="17"/>
      <c r="AZ7" s="17"/>
      <c r="BA7" s="17"/>
      <c r="BB7" s="17"/>
      <c r="BC7" s="17"/>
      <c r="BO7" s="25" t="s">
        <v>387</v>
      </c>
      <c r="BP7" s="25" t="s">
        <v>398</v>
      </c>
      <c r="BQ7" s="25" t="s">
        <v>425</v>
      </c>
      <c r="BR7" s="25" t="s">
        <v>399</v>
      </c>
      <c r="BS7" s="25" t="s">
        <v>398</v>
      </c>
      <c r="BT7" s="25" t="s">
        <v>399</v>
      </c>
      <c r="BU7" s="25" t="s">
        <v>398</v>
      </c>
      <c r="BV7" s="25" t="s">
        <v>425</v>
      </c>
      <c r="BW7" s="25" t="s">
        <v>399</v>
      </c>
      <c r="BX7" s="25" t="s">
        <v>398</v>
      </c>
      <c r="BY7" s="25" t="s">
        <v>399</v>
      </c>
      <c r="BZ7" s="25" t="s">
        <v>398</v>
      </c>
      <c r="CA7" s="25" t="s">
        <v>425</v>
      </c>
      <c r="CB7" s="25" t="s">
        <v>399</v>
      </c>
      <c r="CC7" s="25" t="s">
        <v>398</v>
      </c>
      <c r="CD7" s="25" t="s">
        <v>399</v>
      </c>
      <c r="CE7" s="25" t="s">
        <v>379</v>
      </c>
      <c r="CG7" t="s">
        <v>387</v>
      </c>
      <c r="CH7" s="464" t="s">
        <v>1046</v>
      </c>
      <c r="CI7" s="464" t="s">
        <v>1047</v>
      </c>
      <c r="CJ7" s="465" t="s">
        <v>1048</v>
      </c>
      <c r="CK7" s="464" t="s">
        <v>1049</v>
      </c>
      <c r="CL7" s="464" t="s">
        <v>1050</v>
      </c>
      <c r="CM7" s="464" t="s">
        <v>1051</v>
      </c>
      <c r="CN7" s="464" t="s">
        <v>1052</v>
      </c>
      <c r="CO7" s="464" t="s">
        <v>1053</v>
      </c>
      <c r="CP7" s="464" t="s">
        <v>1054</v>
      </c>
      <c r="CQ7" s="464" t="s">
        <v>1055</v>
      </c>
      <c r="CR7" s="464" t="s">
        <v>1056</v>
      </c>
      <c r="CS7" s="464" t="s">
        <v>1057</v>
      </c>
      <c r="CT7" s="464" t="s">
        <v>1058</v>
      </c>
      <c r="CU7" s="464" t="s">
        <v>1059</v>
      </c>
      <c r="CV7" s="464" t="s">
        <v>1060</v>
      </c>
      <c r="CW7" s="464"/>
      <c r="CX7" s="464" t="s">
        <v>398</v>
      </c>
      <c r="CY7" s="464" t="s">
        <v>399</v>
      </c>
      <c r="DA7" s="25" t="s">
        <v>387</v>
      </c>
      <c r="DB7" s="464" t="s">
        <v>1065</v>
      </c>
      <c r="DC7" s="464" t="s">
        <v>1066</v>
      </c>
      <c r="DD7" s="473" t="s">
        <v>1067</v>
      </c>
      <c r="DE7" s="480" t="s">
        <v>1068</v>
      </c>
      <c r="DF7" s="480" t="s">
        <v>1069</v>
      </c>
      <c r="DG7" s="473" t="s">
        <v>1070</v>
      </c>
      <c r="DH7" s="464" t="s">
        <v>1071</v>
      </c>
      <c r="DI7" s="480" t="s">
        <v>1072</v>
      </c>
      <c r="DJ7" s="480" t="s">
        <v>1073</v>
      </c>
      <c r="DK7" s="464" t="s">
        <v>1074</v>
      </c>
      <c r="DL7" s="464" t="s">
        <v>1075</v>
      </c>
      <c r="DM7" s="464" t="s">
        <v>1076</v>
      </c>
      <c r="DN7" s="464" t="s">
        <v>1077</v>
      </c>
      <c r="DO7" s="470" t="s">
        <v>1078</v>
      </c>
      <c r="DP7" s="467" t="s">
        <v>1079</v>
      </c>
      <c r="DQ7" s="464"/>
      <c r="DR7" s="464" t="s">
        <v>1080</v>
      </c>
      <c r="DS7" s="464" t="s">
        <v>1081</v>
      </c>
      <c r="DT7" s="464" t="s">
        <v>1082</v>
      </c>
      <c r="DU7" s="25"/>
      <c r="DV7" s="25"/>
      <c r="DW7" s="480" t="s">
        <v>1086</v>
      </c>
      <c r="DX7" s="480" t="s">
        <v>1087</v>
      </c>
      <c r="DY7" s="473" t="s">
        <v>1088</v>
      </c>
      <c r="DZ7" s="464" t="s">
        <v>1089</v>
      </c>
      <c r="EA7" s="480" t="s">
        <v>1090</v>
      </c>
      <c r="EB7" s="464" t="s">
        <v>1091</v>
      </c>
      <c r="EC7" s="470" t="s">
        <v>1092</v>
      </c>
      <c r="ED7" s="467" t="s">
        <v>1093</v>
      </c>
      <c r="EE7" s="464"/>
      <c r="EF7" s="464" t="s">
        <v>1094</v>
      </c>
      <c r="EG7" s="464" t="s">
        <v>1095</v>
      </c>
      <c r="EH7" s="464" t="s">
        <v>1082</v>
      </c>
      <c r="EI7" s="464"/>
      <c r="EJ7" s="464" t="s">
        <v>1096</v>
      </c>
      <c r="EK7" s="467" t="s">
        <v>1097</v>
      </c>
      <c r="EL7" s="58"/>
      <c r="EM7" s="375"/>
      <c r="EN7" s="376"/>
      <c r="EO7" s="377"/>
      <c r="EP7" s="377"/>
      <c r="EQ7" s="377"/>
      <c r="ER7" s="377"/>
      <c r="ES7" s="377"/>
      <c r="ET7" s="377"/>
      <c r="EU7" s="377"/>
      <c r="EV7" s="377"/>
      <c r="EW7" s="377"/>
      <c r="EX7" s="377"/>
      <c r="EY7" s="377"/>
      <c r="EZ7" s="377"/>
      <c r="FA7" s="377"/>
      <c r="FB7" s="377"/>
      <c r="FC7" s="377"/>
      <c r="FD7" s="377"/>
      <c r="FE7" s="378"/>
      <c r="FF7" s="379"/>
      <c r="FG7" s="379"/>
      <c r="FH7" s="379"/>
      <c r="GJ7" s="364"/>
    </row>
    <row r="8" spans="1:192" ht="16.5" customHeight="1" thickBot="1" x14ac:dyDescent="0.3">
      <c r="B8" s="166">
        <v>1947</v>
      </c>
      <c r="C8">
        <v>176.2</v>
      </c>
      <c r="D8">
        <v>11174</v>
      </c>
      <c r="E8">
        <f t="shared" si="0"/>
        <v>11.173999999999999</v>
      </c>
      <c r="F8">
        <f t="shared" si="1"/>
        <v>165.02599999999998</v>
      </c>
      <c r="Q8" s="202">
        <v>1996</v>
      </c>
      <c r="R8" s="757">
        <v>5.8</v>
      </c>
      <c r="S8" s="758"/>
      <c r="T8" s="203">
        <v>20.399999999999999</v>
      </c>
      <c r="U8" s="203">
        <v>4.5</v>
      </c>
      <c r="V8" s="204">
        <v>0.3</v>
      </c>
      <c r="W8" s="203">
        <v>3.6</v>
      </c>
      <c r="X8" s="203">
        <v>62.2</v>
      </c>
      <c r="Y8" s="203">
        <v>4.0999999999999996</v>
      </c>
      <c r="Z8" s="203">
        <v>0.6</v>
      </c>
      <c r="AA8" s="204">
        <v>15.7</v>
      </c>
      <c r="AB8" s="205">
        <v>117.1</v>
      </c>
      <c r="AK8">
        <v>700</v>
      </c>
      <c r="AL8" s="241">
        <f t="shared" si="2"/>
        <v>5.9777967549103327E-3</v>
      </c>
      <c r="AT8" s="754" t="s">
        <v>1043</v>
      </c>
      <c r="AU8" s="755"/>
      <c r="AV8" s="755"/>
      <c r="AW8" s="755"/>
      <c r="AX8" s="755"/>
      <c r="AY8" s="755"/>
      <c r="AZ8" s="755"/>
      <c r="BA8" s="755"/>
      <c r="BB8" s="755"/>
      <c r="BC8" s="755"/>
      <c r="BD8" s="755"/>
      <c r="BE8" s="755"/>
      <c r="BF8" s="755"/>
      <c r="BG8" s="755"/>
      <c r="BH8" s="755"/>
      <c r="BI8" s="756"/>
      <c r="BO8">
        <v>2008</v>
      </c>
      <c r="BP8" s="47">
        <v>220279</v>
      </c>
      <c r="BQ8" s="47">
        <v>92</v>
      </c>
      <c r="BR8" s="47">
        <v>160094</v>
      </c>
      <c r="BS8" s="47">
        <v>12442.054027385777</v>
      </c>
      <c r="BT8" s="47">
        <v>15867.814622287875</v>
      </c>
      <c r="BU8" s="47">
        <v>39755.01</v>
      </c>
      <c r="BV8" s="47">
        <v>47280</v>
      </c>
      <c r="BW8" s="47">
        <v>24953.989999999998</v>
      </c>
      <c r="BX8" s="47">
        <v>0</v>
      </c>
      <c r="BY8" s="47">
        <v>0</v>
      </c>
      <c r="BZ8" s="47">
        <v>260034.01</v>
      </c>
      <c r="CA8" s="47">
        <v>47372</v>
      </c>
      <c r="CB8" s="47">
        <v>185047.99</v>
      </c>
      <c r="CC8" s="47">
        <v>12442.054027385777</v>
      </c>
      <c r="CD8" s="47">
        <v>15867.814622287875</v>
      </c>
      <c r="CE8" s="47">
        <v>520763.86864967365</v>
      </c>
      <c r="CF8" s="47"/>
      <c r="CG8">
        <v>2008</v>
      </c>
      <c r="CH8" s="47">
        <v>131225</v>
      </c>
      <c r="CI8" s="47">
        <v>92</v>
      </c>
      <c r="CJ8" s="47">
        <v>4048</v>
      </c>
      <c r="CK8" s="47">
        <v>1277</v>
      </c>
      <c r="CL8" s="47">
        <v>727</v>
      </c>
      <c r="CM8" s="47">
        <v>108</v>
      </c>
      <c r="CN8" s="47">
        <v>1952</v>
      </c>
      <c r="CO8" s="47">
        <v>8486.0540273857769</v>
      </c>
      <c r="CP8" s="47">
        <v>15759.814622287875</v>
      </c>
      <c r="CQ8" s="47">
        <v>109568</v>
      </c>
      <c r="CR8" s="47">
        <v>85006</v>
      </c>
      <c r="CS8" s="47">
        <v>50526</v>
      </c>
      <c r="CT8" s="47">
        <v>376417</v>
      </c>
      <c r="CU8" s="47">
        <v>32357.868649673652</v>
      </c>
      <c r="CV8" s="47">
        <v>408774.86864967365</v>
      </c>
      <c r="CW8" s="47"/>
      <c r="CX8" s="47">
        <v>232813.05402738578</v>
      </c>
      <c r="CY8" s="47">
        <v>175961.81462228787</v>
      </c>
      <c r="DA8">
        <v>2008</v>
      </c>
      <c r="DB8" s="47"/>
      <c r="DC8" s="47"/>
      <c r="DD8" s="474">
        <v>47280</v>
      </c>
      <c r="DE8" s="479">
        <v>7458.51</v>
      </c>
      <c r="DF8" s="479">
        <v>1291</v>
      </c>
      <c r="DG8" s="474">
        <v>4414.5</v>
      </c>
      <c r="DH8" s="47"/>
      <c r="DI8" s="479">
        <v>14558</v>
      </c>
      <c r="DJ8" s="479">
        <v>12033</v>
      </c>
      <c r="DK8" s="47"/>
      <c r="DL8" s="47"/>
      <c r="DM8" s="47"/>
      <c r="DN8" s="47"/>
      <c r="DO8" s="471">
        <v>2757</v>
      </c>
      <c r="DP8" s="468">
        <v>13563.252589794292</v>
      </c>
      <c r="DQ8" s="47"/>
      <c r="DR8" s="47">
        <v>65257.752589794291</v>
      </c>
      <c r="DS8" s="47">
        <v>38097.51</v>
      </c>
      <c r="DT8" s="47">
        <v>103355.26258979429</v>
      </c>
      <c r="DU8" s="47"/>
      <c r="DV8" s="47">
        <v>2008</v>
      </c>
      <c r="DW8" s="479">
        <v>1114.49</v>
      </c>
      <c r="DX8" s="479">
        <v>957</v>
      </c>
      <c r="DY8" s="474">
        <v>8692.5</v>
      </c>
      <c r="DZ8" s="47"/>
      <c r="EA8" s="479">
        <v>14190</v>
      </c>
      <c r="EB8" s="47"/>
      <c r="EC8" s="471">
        <v>0</v>
      </c>
      <c r="ED8" s="468">
        <v>8061.7474102057076</v>
      </c>
      <c r="EE8" s="47"/>
      <c r="EF8" s="47">
        <v>16754.247410205709</v>
      </c>
      <c r="EG8" s="47">
        <v>16261.49</v>
      </c>
      <c r="EH8" s="47">
        <v>33015.737410205707</v>
      </c>
      <c r="EI8" s="47"/>
      <c r="EJ8" s="47">
        <v>0.62720243189800196</v>
      </c>
      <c r="EK8" s="468">
        <v>21625</v>
      </c>
      <c r="EL8" s="47"/>
      <c r="EM8" s="380" t="s">
        <v>707</v>
      </c>
      <c r="EN8" s="705" t="s">
        <v>708</v>
      </c>
      <c r="EO8" s="706"/>
      <c r="EP8" s="706"/>
      <c r="EQ8" s="706"/>
      <c r="ER8" s="706"/>
      <c r="ES8" s="707"/>
      <c r="ET8" s="705" t="s">
        <v>61</v>
      </c>
      <c r="EU8" s="706"/>
      <c r="EV8" s="706"/>
      <c r="EW8" s="706"/>
      <c r="EX8" s="706"/>
      <c r="EY8" s="707"/>
      <c r="EZ8" s="705" t="s">
        <v>709</v>
      </c>
      <c r="FA8" s="706"/>
      <c r="FB8" s="706"/>
      <c r="FC8" s="706"/>
      <c r="FD8" s="706"/>
      <c r="FE8" s="706"/>
      <c r="FF8" s="708" t="s">
        <v>396</v>
      </c>
      <c r="FG8" s="709"/>
      <c r="FH8" s="388"/>
      <c r="FI8" s="2"/>
      <c r="FJ8" s="698" t="s">
        <v>675</v>
      </c>
      <c r="FK8" s="698"/>
      <c r="FL8" s="698"/>
      <c r="FM8" s="698"/>
      <c r="FN8" s="364" t="s">
        <v>703</v>
      </c>
      <c r="FO8" s="2"/>
      <c r="FP8" s="698" t="s">
        <v>676</v>
      </c>
      <c r="FQ8" s="641"/>
      <c r="FR8" s="641"/>
      <c r="FS8" s="641"/>
      <c r="FT8" s="364" t="s">
        <v>703</v>
      </c>
      <c r="FU8" s="2"/>
      <c r="FV8" s="698" t="s">
        <v>396</v>
      </c>
      <c r="FW8" s="698"/>
      <c r="FX8" s="698"/>
      <c r="FZ8" s="698" t="s">
        <v>677</v>
      </c>
      <c r="GA8" s="698"/>
      <c r="GB8" s="698"/>
      <c r="GC8" s="698"/>
      <c r="GD8" s="364" t="s">
        <v>703</v>
      </c>
      <c r="GE8" s="2"/>
      <c r="GF8" s="698" t="s">
        <v>678</v>
      </c>
      <c r="GG8" s="641"/>
      <c r="GH8" s="641"/>
      <c r="GI8" s="641"/>
      <c r="GJ8" s="364" t="s">
        <v>703</v>
      </c>
    </row>
    <row r="9" spans="1:192" ht="15.75" thickBot="1" x14ac:dyDescent="0.3">
      <c r="B9" s="166">
        <v>1948</v>
      </c>
      <c r="C9">
        <v>134.5</v>
      </c>
      <c r="D9">
        <v>4081</v>
      </c>
      <c r="E9">
        <f t="shared" si="0"/>
        <v>4.0810000000000004</v>
      </c>
      <c r="F9">
        <f t="shared" si="1"/>
        <v>130.41900000000001</v>
      </c>
      <c r="Q9" s="202">
        <v>1997</v>
      </c>
      <c r="R9" s="757">
        <v>3.8</v>
      </c>
      <c r="S9" s="758"/>
      <c r="T9" s="203">
        <v>16.7</v>
      </c>
      <c r="U9" s="203">
        <v>20.399999999999999</v>
      </c>
      <c r="V9" s="204">
        <v>0.8</v>
      </c>
      <c r="W9" s="203">
        <v>10.8</v>
      </c>
      <c r="X9" s="203">
        <v>69.7</v>
      </c>
      <c r="Y9" s="203">
        <v>7.1</v>
      </c>
      <c r="Z9" s="203">
        <v>2.8</v>
      </c>
      <c r="AA9" s="204">
        <v>24.3</v>
      </c>
      <c r="AB9" s="205">
        <v>156.4</v>
      </c>
      <c r="AK9">
        <v>600</v>
      </c>
      <c r="AL9" s="241">
        <f t="shared" si="2"/>
        <v>3.8363171355498718E-3</v>
      </c>
      <c r="AN9" s="249">
        <v>1946</v>
      </c>
      <c r="AO9" s="251">
        <v>0</v>
      </c>
      <c r="AP9" s="251">
        <v>0</v>
      </c>
      <c r="AQ9" s="251">
        <v>0</v>
      </c>
      <c r="AU9" s="224" t="s">
        <v>1035</v>
      </c>
      <c r="AV9" s="641" t="s">
        <v>1034</v>
      </c>
      <c r="AW9" s="641"/>
      <c r="AX9" s="2" t="s">
        <v>1130</v>
      </c>
      <c r="AY9" s="224" t="s">
        <v>1135</v>
      </c>
      <c r="AZ9" s="641" t="s">
        <v>432</v>
      </c>
      <c r="BA9" s="641"/>
      <c r="BB9" s="641"/>
      <c r="BC9" s="2" t="s">
        <v>1131</v>
      </c>
      <c r="BE9" s="641" t="s">
        <v>1143</v>
      </c>
      <c r="BF9" s="641"/>
      <c r="BH9" s="641" t="s">
        <v>1144</v>
      </c>
      <c r="BI9" s="641"/>
      <c r="BP9">
        <v>2009</v>
      </c>
      <c r="BQ9" s="47">
        <v>303934</v>
      </c>
      <c r="BR9" s="47">
        <v>1607.0000000000002</v>
      </c>
      <c r="BS9" s="47">
        <v>205075</v>
      </c>
      <c r="BT9" s="47">
        <v>18173</v>
      </c>
      <c r="BU9" s="47">
        <v>18483</v>
      </c>
      <c r="BV9" s="47">
        <v>85634.62</v>
      </c>
      <c r="BW9" s="47">
        <v>80412</v>
      </c>
      <c r="BX9" s="47">
        <v>46842.380000000005</v>
      </c>
      <c r="BY9" s="47">
        <v>0</v>
      </c>
      <c r="BZ9" s="47">
        <v>0</v>
      </c>
      <c r="CA9" s="47">
        <v>389568.62</v>
      </c>
      <c r="CB9" s="47">
        <v>82019</v>
      </c>
      <c r="CC9" s="47">
        <v>251917.38</v>
      </c>
      <c r="CD9" s="47">
        <v>18173</v>
      </c>
      <c r="CE9" s="47">
        <v>18483</v>
      </c>
      <c r="CF9" s="47">
        <v>760161</v>
      </c>
      <c r="CH9">
        <v>2009</v>
      </c>
      <c r="CI9" s="47">
        <v>143078</v>
      </c>
      <c r="CJ9" s="47">
        <v>1607.0000000000002</v>
      </c>
      <c r="CK9" s="47">
        <v>25298</v>
      </c>
      <c r="CL9" s="47">
        <v>1493</v>
      </c>
      <c r="CM9" s="47">
        <v>4247</v>
      </c>
      <c r="CN9" s="47">
        <v>1214</v>
      </c>
      <c r="CO9" s="47">
        <v>3134</v>
      </c>
      <c r="CP9" s="47">
        <v>9299</v>
      </c>
      <c r="CQ9" s="47">
        <v>17269</v>
      </c>
      <c r="CR9" s="47">
        <v>115762</v>
      </c>
      <c r="CS9" s="47">
        <v>135558</v>
      </c>
      <c r="CT9" s="47">
        <v>89313</v>
      </c>
      <c r="CU9" s="47">
        <v>485318</v>
      </c>
      <c r="CV9" s="47">
        <v>61954</v>
      </c>
      <c r="CW9" s="47">
        <v>547272</v>
      </c>
      <c r="CX9" s="47"/>
      <c r="CY9" s="47">
        <v>323714</v>
      </c>
      <c r="CZ9" s="47">
        <v>223558</v>
      </c>
      <c r="DA9">
        <v>2009</v>
      </c>
      <c r="DC9" s="47"/>
      <c r="DD9" s="474">
        <v>80412</v>
      </c>
      <c r="DE9" s="479">
        <v>41869.620000000003</v>
      </c>
      <c r="DF9" s="479">
        <v>2148</v>
      </c>
      <c r="DG9" s="474">
        <v>20736</v>
      </c>
      <c r="DH9" s="47"/>
      <c r="DI9" s="479">
        <v>10635</v>
      </c>
      <c r="DJ9" s="479">
        <v>10246</v>
      </c>
      <c r="DK9" s="47"/>
      <c r="DL9" s="47"/>
      <c r="DM9" s="47"/>
      <c r="DN9" s="47"/>
      <c r="DO9" s="471">
        <v>5231</v>
      </c>
      <c r="DP9" s="468">
        <v>5365.7508438171217</v>
      </c>
      <c r="DQ9" s="47"/>
      <c r="DR9" s="47">
        <v>106513.75084381712</v>
      </c>
      <c r="DS9" s="47">
        <v>70129.62</v>
      </c>
      <c r="DT9" s="47">
        <v>176643.37084381713</v>
      </c>
      <c r="DU9" s="47"/>
      <c r="DV9" s="47">
        <v>2009</v>
      </c>
      <c r="DW9" s="479">
        <v>6256.38</v>
      </c>
      <c r="DX9" s="479">
        <v>1841</v>
      </c>
      <c r="DY9" s="474">
        <v>23081</v>
      </c>
      <c r="DZ9" s="47"/>
      <c r="EA9" s="479">
        <v>15664</v>
      </c>
      <c r="EB9" s="47"/>
      <c r="EC9" s="471">
        <v>0</v>
      </c>
      <c r="ED9" s="468">
        <v>3535.2491561828783</v>
      </c>
      <c r="EE9" s="47"/>
      <c r="EF9" s="47">
        <v>26616.249156182879</v>
      </c>
      <c r="EG9" s="47">
        <v>23761.38</v>
      </c>
      <c r="EH9" s="47">
        <v>50377.629156182884</v>
      </c>
      <c r="EI9" s="47"/>
      <c r="EJ9" s="47">
        <v>0.60282562002214601</v>
      </c>
      <c r="EK9" s="468">
        <v>8901</v>
      </c>
      <c r="EM9" s="386" t="s">
        <v>387</v>
      </c>
      <c r="EN9" s="382" t="s">
        <v>679</v>
      </c>
      <c r="EO9" s="387" t="s">
        <v>680</v>
      </c>
      <c r="EP9" s="387" t="s">
        <v>681</v>
      </c>
      <c r="EQ9" s="387" t="s">
        <v>710</v>
      </c>
      <c r="ER9" s="387" t="s">
        <v>711</v>
      </c>
      <c r="ES9" s="383" t="s">
        <v>10</v>
      </c>
      <c r="ET9" s="382" t="s">
        <v>679</v>
      </c>
      <c r="EU9" s="387" t="s">
        <v>680</v>
      </c>
      <c r="EV9" s="387" t="s">
        <v>681</v>
      </c>
      <c r="EW9" s="387" t="s">
        <v>710</v>
      </c>
      <c r="EX9" s="387" t="s">
        <v>711</v>
      </c>
      <c r="EY9" s="383" t="s">
        <v>10</v>
      </c>
      <c r="EZ9" s="382" t="s">
        <v>679</v>
      </c>
      <c r="FA9" s="387" t="s">
        <v>680</v>
      </c>
      <c r="FB9" s="387" t="s">
        <v>681</v>
      </c>
      <c r="FC9" s="387" t="s">
        <v>710</v>
      </c>
      <c r="FD9" s="387" t="s">
        <v>711</v>
      </c>
      <c r="FE9" s="383" t="s">
        <v>10</v>
      </c>
      <c r="FF9" s="382" t="s">
        <v>398</v>
      </c>
      <c r="FG9" s="383" t="s">
        <v>399</v>
      </c>
      <c r="FH9" s="381"/>
      <c r="FI9" s="337" t="s">
        <v>387</v>
      </c>
      <c r="FJ9" s="365" t="s">
        <v>679</v>
      </c>
      <c r="FK9" s="365" t="s">
        <v>680</v>
      </c>
      <c r="FL9" s="365" t="s">
        <v>682</v>
      </c>
      <c r="FM9" s="365" t="s">
        <v>10</v>
      </c>
      <c r="FN9" s="365" t="s">
        <v>702</v>
      </c>
      <c r="FO9" s="224"/>
      <c r="FP9" s="365" t="s">
        <v>679</v>
      </c>
      <c r="FQ9" s="365" t="s">
        <v>680</v>
      </c>
      <c r="FR9" s="365" t="s">
        <v>682</v>
      </c>
      <c r="FS9" s="365" t="s">
        <v>10</v>
      </c>
      <c r="FT9" s="365" t="s">
        <v>702</v>
      </c>
      <c r="FU9" s="337"/>
      <c r="FV9" s="365" t="s">
        <v>44</v>
      </c>
      <c r="FW9" s="365" t="s">
        <v>423</v>
      </c>
      <c r="FX9" s="365" t="s">
        <v>10</v>
      </c>
      <c r="FY9" s="337"/>
      <c r="FZ9" s="365" t="s">
        <v>679</v>
      </c>
      <c r="GA9" s="365" t="s">
        <v>680</v>
      </c>
      <c r="GB9" s="365" t="s">
        <v>682</v>
      </c>
      <c r="GC9" s="365" t="s">
        <v>10</v>
      </c>
      <c r="GD9" s="365" t="s">
        <v>702</v>
      </c>
      <c r="GE9" s="337"/>
      <c r="GF9" s="365" t="s">
        <v>679</v>
      </c>
      <c r="GG9" s="365" t="s">
        <v>680</v>
      </c>
      <c r="GH9" s="365" t="s">
        <v>682</v>
      </c>
      <c r="GI9" s="365" t="s">
        <v>10</v>
      </c>
      <c r="GJ9" s="365" t="s">
        <v>702</v>
      </c>
    </row>
    <row r="10" spans="1:192" x14ac:dyDescent="0.25">
      <c r="B10" s="166">
        <v>1949</v>
      </c>
      <c r="C10">
        <v>100.7</v>
      </c>
      <c r="D10">
        <v>1003</v>
      </c>
      <c r="E10">
        <f t="shared" si="0"/>
        <v>1.0029999999999999</v>
      </c>
      <c r="F10">
        <f t="shared" si="1"/>
        <v>99.697000000000003</v>
      </c>
      <c r="Q10" s="202">
        <v>1998</v>
      </c>
      <c r="R10" s="757">
        <v>0.3</v>
      </c>
      <c r="S10" s="758"/>
      <c r="T10" s="203">
        <v>22.8</v>
      </c>
      <c r="U10" s="203">
        <v>3.2</v>
      </c>
      <c r="V10" s="204">
        <v>3.7</v>
      </c>
      <c r="W10" s="203">
        <v>3</v>
      </c>
      <c r="X10" s="203">
        <v>87.9</v>
      </c>
      <c r="Y10" s="203">
        <v>7.5</v>
      </c>
      <c r="Z10" s="203">
        <v>1.3</v>
      </c>
      <c r="AA10" s="204">
        <v>46.3</v>
      </c>
      <c r="AB10" s="205">
        <v>175.9</v>
      </c>
      <c r="AK10">
        <v>1500</v>
      </c>
      <c r="AL10" s="241">
        <f t="shared" si="2"/>
        <v>8.5275724843661173E-3</v>
      </c>
      <c r="AN10" s="249">
        <v>1947</v>
      </c>
      <c r="AO10" s="253">
        <v>0</v>
      </c>
      <c r="AP10" s="253">
        <v>0</v>
      </c>
      <c r="AQ10" s="253">
        <v>0</v>
      </c>
      <c r="AT10" s="408" t="s">
        <v>387</v>
      </c>
      <c r="AU10" s="337" t="s">
        <v>404</v>
      </c>
      <c r="AV10" s="337" t="s">
        <v>1130</v>
      </c>
      <c r="AW10" s="337" t="s">
        <v>1134</v>
      </c>
      <c r="AX10" s="337" t="s">
        <v>1136</v>
      </c>
      <c r="AY10" s="337" t="s">
        <v>1037</v>
      </c>
      <c r="AZ10" s="337" t="s">
        <v>353</v>
      </c>
      <c r="BA10" s="337" t="s">
        <v>1133</v>
      </c>
      <c r="BB10" s="337" t="s">
        <v>137</v>
      </c>
      <c r="BC10" s="337" t="s">
        <v>1132</v>
      </c>
      <c r="BD10" s="25"/>
      <c r="BE10" s="337" t="s">
        <v>828</v>
      </c>
      <c r="BF10" s="337" t="s">
        <v>353</v>
      </c>
      <c r="BG10" s="25"/>
      <c r="BH10" s="337" t="s">
        <v>828</v>
      </c>
      <c r="BI10" s="337" t="s">
        <v>353</v>
      </c>
      <c r="BP10">
        <v>2010</v>
      </c>
      <c r="BQ10" s="47">
        <v>150436</v>
      </c>
      <c r="BR10" s="47">
        <v>1307</v>
      </c>
      <c r="BS10" s="47">
        <v>178293</v>
      </c>
      <c r="BT10" s="47">
        <v>13901.2</v>
      </c>
      <c r="BU10" s="47">
        <v>14325.800000000001</v>
      </c>
      <c r="BV10" s="47">
        <v>21924.6</v>
      </c>
      <c r="BW10" s="47">
        <v>57367</v>
      </c>
      <c r="BX10" s="47">
        <v>28975.4</v>
      </c>
      <c r="BY10" s="47">
        <v>0</v>
      </c>
      <c r="BZ10" s="47">
        <v>0</v>
      </c>
      <c r="CA10" s="47">
        <v>172360.6</v>
      </c>
      <c r="CB10" s="47">
        <v>58674</v>
      </c>
      <c r="CC10" s="47">
        <v>207268.4</v>
      </c>
      <c r="CD10" s="47">
        <v>13901.2</v>
      </c>
      <c r="CE10" s="47">
        <v>14325.800000000001</v>
      </c>
      <c r="CF10" s="47">
        <v>466530</v>
      </c>
      <c r="CH10">
        <v>2010</v>
      </c>
      <c r="CI10" s="47">
        <v>74125</v>
      </c>
      <c r="CJ10" s="47">
        <v>1307</v>
      </c>
      <c r="CK10" s="47">
        <v>20103</v>
      </c>
      <c r="CL10" s="47">
        <v>901</v>
      </c>
      <c r="CM10" s="47">
        <v>761</v>
      </c>
      <c r="CN10" s="47">
        <v>577</v>
      </c>
      <c r="CO10" s="47">
        <v>4836</v>
      </c>
      <c r="CP10" s="47">
        <v>7403.2</v>
      </c>
      <c r="CQ10" s="47">
        <v>13748.800000000001</v>
      </c>
      <c r="CR10" s="47">
        <v>113828</v>
      </c>
      <c r="CS10" s="47">
        <v>56208</v>
      </c>
      <c r="CT10" s="47">
        <v>64465</v>
      </c>
      <c r="CU10" s="47">
        <v>309933</v>
      </c>
      <c r="CV10" s="47">
        <v>48330</v>
      </c>
      <c r="CW10" s="47">
        <v>358263</v>
      </c>
      <c r="CX10" s="47"/>
      <c r="CY10" s="47">
        <v>165644.20000000001</v>
      </c>
      <c r="CZ10" s="47">
        <v>192618.8</v>
      </c>
      <c r="DA10">
        <v>2010</v>
      </c>
      <c r="DC10" s="47"/>
      <c r="DD10" s="474">
        <v>57367</v>
      </c>
      <c r="DE10" s="479">
        <v>6942.6</v>
      </c>
      <c r="DF10" s="479">
        <v>675</v>
      </c>
      <c r="DG10" s="474">
        <v>3015</v>
      </c>
      <c r="DH10" s="47"/>
      <c r="DI10" s="479">
        <v>5251</v>
      </c>
      <c r="DJ10" s="479">
        <v>6041</v>
      </c>
      <c r="DK10" s="47"/>
      <c r="DL10" s="47"/>
      <c r="DM10" s="47"/>
      <c r="DN10" s="47"/>
      <c r="DO10" s="471">
        <v>2853</v>
      </c>
      <c r="DP10" s="468">
        <v>3308.4900847745557</v>
      </c>
      <c r="DQ10" s="47"/>
      <c r="DR10" s="47">
        <v>63690.490084774559</v>
      </c>
      <c r="DS10" s="47">
        <v>21762.6</v>
      </c>
      <c r="DT10" s="47">
        <v>85453.090084774565</v>
      </c>
      <c r="DU10" s="47"/>
      <c r="DV10" s="47">
        <v>2010</v>
      </c>
      <c r="DW10" s="479">
        <v>1037.4000000000001</v>
      </c>
      <c r="DX10" s="479">
        <v>909</v>
      </c>
      <c r="DY10" s="474">
        <v>15905</v>
      </c>
      <c r="DZ10" s="47"/>
      <c r="EA10" s="479">
        <v>11124</v>
      </c>
      <c r="EB10" s="47"/>
      <c r="EC10" s="471">
        <v>0</v>
      </c>
      <c r="ED10" s="468">
        <v>3794.5099152254443</v>
      </c>
      <c r="EE10" s="47"/>
      <c r="EF10" s="47">
        <v>19699.509915225444</v>
      </c>
      <c r="EG10" s="47">
        <v>13070.4</v>
      </c>
      <c r="EH10" s="47">
        <v>32769.909915225442</v>
      </c>
      <c r="EI10" s="47"/>
      <c r="EJ10" s="47">
        <v>0.46578770727503249</v>
      </c>
      <c r="EK10" s="468">
        <v>7103</v>
      </c>
      <c r="EM10">
        <v>1986</v>
      </c>
      <c r="EN10">
        <v>11776</v>
      </c>
      <c r="EO10">
        <v>25532</v>
      </c>
      <c r="EP10">
        <v>151756</v>
      </c>
      <c r="EQ10">
        <v>346801</v>
      </c>
      <c r="ER10">
        <v>260458</v>
      </c>
      <c r="ES10">
        <v>796323</v>
      </c>
      <c r="ET10">
        <v>4536</v>
      </c>
      <c r="EU10">
        <v>11588</v>
      </c>
      <c r="EV10">
        <v>72324</v>
      </c>
      <c r="EW10">
        <v>80024</v>
      </c>
      <c r="EX10">
        <v>19809</v>
      </c>
      <c r="EY10">
        <v>188281</v>
      </c>
      <c r="EZ10">
        <v>16312</v>
      </c>
      <c r="FA10">
        <v>37120</v>
      </c>
      <c r="FB10">
        <v>224080</v>
      </c>
      <c r="FC10">
        <v>426825</v>
      </c>
      <c r="FD10">
        <v>280267</v>
      </c>
      <c r="FE10">
        <v>984604</v>
      </c>
      <c r="FF10">
        <v>1029568</v>
      </c>
      <c r="FG10">
        <v>1271827</v>
      </c>
      <c r="FI10">
        <v>1986</v>
      </c>
      <c r="FJ10" s="47">
        <f t="shared" ref="FJ10:FJ22" si="3">EN10+ET10+EN81</f>
        <v>62082</v>
      </c>
      <c r="FK10" s="47">
        <f t="shared" ref="FK10:FK22" si="4">EO10+EU10+EO81</f>
        <v>232146</v>
      </c>
      <c r="FL10" s="47">
        <f t="shared" ref="FL10:FL22" si="5">EP10+EV10+EP81</f>
        <v>357360</v>
      </c>
      <c r="FM10" s="47">
        <f>SUM(FJ10:FL10)</f>
        <v>651588</v>
      </c>
      <c r="FN10" s="47">
        <f>FK10+FL10</f>
        <v>589506</v>
      </c>
      <c r="FO10" s="47"/>
      <c r="FP10" s="47">
        <f t="shared" ref="FP10:FP22" si="6">EN45+ET45+EZ45</f>
        <v>6471</v>
      </c>
      <c r="FQ10" s="47">
        <f t="shared" ref="FQ10:FQ22" si="7">EO45+EU45+FA45</f>
        <v>26168</v>
      </c>
      <c r="FR10" s="47">
        <f t="shared" ref="FR10:FR22" si="8">EP45+EV45+FB45</f>
        <v>25475</v>
      </c>
      <c r="FS10" s="47">
        <f>SUM(FP10:FR10)</f>
        <v>58114</v>
      </c>
      <c r="FT10" s="47">
        <f>FQ10+FR10</f>
        <v>51643</v>
      </c>
      <c r="FU10" s="47"/>
      <c r="FV10" s="47">
        <f t="shared" ref="FV10:FV22" si="9">ES10+EY10+ES81</f>
        <v>2113380</v>
      </c>
      <c r="FW10" s="47">
        <f t="shared" ref="FW10:FW22" si="10">ES45+EY45+FE45</f>
        <v>188015</v>
      </c>
      <c r="FX10" s="47">
        <f>SUM(FV10:FW10)</f>
        <v>2301395</v>
      </c>
      <c r="FZ10" s="242">
        <f t="shared" ref="FZ10:FZ41" si="11">FJ10/FV10</f>
        <v>2.9375692019419128E-2</v>
      </c>
      <c r="GA10" s="242">
        <f t="shared" ref="GA10:GA41" si="12">FK10/FV10</f>
        <v>0.10984583936632314</v>
      </c>
      <c r="GB10" s="242">
        <f t="shared" ref="GB10:GB41" si="13">FL10/FV10</f>
        <v>0.16909405785992107</v>
      </c>
      <c r="GC10" s="242">
        <f t="shared" ref="GC10:GC41" si="14">FM10/FV10</f>
        <v>0.30831558924566332</v>
      </c>
      <c r="GD10" s="242">
        <f t="shared" ref="GD10:GD41" si="15">FN10/FV10</f>
        <v>0.27893989722624424</v>
      </c>
      <c r="GE10" s="47"/>
      <c r="GF10" s="242">
        <f t="shared" ref="GF10:GF41" si="16">FP10/FW10</f>
        <v>3.4417466691487382E-2</v>
      </c>
      <c r="GG10" s="242">
        <f t="shared" ref="GG10:GG41" si="17">FQ10/FW10</f>
        <v>0.1391803845437864</v>
      </c>
      <c r="GH10" s="242">
        <f t="shared" ref="GH10:GH41" si="18">FR10/FW10</f>
        <v>0.13549450841688163</v>
      </c>
      <c r="GI10" s="242">
        <f t="shared" ref="GI10:GI41" si="19">FS10/FW10</f>
        <v>0.30909235965215542</v>
      </c>
      <c r="GJ10" s="242">
        <f t="shared" ref="GJ10:GJ41" si="20">FT10/FW10</f>
        <v>0.27467489296066805</v>
      </c>
    </row>
    <row r="11" spans="1:192" x14ac:dyDescent="0.25">
      <c r="B11" s="166">
        <v>1950</v>
      </c>
      <c r="C11">
        <v>125.9</v>
      </c>
      <c r="D11">
        <v>10151</v>
      </c>
      <c r="E11">
        <f t="shared" si="0"/>
        <v>10.151</v>
      </c>
      <c r="F11">
        <f t="shared" si="1"/>
        <v>115.74900000000001</v>
      </c>
      <c r="Q11" s="202">
        <v>1999</v>
      </c>
      <c r="R11" s="757">
        <v>57.6</v>
      </c>
      <c r="S11" s="758"/>
      <c r="T11" s="203">
        <v>21.5</v>
      </c>
      <c r="U11" s="203">
        <v>9</v>
      </c>
      <c r="V11" s="204">
        <v>1.3</v>
      </c>
      <c r="W11" s="203">
        <v>18.600000000000001</v>
      </c>
      <c r="X11" s="203">
        <v>124.5</v>
      </c>
      <c r="Y11" s="203">
        <v>14.9</v>
      </c>
      <c r="Z11" s="203">
        <v>1</v>
      </c>
      <c r="AA11" s="204">
        <v>40.700000000000003</v>
      </c>
      <c r="AB11" s="205">
        <v>289.10000000000002</v>
      </c>
      <c r="AK11">
        <v>2300</v>
      </c>
      <c r="AL11" s="241">
        <f t="shared" si="2"/>
        <v>7.955724662746454E-3</v>
      </c>
      <c r="AN11" s="249">
        <v>1948</v>
      </c>
      <c r="AO11" s="253">
        <v>0</v>
      </c>
      <c r="AP11" s="253">
        <v>0</v>
      </c>
      <c r="AQ11" s="253">
        <v>0</v>
      </c>
      <c r="AR11" s="47"/>
      <c r="AS11" s="47"/>
      <c r="AT11" s="2">
        <v>2008</v>
      </c>
      <c r="AU11" s="47">
        <f>BS8+BT8</f>
        <v>28309.868649673652</v>
      </c>
      <c r="AV11" s="47">
        <f t="shared" ref="AV11:AV20" si="21">AX11*BB11</f>
        <v>913.22156934431132</v>
      </c>
      <c r="AW11" s="242">
        <f>AV11/AY11</f>
        <v>3.125E-2</v>
      </c>
      <c r="AX11" s="268">
        <v>0.03</v>
      </c>
      <c r="AY11" s="47">
        <f>BB11-AZ11</f>
        <v>29223.090219017962</v>
      </c>
      <c r="AZ11" s="47">
        <f>BA11*BB11</f>
        <v>1217.6287591257485</v>
      </c>
      <c r="BA11" s="242">
        <v>0.04</v>
      </c>
      <c r="BB11" s="47">
        <f t="shared" ref="BB11:BB20" si="22">AU11/(1-BC11)</f>
        <v>30440.718978143712</v>
      </c>
      <c r="BC11" s="268">
        <v>7.0000000000000007E-2</v>
      </c>
      <c r="BE11" s="242">
        <f>BA11*(GF10/GI10)</f>
        <v>4.454004198644044E-3</v>
      </c>
      <c r="BF11" s="47">
        <f>BE11*BB11</f>
        <v>135.58309013839553</v>
      </c>
      <c r="BH11" s="242">
        <f>BA11*(GJ10/GI10)</f>
        <v>3.5545995801355958E-2</v>
      </c>
      <c r="BI11" s="47">
        <f>BH11*BB11</f>
        <v>1082.0456689873531</v>
      </c>
      <c r="BK11" s="242"/>
      <c r="BP11">
        <v>2011</v>
      </c>
      <c r="BQ11" s="47">
        <v>166410</v>
      </c>
      <c r="BR11" s="47">
        <v>2810</v>
      </c>
      <c r="BS11" s="47">
        <v>88938</v>
      </c>
      <c r="BT11" s="47">
        <v>15796.199999999999</v>
      </c>
      <c r="BU11" s="47">
        <v>16187.800000000001</v>
      </c>
      <c r="BV11" s="47">
        <v>19309.18</v>
      </c>
      <c r="BW11" s="47">
        <v>48787</v>
      </c>
      <c r="BX11" s="47">
        <v>19811.82</v>
      </c>
      <c r="BY11" s="47">
        <v>0</v>
      </c>
      <c r="BZ11" s="47">
        <v>0</v>
      </c>
      <c r="CA11" s="47">
        <v>185719.18</v>
      </c>
      <c r="CB11" s="47">
        <v>51597</v>
      </c>
      <c r="CC11" s="47">
        <v>108749.82</v>
      </c>
      <c r="CD11" s="47">
        <v>15796.199999999999</v>
      </c>
      <c r="CE11" s="47">
        <v>16187.800000000001</v>
      </c>
      <c r="CF11" s="47">
        <v>378050</v>
      </c>
      <c r="CH11">
        <v>2011</v>
      </c>
      <c r="CI11" s="47">
        <v>45325.000000000007</v>
      </c>
      <c r="CJ11" s="47">
        <v>2810</v>
      </c>
      <c r="CK11" s="47">
        <v>3394</v>
      </c>
      <c r="CL11" s="47">
        <v>3494</v>
      </c>
      <c r="CM11" s="47">
        <v>1445</v>
      </c>
      <c r="CN11" s="47">
        <v>372</v>
      </c>
      <c r="CO11" s="47">
        <v>2341</v>
      </c>
      <c r="CP11" s="47">
        <v>8516.1999999999989</v>
      </c>
      <c r="CQ11" s="47">
        <v>15815.800000000001</v>
      </c>
      <c r="CR11" s="47">
        <v>60135</v>
      </c>
      <c r="CS11" s="47">
        <v>117691</v>
      </c>
      <c r="CT11" s="47">
        <v>28803</v>
      </c>
      <c r="CU11" s="47">
        <v>254764</v>
      </c>
      <c r="CV11" s="47">
        <v>35378</v>
      </c>
      <c r="CW11" s="47">
        <v>290142</v>
      </c>
      <c r="CX11" s="47"/>
      <c r="CY11" s="47">
        <v>185016.2</v>
      </c>
      <c r="CZ11" s="47">
        <v>105125.8</v>
      </c>
      <c r="DA11">
        <v>2011</v>
      </c>
      <c r="DC11" s="47"/>
      <c r="DD11" s="474">
        <v>48787</v>
      </c>
      <c r="DE11" s="479">
        <v>6624.18</v>
      </c>
      <c r="DF11" s="479">
        <v>906</v>
      </c>
      <c r="DG11" s="474">
        <v>6189</v>
      </c>
      <c r="DH11" s="47"/>
      <c r="DI11" s="479">
        <v>2819</v>
      </c>
      <c r="DJ11" s="479">
        <v>2771</v>
      </c>
      <c r="DK11" s="47"/>
      <c r="DL11" s="47"/>
      <c r="DM11" s="47"/>
      <c r="DN11" s="47"/>
      <c r="DO11" s="471">
        <v>3056</v>
      </c>
      <c r="DP11" s="468">
        <v>26719.76305514219</v>
      </c>
      <c r="DQ11" s="47"/>
      <c r="DR11" s="47">
        <v>81695.76305514219</v>
      </c>
      <c r="DS11" s="47">
        <v>16176.18</v>
      </c>
      <c r="DT11" s="47">
        <v>97871.943055142183</v>
      </c>
      <c r="DU11" s="47"/>
      <c r="DV11" s="47">
        <v>2011</v>
      </c>
      <c r="DW11" s="479">
        <v>989.82</v>
      </c>
      <c r="DX11" s="479">
        <v>761</v>
      </c>
      <c r="DY11" s="474">
        <v>7293</v>
      </c>
      <c r="DZ11" s="47"/>
      <c r="EA11" s="479">
        <v>10768</v>
      </c>
      <c r="EB11" s="47"/>
      <c r="EC11" s="471">
        <v>0</v>
      </c>
      <c r="ED11" s="468">
        <v>6539.2369448578102</v>
      </c>
      <c r="EE11" s="47"/>
      <c r="EF11" s="47">
        <v>13832.23694485781</v>
      </c>
      <c r="EG11" s="47">
        <v>12518.82</v>
      </c>
      <c r="EH11" s="47">
        <v>26351.05694485781</v>
      </c>
      <c r="EI11" s="47"/>
      <c r="EJ11" s="47">
        <v>0.80338443895313116</v>
      </c>
      <c r="EK11" s="468">
        <v>33259</v>
      </c>
      <c r="EM11">
        <v>1987</v>
      </c>
      <c r="EN11">
        <v>12233</v>
      </c>
      <c r="EO11">
        <v>28108</v>
      </c>
      <c r="EP11">
        <v>168170</v>
      </c>
      <c r="EQ11">
        <v>114134</v>
      </c>
      <c r="ER11">
        <v>56830</v>
      </c>
      <c r="ES11">
        <v>379475</v>
      </c>
      <c r="ET11">
        <v>601</v>
      </c>
      <c r="EU11">
        <v>1319</v>
      </c>
      <c r="EV11">
        <v>12688</v>
      </c>
      <c r="EW11">
        <v>9052</v>
      </c>
      <c r="EX11">
        <v>988</v>
      </c>
      <c r="EY11">
        <v>24648</v>
      </c>
      <c r="EZ11">
        <v>12834</v>
      </c>
      <c r="FA11">
        <v>29427</v>
      </c>
      <c r="FB11">
        <v>180858</v>
      </c>
      <c r="FC11">
        <v>123186</v>
      </c>
      <c r="FD11">
        <v>57818</v>
      </c>
      <c r="FE11">
        <v>404123</v>
      </c>
      <c r="FF11">
        <v>433405</v>
      </c>
      <c r="FG11">
        <v>243189</v>
      </c>
      <c r="FI11">
        <v>1987</v>
      </c>
      <c r="FJ11" s="47">
        <f t="shared" si="3"/>
        <v>22091</v>
      </c>
      <c r="FK11" s="47">
        <f t="shared" si="4"/>
        <v>88510</v>
      </c>
      <c r="FL11" s="47">
        <f t="shared" si="5"/>
        <v>213660</v>
      </c>
      <c r="FM11" s="47">
        <f t="shared" ref="FM11:FM41" si="23">SUM(FJ11:FL11)</f>
        <v>324261</v>
      </c>
      <c r="FN11" s="47">
        <f t="shared" ref="FN11:FN41" si="24">FK11+FL11</f>
        <v>302170</v>
      </c>
      <c r="FO11" s="47"/>
      <c r="FP11" s="47">
        <f t="shared" si="6"/>
        <v>2196</v>
      </c>
      <c r="FQ11" s="47">
        <f t="shared" si="7"/>
        <v>10156</v>
      </c>
      <c r="FR11" s="47">
        <f t="shared" si="8"/>
        <v>17416</v>
      </c>
      <c r="FS11" s="47">
        <f t="shared" ref="FS11:FS41" si="25">SUM(FP11:FR11)</f>
        <v>29768</v>
      </c>
      <c r="FT11" s="47">
        <f t="shared" ref="FT11:FT41" si="26">FQ11+FR11</f>
        <v>27572</v>
      </c>
      <c r="FU11" s="47"/>
      <c r="FV11" s="47">
        <f t="shared" si="9"/>
        <v>618363</v>
      </c>
      <c r="FW11" s="47">
        <f t="shared" si="10"/>
        <v>58231</v>
      </c>
      <c r="FX11" s="47">
        <f t="shared" ref="FX11:FX41" si="27">SUM(FV11:FW11)</f>
        <v>676594</v>
      </c>
      <c r="FZ11" s="242">
        <f t="shared" si="11"/>
        <v>3.5724970607879193E-2</v>
      </c>
      <c r="GA11" s="242">
        <f t="shared" si="12"/>
        <v>0.1431359897018418</v>
      </c>
      <c r="GB11" s="242">
        <f t="shared" si="13"/>
        <v>0.345525201216761</v>
      </c>
      <c r="GC11" s="242">
        <f t="shared" si="14"/>
        <v>0.52438616152648199</v>
      </c>
      <c r="GD11" s="242">
        <f t="shared" si="15"/>
        <v>0.48866119091860283</v>
      </c>
      <c r="GE11" s="47"/>
      <c r="GF11" s="242">
        <f t="shared" si="16"/>
        <v>3.7711871683467568E-2</v>
      </c>
      <c r="GG11" s="242">
        <f t="shared" si="17"/>
        <v>0.1744088200443063</v>
      </c>
      <c r="GH11" s="242">
        <f t="shared" si="18"/>
        <v>0.29908467998145316</v>
      </c>
      <c r="GI11" s="242">
        <f t="shared" si="19"/>
        <v>0.51120537170922709</v>
      </c>
      <c r="GJ11" s="242">
        <f t="shared" si="20"/>
        <v>0.47349350002575946</v>
      </c>
    </row>
    <row r="12" spans="1:192" x14ac:dyDescent="0.25">
      <c r="B12" s="166">
        <v>1951</v>
      </c>
      <c r="C12">
        <v>112.4</v>
      </c>
      <c r="D12">
        <v>5201</v>
      </c>
      <c r="E12">
        <f t="shared" si="0"/>
        <v>5.2009999999999996</v>
      </c>
      <c r="F12">
        <f t="shared" si="1"/>
        <v>107.19900000000001</v>
      </c>
      <c r="Q12" s="202">
        <v>2000</v>
      </c>
      <c r="R12" s="757">
        <v>110.2</v>
      </c>
      <c r="S12" s="758"/>
      <c r="T12" s="203">
        <v>58.2</v>
      </c>
      <c r="U12" s="203">
        <v>21.5</v>
      </c>
      <c r="V12" s="204">
        <v>1.6</v>
      </c>
      <c r="W12" s="203">
        <v>36.1</v>
      </c>
      <c r="X12" s="203">
        <v>228.6</v>
      </c>
      <c r="Y12" s="203">
        <v>10.3</v>
      </c>
      <c r="Z12" s="203">
        <v>6.2</v>
      </c>
      <c r="AA12" s="204">
        <v>85.6</v>
      </c>
      <c r="AB12" s="205">
        <v>558.29999999999995</v>
      </c>
      <c r="AK12">
        <v>6300</v>
      </c>
      <c r="AL12" s="241">
        <f t="shared" si="2"/>
        <v>1.1284255776464268E-2</v>
      </c>
      <c r="AN12" s="249">
        <v>1949</v>
      </c>
      <c r="AO12" s="253">
        <v>0</v>
      </c>
      <c r="AP12" s="253">
        <v>0</v>
      </c>
      <c r="AQ12" s="253">
        <v>0</v>
      </c>
      <c r="AR12" s="47"/>
      <c r="AS12" s="47"/>
      <c r="AT12" s="2">
        <v>2009</v>
      </c>
      <c r="AU12" s="47">
        <f t="shared" ref="AU12:AU20" si="28">BT9+BU9</f>
        <v>36656</v>
      </c>
      <c r="AV12" s="47">
        <f t="shared" si="21"/>
        <v>4640</v>
      </c>
      <c r="AW12" s="242">
        <f t="shared" ref="AW12:AW20" si="29">AV12/AY12</f>
        <v>0.11235955056179775</v>
      </c>
      <c r="AX12" s="268">
        <v>0.1</v>
      </c>
      <c r="AY12" s="47">
        <f t="shared" ref="AY12:AY20" si="30">BB12-AZ12</f>
        <v>41296</v>
      </c>
      <c r="AZ12" s="47">
        <f t="shared" ref="AZ12:AZ20" si="31">BA12*BB12</f>
        <v>5104</v>
      </c>
      <c r="BA12" s="242">
        <v>0.11</v>
      </c>
      <c r="BB12" s="47">
        <f t="shared" si="22"/>
        <v>46400</v>
      </c>
      <c r="BC12" s="268">
        <v>0.21</v>
      </c>
      <c r="BE12" s="242">
        <f t="shared" ref="BE12:BE20" si="32">BA12*(GF11/GI11)</f>
        <v>8.1147540983606565E-3</v>
      </c>
      <c r="BF12" s="47">
        <f t="shared" ref="BF12:BF20" si="33">BE12*BB12</f>
        <v>376.52459016393448</v>
      </c>
      <c r="BH12" s="242">
        <f t="shared" ref="BH12:BH20" si="34">BA12*(GJ11/GI11)</f>
        <v>0.10188524590163933</v>
      </c>
      <c r="BI12" s="47">
        <f t="shared" ref="BI12:BI20" si="35">BH12*BB12</f>
        <v>4727.4754098360654</v>
      </c>
      <c r="BK12" s="242"/>
      <c r="BP12">
        <v>2012</v>
      </c>
      <c r="BQ12" s="47">
        <v>68670</v>
      </c>
      <c r="BR12" s="47">
        <v>1073</v>
      </c>
      <c r="BS12" s="47">
        <v>33735</v>
      </c>
      <c r="BT12" s="47">
        <v>9376.65</v>
      </c>
      <c r="BU12" s="47">
        <v>10366.35</v>
      </c>
      <c r="BV12" s="47">
        <v>9241.2000000000007</v>
      </c>
      <c r="BW12" s="47">
        <v>14485</v>
      </c>
      <c r="BX12" s="47">
        <v>5428.8</v>
      </c>
      <c r="BY12" s="47">
        <v>0</v>
      </c>
      <c r="BZ12" s="47">
        <v>0</v>
      </c>
      <c r="CA12" s="47">
        <v>77911.199999999997</v>
      </c>
      <c r="CB12" s="47">
        <v>15558</v>
      </c>
      <c r="CC12" s="47">
        <v>39163.800000000003</v>
      </c>
      <c r="CD12" s="47">
        <v>9376.65</v>
      </c>
      <c r="CE12" s="47">
        <v>10366.35</v>
      </c>
      <c r="CF12" s="47">
        <v>152376</v>
      </c>
      <c r="CH12">
        <v>2012</v>
      </c>
      <c r="CI12" s="47">
        <v>21010</v>
      </c>
      <c r="CJ12" s="47">
        <v>1073</v>
      </c>
      <c r="CK12" s="47">
        <v>6573</v>
      </c>
      <c r="CL12" s="47">
        <v>1165</v>
      </c>
      <c r="CM12" s="47">
        <v>1219</v>
      </c>
      <c r="CN12" s="47">
        <v>97</v>
      </c>
      <c r="CO12" s="47">
        <v>1463</v>
      </c>
      <c r="CP12" s="47">
        <v>5529.65</v>
      </c>
      <c r="CQ12" s="47">
        <v>10269.35</v>
      </c>
      <c r="CR12" s="47">
        <v>19859</v>
      </c>
      <c r="CS12" s="47">
        <v>41087</v>
      </c>
      <c r="CT12" s="47">
        <v>13876</v>
      </c>
      <c r="CU12" s="47">
        <v>96905</v>
      </c>
      <c r="CV12" s="47">
        <v>26316</v>
      </c>
      <c r="CW12" s="47">
        <v>123221</v>
      </c>
      <c r="CX12" s="47"/>
      <c r="CY12" s="47">
        <v>79119.649999999994</v>
      </c>
      <c r="CZ12" s="47">
        <v>44101.35</v>
      </c>
      <c r="DA12">
        <v>2012</v>
      </c>
      <c r="DC12" s="47"/>
      <c r="DD12" s="474">
        <v>14485</v>
      </c>
      <c r="DE12" s="479">
        <v>6424.95</v>
      </c>
      <c r="DF12" s="479">
        <v>487.25</v>
      </c>
      <c r="DG12" s="474">
        <v>823</v>
      </c>
      <c r="DH12" s="47"/>
      <c r="DI12" s="479">
        <v>844</v>
      </c>
      <c r="DJ12" s="479">
        <v>662</v>
      </c>
      <c r="DK12" s="47"/>
      <c r="DL12" s="47"/>
      <c r="DM12" s="47"/>
      <c r="DN12" s="47"/>
      <c r="DO12" s="471">
        <v>1971</v>
      </c>
      <c r="DP12" s="468">
        <v>4763.3201244473557</v>
      </c>
      <c r="DQ12" s="47"/>
      <c r="DR12" s="47">
        <v>20071.320124447357</v>
      </c>
      <c r="DS12" s="47">
        <v>10389.200000000001</v>
      </c>
      <c r="DT12" s="47">
        <v>30460.520124447357</v>
      </c>
      <c r="DU12" s="47"/>
      <c r="DV12" s="47">
        <v>2012</v>
      </c>
      <c r="DW12" s="479">
        <v>960.05000000000007</v>
      </c>
      <c r="DX12" s="479">
        <v>396.75</v>
      </c>
      <c r="DY12" s="474">
        <v>1792</v>
      </c>
      <c r="DZ12" s="47"/>
      <c r="EA12" s="479">
        <v>2280</v>
      </c>
      <c r="EB12" s="47"/>
      <c r="EC12" s="471">
        <v>0</v>
      </c>
      <c r="ED12" s="468">
        <v>1608.6798755526443</v>
      </c>
      <c r="EE12" s="47"/>
      <c r="EF12" s="47">
        <v>3400.6798755526443</v>
      </c>
      <c r="EG12" s="47">
        <v>3636.8</v>
      </c>
      <c r="EH12" s="47">
        <v>7037.4798755526444</v>
      </c>
      <c r="EI12" s="47"/>
      <c r="EJ12" s="47">
        <v>0.74753925367974827</v>
      </c>
      <c r="EK12" s="468">
        <v>6372</v>
      </c>
      <c r="EM12">
        <v>1988</v>
      </c>
      <c r="EN12">
        <v>9120</v>
      </c>
      <c r="EO12">
        <v>9217</v>
      </c>
      <c r="EP12">
        <v>210905</v>
      </c>
      <c r="EQ12">
        <v>92958</v>
      </c>
      <c r="ER12">
        <v>76355</v>
      </c>
      <c r="ES12">
        <v>398555</v>
      </c>
      <c r="ET12">
        <v>1984</v>
      </c>
      <c r="EU12">
        <v>1873</v>
      </c>
      <c r="EV12">
        <v>72043</v>
      </c>
      <c r="EW12">
        <v>69180</v>
      </c>
      <c r="EX12">
        <v>3143</v>
      </c>
      <c r="EY12">
        <v>148223</v>
      </c>
      <c r="EZ12">
        <v>11104</v>
      </c>
      <c r="FA12">
        <v>11090</v>
      </c>
      <c r="FB12">
        <v>282948</v>
      </c>
      <c r="FC12">
        <v>162138</v>
      </c>
      <c r="FD12">
        <v>79498</v>
      </c>
      <c r="FE12">
        <v>546778</v>
      </c>
      <c r="FF12">
        <v>588054</v>
      </c>
      <c r="FG12">
        <v>738500</v>
      </c>
      <c r="FI12">
        <v>1988</v>
      </c>
      <c r="FJ12" s="47">
        <f t="shared" si="3"/>
        <v>31365</v>
      </c>
      <c r="FK12" s="47">
        <f t="shared" si="4"/>
        <v>55594</v>
      </c>
      <c r="FL12" s="47">
        <f t="shared" si="5"/>
        <v>498109</v>
      </c>
      <c r="FM12" s="47">
        <f t="shared" si="23"/>
        <v>585068</v>
      </c>
      <c r="FN12" s="47">
        <f t="shared" si="24"/>
        <v>553703</v>
      </c>
      <c r="FO12" s="47"/>
      <c r="FP12" s="47">
        <f t="shared" si="6"/>
        <v>3307</v>
      </c>
      <c r="FQ12" s="47">
        <f t="shared" si="7"/>
        <v>6139</v>
      </c>
      <c r="FR12" s="47">
        <f t="shared" si="8"/>
        <v>46936</v>
      </c>
      <c r="FS12" s="47">
        <f t="shared" si="25"/>
        <v>56382</v>
      </c>
      <c r="FT12" s="47">
        <f t="shared" si="26"/>
        <v>53075</v>
      </c>
      <c r="FU12" s="47"/>
      <c r="FV12" s="47">
        <f t="shared" si="9"/>
        <v>1208230</v>
      </c>
      <c r="FW12" s="47">
        <f t="shared" si="10"/>
        <v>118324</v>
      </c>
      <c r="FX12" s="47">
        <f t="shared" si="27"/>
        <v>1326554</v>
      </c>
      <c r="FZ12" s="242">
        <f t="shared" si="11"/>
        <v>2.5959461360833616E-2</v>
      </c>
      <c r="GA12" s="242">
        <f t="shared" si="12"/>
        <v>4.6012762470721634E-2</v>
      </c>
      <c r="GB12" s="242">
        <f t="shared" si="13"/>
        <v>0.41226339355917335</v>
      </c>
      <c r="GC12" s="242">
        <f t="shared" si="14"/>
        <v>0.48423561739072857</v>
      </c>
      <c r="GD12" s="242">
        <f t="shared" si="15"/>
        <v>0.45827615602989497</v>
      </c>
      <c r="GE12" s="47"/>
      <c r="GF12" s="242">
        <f t="shared" si="16"/>
        <v>2.7948683276427435E-2</v>
      </c>
      <c r="GG12" s="242">
        <f t="shared" si="17"/>
        <v>5.1882965416990633E-2</v>
      </c>
      <c r="GH12" s="242">
        <f t="shared" si="18"/>
        <v>0.3966735404482607</v>
      </c>
      <c r="GI12" s="242">
        <f t="shared" si="19"/>
        <v>0.47650518914167878</v>
      </c>
      <c r="GJ12" s="242">
        <f t="shared" si="20"/>
        <v>0.44855650586525136</v>
      </c>
    </row>
    <row r="13" spans="1:192" x14ac:dyDescent="0.25">
      <c r="B13" s="166">
        <v>1952</v>
      </c>
      <c r="C13">
        <v>126.3</v>
      </c>
      <c r="D13">
        <v>7768</v>
      </c>
      <c r="E13">
        <f t="shared" si="0"/>
        <v>7.7679999999999998</v>
      </c>
      <c r="F13">
        <f t="shared" si="1"/>
        <v>118.532</v>
      </c>
      <c r="Q13" s="202">
        <v>2001</v>
      </c>
      <c r="R13" s="757">
        <v>218.7</v>
      </c>
      <c r="S13" s="758"/>
      <c r="T13" s="203">
        <v>33.700000000000003</v>
      </c>
      <c r="U13" s="203">
        <v>132</v>
      </c>
      <c r="V13" s="204">
        <v>3.1</v>
      </c>
      <c r="W13" s="203">
        <v>74.900000000000006</v>
      </c>
      <c r="X13" s="203">
        <v>377.3</v>
      </c>
      <c r="Y13" s="203">
        <v>21</v>
      </c>
      <c r="Z13" s="203">
        <v>8.1999999999999993</v>
      </c>
      <c r="AA13" s="204">
        <v>259.5</v>
      </c>
      <c r="AB13" s="205">
        <v>1128.3</v>
      </c>
      <c r="AK13">
        <v>5400</v>
      </c>
      <c r="AL13" s="241">
        <f t="shared" si="2"/>
        <v>4.7859611805370914E-3</v>
      </c>
      <c r="AN13" s="254">
        <v>1950</v>
      </c>
      <c r="AO13" s="256">
        <v>0</v>
      </c>
      <c r="AP13" s="256">
        <v>0</v>
      </c>
      <c r="AQ13" s="256">
        <v>0</v>
      </c>
      <c r="AR13" s="47"/>
      <c r="AS13" s="47"/>
      <c r="AT13" s="2">
        <v>2010</v>
      </c>
      <c r="AU13" s="47">
        <f t="shared" si="28"/>
        <v>28227</v>
      </c>
      <c r="AV13" s="47">
        <f t="shared" si="21"/>
        <v>1969.325581395349</v>
      </c>
      <c r="AW13" s="242">
        <f t="shared" si="29"/>
        <v>6.5217391304347824E-2</v>
      </c>
      <c r="AX13" s="268">
        <v>0.06</v>
      </c>
      <c r="AY13" s="47">
        <f t="shared" si="30"/>
        <v>30196.325581395351</v>
      </c>
      <c r="AZ13" s="47">
        <f t="shared" si="31"/>
        <v>2625.7674418604652</v>
      </c>
      <c r="BA13" s="242">
        <v>0.08</v>
      </c>
      <c r="BB13" s="47">
        <f t="shared" si="22"/>
        <v>32822.093023255817</v>
      </c>
      <c r="BC13" s="268">
        <v>0.14000000000000001</v>
      </c>
      <c r="BE13" s="242">
        <f t="shared" si="32"/>
        <v>4.6922776772728879E-3</v>
      </c>
      <c r="BF13" s="47">
        <f t="shared" si="33"/>
        <v>154.01037441439746</v>
      </c>
      <c r="BH13" s="242">
        <f t="shared" si="34"/>
        <v>7.5307722322727116E-2</v>
      </c>
      <c r="BI13" s="47">
        <f t="shared" si="35"/>
        <v>2471.757067446068</v>
      </c>
      <c r="BK13" s="242"/>
      <c r="BP13">
        <v>2013</v>
      </c>
      <c r="BQ13" s="47">
        <v>93377.682539682544</v>
      </c>
      <c r="BR13" s="47">
        <v>917.99999999999989</v>
      </c>
      <c r="BS13" s="47">
        <v>65834.176470588223</v>
      </c>
      <c r="BT13" s="47">
        <v>11115.8</v>
      </c>
      <c r="BU13" s="47">
        <v>14842.2</v>
      </c>
      <c r="BV13" s="47">
        <v>13895.65</v>
      </c>
      <c r="BW13" s="47">
        <v>38591</v>
      </c>
      <c r="BX13" s="47">
        <v>14189.35</v>
      </c>
      <c r="BY13" s="47">
        <v>0</v>
      </c>
      <c r="BZ13" s="47">
        <v>0</v>
      </c>
      <c r="CA13" s="47">
        <v>107273.33253968254</v>
      </c>
      <c r="CB13" s="47">
        <v>39509</v>
      </c>
      <c r="CC13" s="47">
        <v>80023.526470588229</v>
      </c>
      <c r="CD13" s="47">
        <v>11115.8</v>
      </c>
      <c r="CE13" s="47">
        <v>14842.2</v>
      </c>
      <c r="CF13" s="47">
        <v>252763.85901027077</v>
      </c>
      <c r="CH13">
        <v>2013</v>
      </c>
      <c r="CI13" s="47">
        <v>41713.682539682544</v>
      </c>
      <c r="CJ13" s="47">
        <v>917.99999999999989</v>
      </c>
      <c r="CK13" s="47">
        <v>18636</v>
      </c>
      <c r="CL13" s="47">
        <v>667</v>
      </c>
      <c r="CM13" s="47">
        <v>1129</v>
      </c>
      <c r="CN13" s="47">
        <v>1200</v>
      </c>
      <c r="CO13" s="47">
        <v>1974</v>
      </c>
      <c r="CP13" s="47">
        <v>7345.7999999999993</v>
      </c>
      <c r="CQ13" s="47">
        <v>13642.2</v>
      </c>
      <c r="CR13" s="47">
        <v>39252.176470588231</v>
      </c>
      <c r="CS13" s="47">
        <v>33028</v>
      </c>
      <c r="CT13" s="47">
        <v>26582</v>
      </c>
      <c r="CU13" s="47">
        <v>141493.85901027077</v>
      </c>
      <c r="CV13" s="47">
        <v>44594</v>
      </c>
      <c r="CW13" s="47">
        <v>186087.85901027077</v>
      </c>
      <c r="CX13" s="47"/>
      <c r="CY13" s="47">
        <v>105411.48253968255</v>
      </c>
      <c r="CZ13" s="47">
        <v>80676.376470588235</v>
      </c>
      <c r="DA13">
        <v>2013</v>
      </c>
      <c r="DC13" s="47"/>
      <c r="DD13" s="474">
        <v>38591</v>
      </c>
      <c r="DE13" s="479">
        <v>6629.4</v>
      </c>
      <c r="DF13" s="479">
        <v>603.25</v>
      </c>
      <c r="DG13" s="474">
        <v>3645</v>
      </c>
      <c r="DH13" s="47"/>
      <c r="DI13" s="479">
        <v>1723</v>
      </c>
      <c r="DJ13" s="479">
        <v>1295</v>
      </c>
      <c r="DK13" s="47"/>
      <c r="DL13" s="47"/>
      <c r="DM13" s="47"/>
      <c r="DN13" s="47"/>
      <c r="DO13" s="471">
        <v>2500</v>
      </c>
      <c r="DP13" s="468">
        <v>4875.7993625230665</v>
      </c>
      <c r="DQ13" s="47"/>
      <c r="DR13" s="47">
        <v>47111.799362523067</v>
      </c>
      <c r="DS13" s="47">
        <v>12750.65</v>
      </c>
      <c r="DT13" s="47">
        <v>59862.449362523068</v>
      </c>
      <c r="DU13" s="47"/>
      <c r="DV13" s="47">
        <v>2013</v>
      </c>
      <c r="DW13" s="479">
        <v>990.6</v>
      </c>
      <c r="DX13" s="479">
        <v>347.75</v>
      </c>
      <c r="DY13" s="474">
        <v>6122</v>
      </c>
      <c r="DZ13" s="47"/>
      <c r="EA13" s="479">
        <v>6729</v>
      </c>
      <c r="EB13" s="47"/>
      <c r="EC13" s="471">
        <v>0</v>
      </c>
      <c r="ED13" s="468">
        <v>3924.2006374769335</v>
      </c>
      <c r="EE13" s="47"/>
      <c r="EF13" s="47">
        <v>10046.200637476933</v>
      </c>
      <c r="EG13" s="47">
        <v>8067.35</v>
      </c>
      <c r="EH13" s="47">
        <v>18113.550637476932</v>
      </c>
      <c r="EI13" s="47"/>
      <c r="EJ13" s="47">
        <v>0.55406810937762119</v>
      </c>
      <c r="EK13" s="468">
        <v>8800</v>
      </c>
      <c r="EM13">
        <v>1989</v>
      </c>
      <c r="EN13">
        <v>34754</v>
      </c>
      <c r="EO13">
        <v>92007</v>
      </c>
      <c r="EP13">
        <v>316533</v>
      </c>
      <c r="EQ13">
        <v>160996</v>
      </c>
      <c r="ER13">
        <v>125229</v>
      </c>
      <c r="ES13">
        <v>729519</v>
      </c>
      <c r="ET13">
        <v>4819</v>
      </c>
      <c r="EU13">
        <v>5687</v>
      </c>
      <c r="EV13">
        <v>42722</v>
      </c>
      <c r="EW13">
        <v>23578</v>
      </c>
      <c r="EX13">
        <v>3329</v>
      </c>
      <c r="EY13">
        <v>80135</v>
      </c>
      <c r="EZ13">
        <v>39573</v>
      </c>
      <c r="FA13">
        <v>97694</v>
      </c>
      <c r="FB13">
        <v>359255</v>
      </c>
      <c r="FC13">
        <v>184574</v>
      </c>
      <c r="FD13">
        <v>128558</v>
      </c>
      <c r="FE13">
        <v>809654</v>
      </c>
      <c r="FF13">
        <v>869102</v>
      </c>
      <c r="FG13">
        <v>903130</v>
      </c>
      <c r="FI13">
        <v>1989</v>
      </c>
      <c r="FJ13" s="47">
        <f t="shared" si="3"/>
        <v>101069</v>
      </c>
      <c r="FK13" s="47">
        <f t="shared" si="4"/>
        <v>275106</v>
      </c>
      <c r="FL13" s="47">
        <f t="shared" si="5"/>
        <v>564470</v>
      </c>
      <c r="FM13" s="47">
        <f t="shared" si="23"/>
        <v>940645</v>
      </c>
      <c r="FN13" s="47">
        <f t="shared" si="24"/>
        <v>839576</v>
      </c>
      <c r="FO13" s="47"/>
      <c r="FP13" s="47">
        <f t="shared" si="6"/>
        <v>10184</v>
      </c>
      <c r="FQ13" s="47">
        <f t="shared" si="7"/>
        <v>28698</v>
      </c>
      <c r="FR13" s="47">
        <f t="shared" si="8"/>
        <v>50332</v>
      </c>
      <c r="FS13" s="47">
        <f t="shared" si="25"/>
        <v>89214</v>
      </c>
      <c r="FT13" s="47">
        <f t="shared" si="26"/>
        <v>79030</v>
      </c>
      <c r="FU13" s="47"/>
      <c r="FV13" s="47">
        <f t="shared" si="9"/>
        <v>1616437</v>
      </c>
      <c r="FW13" s="47">
        <f t="shared" si="10"/>
        <v>155795</v>
      </c>
      <c r="FX13" s="47">
        <f t="shared" si="27"/>
        <v>1772232</v>
      </c>
      <c r="FZ13" s="242">
        <f t="shared" si="11"/>
        <v>6.2525789746213437E-2</v>
      </c>
      <c r="GA13" s="242">
        <f t="shared" si="12"/>
        <v>0.17019283770416044</v>
      </c>
      <c r="GB13" s="242">
        <f t="shared" si="13"/>
        <v>0.34920630992732782</v>
      </c>
      <c r="GC13" s="242">
        <f t="shared" si="14"/>
        <v>0.58192493737770168</v>
      </c>
      <c r="GD13" s="242">
        <f t="shared" si="15"/>
        <v>0.51939914763148831</v>
      </c>
      <c r="GE13" s="47"/>
      <c r="GF13" s="242">
        <f t="shared" si="16"/>
        <v>6.5367951474694305E-2</v>
      </c>
      <c r="GG13" s="242">
        <f t="shared" si="17"/>
        <v>0.18420360088577939</v>
      </c>
      <c r="GH13" s="242">
        <f t="shared" si="18"/>
        <v>0.32306556693090277</v>
      </c>
      <c r="GI13" s="242">
        <f t="shared" si="19"/>
        <v>0.57263711929137651</v>
      </c>
      <c r="GJ13" s="242">
        <f t="shared" si="20"/>
        <v>0.50726916781668219</v>
      </c>
    </row>
    <row r="14" spans="1:192" x14ac:dyDescent="0.25">
      <c r="B14" s="166">
        <v>1953</v>
      </c>
      <c r="C14">
        <v>61.3</v>
      </c>
      <c r="D14">
        <v>13018</v>
      </c>
      <c r="E14">
        <f t="shared" si="0"/>
        <v>13.018000000000001</v>
      </c>
      <c r="F14">
        <f t="shared" si="1"/>
        <v>48.281999999999996</v>
      </c>
      <c r="Q14" s="202">
        <v>2002</v>
      </c>
      <c r="R14" s="757">
        <v>94.9</v>
      </c>
      <c r="S14" s="758"/>
      <c r="T14" s="203">
        <v>68.099999999999994</v>
      </c>
      <c r="U14" s="203">
        <v>6.2</v>
      </c>
      <c r="V14" s="204">
        <v>3</v>
      </c>
      <c r="W14" s="203">
        <v>24.4</v>
      </c>
      <c r="X14" s="203">
        <v>211.1</v>
      </c>
      <c r="Y14" s="203">
        <v>36.4</v>
      </c>
      <c r="Z14" s="203">
        <v>3.7</v>
      </c>
      <c r="AA14" s="204">
        <v>88.1</v>
      </c>
      <c r="AB14" s="205">
        <v>535.79999999999995</v>
      </c>
      <c r="AK14">
        <v>1600</v>
      </c>
      <c r="AL14" s="241">
        <f t="shared" si="2"/>
        <v>2.9861888764464357E-3</v>
      </c>
      <c r="AN14" s="257">
        <v>1951</v>
      </c>
      <c r="AO14" s="251">
        <v>0</v>
      </c>
      <c r="AP14" s="251">
        <v>0</v>
      </c>
      <c r="AQ14" s="251">
        <v>0</v>
      </c>
      <c r="AR14" s="47"/>
      <c r="AS14" s="47"/>
      <c r="AT14" s="2">
        <v>2011</v>
      </c>
      <c r="AU14" s="47">
        <f t="shared" si="28"/>
        <v>31984</v>
      </c>
      <c r="AV14" s="47">
        <f t="shared" si="21"/>
        <v>2975.2558139534881</v>
      </c>
      <c r="AW14" s="242">
        <f t="shared" si="29"/>
        <v>8.5106382978723402E-2</v>
      </c>
      <c r="AX14" s="268">
        <v>0.08</v>
      </c>
      <c r="AY14" s="47">
        <f t="shared" si="30"/>
        <v>34959.255813953489</v>
      </c>
      <c r="AZ14" s="47">
        <f t="shared" si="31"/>
        <v>2231.441860465116</v>
      </c>
      <c r="BA14" s="242">
        <v>0.06</v>
      </c>
      <c r="BB14" s="47">
        <f t="shared" si="22"/>
        <v>37190.697674418603</v>
      </c>
      <c r="BC14" s="268">
        <v>0.14000000000000001</v>
      </c>
      <c r="BE14" s="242">
        <f t="shared" si="32"/>
        <v>6.8491492366668898E-3</v>
      </c>
      <c r="BF14" s="47">
        <f t="shared" si="33"/>
        <v>254.72463858785324</v>
      </c>
      <c r="BH14" s="242">
        <f t="shared" si="34"/>
        <v>5.3150850763333111E-2</v>
      </c>
      <c r="BI14" s="47">
        <f t="shared" si="35"/>
        <v>1976.717221877263</v>
      </c>
      <c r="BK14" s="242"/>
      <c r="BP14">
        <v>2014</v>
      </c>
      <c r="BQ14" s="47">
        <v>321313</v>
      </c>
      <c r="BR14" s="47">
        <v>7045</v>
      </c>
      <c r="BS14" s="47">
        <v>262681</v>
      </c>
      <c r="BT14" s="47">
        <v>40510.35</v>
      </c>
      <c r="BU14" s="47">
        <v>41722.65</v>
      </c>
      <c r="BV14" s="47">
        <v>87646.78</v>
      </c>
      <c r="BW14" s="47">
        <v>166851</v>
      </c>
      <c r="BX14" s="47">
        <v>92750.22</v>
      </c>
      <c r="BY14" s="47">
        <v>0</v>
      </c>
      <c r="BZ14" s="47">
        <v>0</v>
      </c>
      <c r="CA14" s="47">
        <v>408959.78</v>
      </c>
      <c r="CB14" s="47">
        <v>173896</v>
      </c>
      <c r="CC14" s="47">
        <v>355431.22</v>
      </c>
      <c r="CD14" s="47">
        <v>40510.35</v>
      </c>
      <c r="CE14" s="47">
        <v>41722.65</v>
      </c>
      <c r="CF14" s="47">
        <v>1020520</v>
      </c>
      <c r="CH14">
        <v>2014</v>
      </c>
      <c r="CI14" s="47">
        <v>121736.99999999999</v>
      </c>
      <c r="CJ14" s="47">
        <v>7045</v>
      </c>
      <c r="CK14" s="47">
        <v>18062</v>
      </c>
      <c r="CL14" s="47">
        <v>5942</v>
      </c>
      <c r="CM14" s="47">
        <v>6940</v>
      </c>
      <c r="CN14" s="47">
        <v>1292</v>
      </c>
      <c r="CO14" s="47">
        <v>5858</v>
      </c>
      <c r="CP14" s="47">
        <v>21770.35</v>
      </c>
      <c r="CQ14" s="47">
        <v>40430.65</v>
      </c>
      <c r="CR14" s="47">
        <v>164462</v>
      </c>
      <c r="CS14" s="47">
        <v>181514</v>
      </c>
      <c r="CT14" s="47">
        <v>98219</v>
      </c>
      <c r="CU14" s="47">
        <v>572977</v>
      </c>
      <c r="CV14" s="47">
        <v>100295</v>
      </c>
      <c r="CW14" s="47">
        <v>673272</v>
      </c>
      <c r="CX14" s="47"/>
      <c r="CY14" s="47">
        <v>368868.35</v>
      </c>
      <c r="CZ14" s="47">
        <v>304403.65000000002</v>
      </c>
      <c r="DA14">
        <v>2014</v>
      </c>
      <c r="DC14" s="47"/>
      <c r="DD14" s="474">
        <v>166851</v>
      </c>
      <c r="DE14" s="479">
        <v>50237.279999999999</v>
      </c>
      <c r="DF14" s="479">
        <v>2484</v>
      </c>
      <c r="DG14" s="474">
        <v>18206.5</v>
      </c>
      <c r="DH14" s="47"/>
      <c r="DI14" s="479">
        <v>6656</v>
      </c>
      <c r="DJ14" s="479">
        <v>10063</v>
      </c>
      <c r="DK14" s="47"/>
      <c r="DL14" s="47"/>
      <c r="DM14" s="47"/>
      <c r="DN14" s="47"/>
      <c r="DO14" s="471">
        <v>5231</v>
      </c>
      <c r="DP14" s="468">
        <v>25461.521686751297</v>
      </c>
      <c r="DQ14" s="47"/>
      <c r="DR14" s="47">
        <v>210519.02168675131</v>
      </c>
      <c r="DS14" s="47">
        <v>74671.28</v>
      </c>
      <c r="DT14" s="47">
        <v>285190.30168675131</v>
      </c>
      <c r="DU14" s="47"/>
      <c r="DV14" s="47">
        <v>2014</v>
      </c>
      <c r="DW14" s="479">
        <v>7506.72</v>
      </c>
      <c r="DX14" s="479">
        <v>3277</v>
      </c>
      <c r="DY14" s="474">
        <v>52236.5</v>
      </c>
      <c r="DZ14" s="47"/>
      <c r="EA14" s="479">
        <v>29730</v>
      </c>
      <c r="EB14" s="47"/>
      <c r="EC14" s="471">
        <v>0</v>
      </c>
      <c r="ED14" s="468">
        <v>13777.478313248703</v>
      </c>
      <c r="EE14" s="47"/>
      <c r="EF14" s="47">
        <v>66013.978313248706</v>
      </c>
      <c r="EG14" s="47">
        <v>40513.72</v>
      </c>
      <c r="EH14" s="47">
        <v>106527.69831324871</v>
      </c>
      <c r="EI14" s="47"/>
      <c r="EJ14" s="47">
        <v>0.64888304204366309</v>
      </c>
      <c r="EK14" s="468">
        <v>39239</v>
      </c>
      <c r="EM14">
        <v>1990</v>
      </c>
      <c r="EN14">
        <v>11053</v>
      </c>
      <c r="EO14">
        <v>82327</v>
      </c>
      <c r="EP14">
        <v>94744</v>
      </c>
      <c r="EQ14">
        <v>24365</v>
      </c>
      <c r="ER14">
        <v>48360</v>
      </c>
      <c r="ES14">
        <v>260849</v>
      </c>
      <c r="ET14">
        <v>3301</v>
      </c>
      <c r="EU14">
        <v>23071</v>
      </c>
      <c r="EV14">
        <v>51148</v>
      </c>
      <c r="EW14">
        <v>35098</v>
      </c>
      <c r="EX14">
        <v>2106</v>
      </c>
      <c r="EY14">
        <v>114724</v>
      </c>
      <c r="EZ14">
        <v>14354</v>
      </c>
      <c r="FA14">
        <v>105398</v>
      </c>
      <c r="FB14">
        <v>145892</v>
      </c>
      <c r="FC14">
        <v>59463</v>
      </c>
      <c r="FD14">
        <v>50466</v>
      </c>
      <c r="FE14">
        <v>375573</v>
      </c>
      <c r="FF14">
        <v>399515</v>
      </c>
      <c r="FG14">
        <v>193475</v>
      </c>
      <c r="FI14">
        <v>1990</v>
      </c>
      <c r="FJ14" s="47">
        <f t="shared" si="3"/>
        <v>24515</v>
      </c>
      <c r="FK14" s="47">
        <f t="shared" si="4"/>
        <v>163884</v>
      </c>
      <c r="FL14" s="47">
        <f t="shared" si="5"/>
        <v>165545</v>
      </c>
      <c r="FM14" s="47">
        <f t="shared" si="23"/>
        <v>353944</v>
      </c>
      <c r="FN14" s="47">
        <f t="shared" si="24"/>
        <v>329429</v>
      </c>
      <c r="FO14" s="47"/>
      <c r="FP14" s="47">
        <f t="shared" si="6"/>
        <v>2456</v>
      </c>
      <c r="FQ14" s="47">
        <f t="shared" si="7"/>
        <v>15841</v>
      </c>
      <c r="FR14" s="47">
        <f t="shared" si="8"/>
        <v>11484</v>
      </c>
      <c r="FS14" s="47">
        <f t="shared" si="25"/>
        <v>29781</v>
      </c>
      <c r="FT14" s="47">
        <f t="shared" si="26"/>
        <v>27325</v>
      </c>
      <c r="FU14" s="47"/>
      <c r="FV14" s="47">
        <f t="shared" si="9"/>
        <v>545038</v>
      </c>
      <c r="FW14" s="47">
        <f t="shared" si="10"/>
        <v>47952</v>
      </c>
      <c r="FX14" s="47">
        <f t="shared" si="27"/>
        <v>592990</v>
      </c>
      <c r="FZ14" s="242">
        <f t="shared" si="11"/>
        <v>4.4978515259486491E-2</v>
      </c>
      <c r="GA14" s="242">
        <f t="shared" si="12"/>
        <v>0.30068362205937932</v>
      </c>
      <c r="GB14" s="242">
        <f t="shared" si="13"/>
        <v>0.30373111599558195</v>
      </c>
      <c r="GC14" s="242">
        <f t="shared" si="14"/>
        <v>0.64939325331444775</v>
      </c>
      <c r="GD14" s="242">
        <f t="shared" si="15"/>
        <v>0.60441473805496126</v>
      </c>
      <c r="GE14" s="47"/>
      <c r="GF14" s="242">
        <f t="shared" si="16"/>
        <v>5.1217884551217882E-2</v>
      </c>
      <c r="GG14" s="242">
        <f t="shared" si="17"/>
        <v>0.33035118451785117</v>
      </c>
      <c r="GH14" s="242">
        <f t="shared" si="18"/>
        <v>0.23948948948948948</v>
      </c>
      <c r="GI14" s="242">
        <f t="shared" si="19"/>
        <v>0.62105855855855852</v>
      </c>
      <c r="GJ14" s="242">
        <f t="shared" si="20"/>
        <v>0.56984067400734062</v>
      </c>
    </row>
    <row r="15" spans="1:192" x14ac:dyDescent="0.25">
      <c r="B15" s="166">
        <v>1954</v>
      </c>
      <c r="C15">
        <v>37.4</v>
      </c>
      <c r="D15">
        <v>4062</v>
      </c>
      <c r="E15">
        <f t="shared" si="0"/>
        <v>4.0620000000000003</v>
      </c>
      <c r="F15">
        <f t="shared" si="1"/>
        <v>33.338000000000001</v>
      </c>
      <c r="Q15" s="202">
        <v>2003</v>
      </c>
      <c r="R15" s="757">
        <v>143.80000000000001</v>
      </c>
      <c r="S15" s="758"/>
      <c r="T15" s="203">
        <v>113.5</v>
      </c>
      <c r="U15" s="203">
        <v>54.4</v>
      </c>
      <c r="V15" s="204">
        <v>1.1000000000000001</v>
      </c>
      <c r="W15" s="203">
        <v>22.5</v>
      </c>
      <c r="X15" s="203">
        <v>205.4</v>
      </c>
      <c r="Y15" s="203">
        <v>35.4</v>
      </c>
      <c r="Z15" s="203">
        <v>11.4</v>
      </c>
      <c r="AA15" s="204">
        <v>125.7</v>
      </c>
      <c r="AB15" s="205">
        <v>713.2</v>
      </c>
      <c r="AK15">
        <v>5800</v>
      </c>
      <c r="AL15" s="241">
        <f t="shared" si="2"/>
        <v>8.1323611890072901E-3</v>
      </c>
      <c r="AN15" s="249">
        <v>1952</v>
      </c>
      <c r="AO15" s="253">
        <v>0</v>
      </c>
      <c r="AP15" s="253">
        <v>0</v>
      </c>
      <c r="AQ15" s="253">
        <v>0</v>
      </c>
      <c r="AR15" s="47"/>
      <c r="AS15" s="47"/>
      <c r="AT15" s="2">
        <v>2012</v>
      </c>
      <c r="AU15" s="47">
        <f t="shared" si="28"/>
        <v>19743</v>
      </c>
      <c r="AV15" s="47">
        <f t="shared" si="21"/>
        <v>680.79310344827582</v>
      </c>
      <c r="AW15" s="242">
        <f t="shared" si="29"/>
        <v>3.3333333333333333E-2</v>
      </c>
      <c r="AX15" s="268">
        <v>0.03</v>
      </c>
      <c r="AY15" s="47">
        <f t="shared" si="30"/>
        <v>20423.793103448275</v>
      </c>
      <c r="AZ15" s="47">
        <f t="shared" si="31"/>
        <v>2269.3103448275865</v>
      </c>
      <c r="BA15" s="242">
        <v>0.1</v>
      </c>
      <c r="BB15" s="47">
        <f t="shared" si="22"/>
        <v>22693.103448275862</v>
      </c>
      <c r="BC15" s="268">
        <v>0.13</v>
      </c>
      <c r="BE15" s="242">
        <f t="shared" si="32"/>
        <v>8.2468688089721628E-3</v>
      </c>
      <c r="BF15" s="47">
        <f t="shared" si="33"/>
        <v>187.14704700636483</v>
      </c>
      <c r="BH15" s="242">
        <f t="shared" si="34"/>
        <v>9.1753131191027848E-2</v>
      </c>
      <c r="BI15" s="47">
        <f t="shared" si="35"/>
        <v>2082.1632978212215</v>
      </c>
      <c r="BK15" s="242"/>
      <c r="BP15">
        <v>2015</v>
      </c>
      <c r="BQ15" s="47">
        <v>46988</v>
      </c>
      <c r="BR15" s="47">
        <v>1889</v>
      </c>
      <c r="BS15" s="47">
        <v>34666</v>
      </c>
      <c r="BT15" s="47">
        <v>5083.2</v>
      </c>
      <c r="BU15" s="47">
        <v>5098.8</v>
      </c>
      <c r="BV15" s="47">
        <v>37207.900000000009</v>
      </c>
      <c r="BW15" s="47">
        <v>26636</v>
      </c>
      <c r="BX15" s="47">
        <v>12011.1</v>
      </c>
      <c r="BY15" s="47">
        <v>0</v>
      </c>
      <c r="BZ15" s="47">
        <v>0</v>
      </c>
      <c r="CA15" s="47">
        <v>84195.900000000009</v>
      </c>
      <c r="CB15" s="47">
        <v>28525</v>
      </c>
      <c r="CC15" s="47">
        <v>46677.1</v>
      </c>
      <c r="CD15" s="47">
        <v>5083.2</v>
      </c>
      <c r="CE15" s="47">
        <v>5098.8</v>
      </c>
      <c r="CF15" s="47">
        <v>169580</v>
      </c>
      <c r="CH15">
        <v>2015</v>
      </c>
      <c r="CI15" s="47">
        <v>17421.000000000004</v>
      </c>
      <c r="CJ15" s="47">
        <v>1889</v>
      </c>
      <c r="CK15" s="47">
        <v>2650</v>
      </c>
      <c r="CL15" s="47">
        <v>443</v>
      </c>
      <c r="CM15" s="47">
        <v>1194</v>
      </c>
      <c r="CN15" s="47">
        <v>281</v>
      </c>
      <c r="CO15" s="47">
        <v>852</v>
      </c>
      <c r="CP15" s="47">
        <v>2594.1999999999998</v>
      </c>
      <c r="CQ15" s="47">
        <v>4817.8</v>
      </c>
      <c r="CR15" s="47">
        <v>24181</v>
      </c>
      <c r="CS15" s="47">
        <v>26917</v>
      </c>
      <c r="CT15" s="47">
        <v>10485</v>
      </c>
      <c r="CU15" s="47">
        <v>80893</v>
      </c>
      <c r="CV15" s="47">
        <v>12832</v>
      </c>
      <c r="CW15" s="47">
        <v>93725</v>
      </c>
      <c r="CX15" s="47"/>
      <c r="CY15" s="47">
        <v>53960.200000000004</v>
      </c>
      <c r="CZ15" s="47">
        <v>39764.800000000003</v>
      </c>
      <c r="DA15">
        <v>2015</v>
      </c>
      <c r="DC15" s="47"/>
      <c r="DD15" s="474">
        <v>26636</v>
      </c>
      <c r="DE15" s="479">
        <v>32120.400000000005</v>
      </c>
      <c r="DF15" s="479">
        <v>522</v>
      </c>
      <c r="DG15" s="474">
        <v>1238.5</v>
      </c>
      <c r="DH15" s="47"/>
      <c r="DI15" s="479">
        <v>1281</v>
      </c>
      <c r="DJ15" s="479">
        <v>2045.9999999999998</v>
      </c>
      <c r="DK15" s="47"/>
      <c r="DL15" s="47"/>
      <c r="DM15" s="47"/>
      <c r="DN15" s="47"/>
      <c r="DO15" s="471">
        <v>200</v>
      </c>
      <c r="DP15" s="468">
        <v>1637.2433292337309</v>
      </c>
      <c r="DQ15" s="47"/>
      <c r="DR15" s="47">
        <v>29511.74332923373</v>
      </c>
      <c r="DS15" s="47">
        <v>36169.400000000009</v>
      </c>
      <c r="DT15" s="47">
        <v>65681.143329233746</v>
      </c>
      <c r="DU15" s="47"/>
      <c r="DV15" s="47">
        <v>2015</v>
      </c>
      <c r="DW15" s="479">
        <v>4799.6000000000004</v>
      </c>
      <c r="DX15" s="479">
        <v>473</v>
      </c>
      <c r="DY15" s="474">
        <v>3217.5</v>
      </c>
      <c r="DZ15" s="47"/>
      <c r="EA15" s="479">
        <v>3521</v>
      </c>
      <c r="EB15" s="47"/>
      <c r="EC15" s="471">
        <v>0</v>
      </c>
      <c r="ED15" s="468">
        <v>637.75667076626905</v>
      </c>
      <c r="EE15" s="47"/>
      <c r="EF15" s="47">
        <v>3855.2566707662691</v>
      </c>
      <c r="EG15" s="47">
        <v>8793.6</v>
      </c>
      <c r="EH15" s="47">
        <v>12648.856670766269</v>
      </c>
      <c r="EI15" s="47"/>
      <c r="EJ15" s="47">
        <v>0.71966739746537622</v>
      </c>
      <c r="EK15" s="468">
        <v>2275</v>
      </c>
      <c r="EM15">
        <v>1991</v>
      </c>
      <c r="EN15">
        <v>5904</v>
      </c>
      <c r="EO15">
        <v>35536</v>
      </c>
      <c r="EP15">
        <v>125227</v>
      </c>
      <c r="EQ15">
        <v>148696</v>
      </c>
      <c r="ER15">
        <v>148323</v>
      </c>
      <c r="ES15">
        <v>463686</v>
      </c>
      <c r="ET15">
        <v>4924</v>
      </c>
      <c r="EU15">
        <v>21357</v>
      </c>
      <c r="EV15">
        <v>81787</v>
      </c>
      <c r="EW15">
        <v>134416</v>
      </c>
      <c r="EX15">
        <v>4723</v>
      </c>
      <c r="EY15">
        <v>247207</v>
      </c>
      <c r="EZ15">
        <v>10828</v>
      </c>
      <c r="FA15">
        <v>56893</v>
      </c>
      <c r="FB15">
        <v>207014</v>
      </c>
      <c r="FC15">
        <v>283112</v>
      </c>
      <c r="FD15">
        <v>153046</v>
      </c>
      <c r="FE15">
        <v>710893</v>
      </c>
      <c r="FF15">
        <v>748578</v>
      </c>
      <c r="FG15">
        <v>911457</v>
      </c>
      <c r="FI15">
        <v>1991</v>
      </c>
      <c r="FJ15" s="47">
        <f t="shared" si="3"/>
        <v>40209</v>
      </c>
      <c r="FK15" s="47">
        <f t="shared" si="4"/>
        <v>209641</v>
      </c>
      <c r="FL15" s="47">
        <f t="shared" si="5"/>
        <v>386087</v>
      </c>
      <c r="FM15" s="47">
        <f t="shared" si="23"/>
        <v>635937</v>
      </c>
      <c r="FN15" s="47">
        <f t="shared" si="24"/>
        <v>595728</v>
      </c>
      <c r="FO15" s="47"/>
      <c r="FP15" s="47">
        <f t="shared" si="6"/>
        <v>3929</v>
      </c>
      <c r="FQ15" s="47">
        <f t="shared" si="7"/>
        <v>20815</v>
      </c>
      <c r="FR15" s="47">
        <f t="shared" si="8"/>
        <v>31212</v>
      </c>
      <c r="FS15" s="47">
        <f t="shared" si="25"/>
        <v>55956</v>
      </c>
      <c r="FT15" s="47">
        <f t="shared" si="26"/>
        <v>52027</v>
      </c>
      <c r="FU15" s="47"/>
      <c r="FV15" s="47">
        <f t="shared" si="9"/>
        <v>1526705</v>
      </c>
      <c r="FW15" s="47">
        <f t="shared" si="10"/>
        <v>133330</v>
      </c>
      <c r="FX15" s="47">
        <f t="shared" si="27"/>
        <v>1660035</v>
      </c>
      <c r="FZ15" s="242">
        <f t="shared" si="11"/>
        <v>2.6337111622743097E-2</v>
      </c>
      <c r="GA15" s="242">
        <f t="shared" si="12"/>
        <v>0.13731598442397189</v>
      </c>
      <c r="GB15" s="242">
        <f t="shared" si="13"/>
        <v>0.25288906501255976</v>
      </c>
      <c r="GC15" s="242">
        <f t="shared" si="14"/>
        <v>0.41654216105927472</v>
      </c>
      <c r="GD15" s="242">
        <f t="shared" si="15"/>
        <v>0.39020504943653161</v>
      </c>
      <c r="GE15" s="47"/>
      <c r="GF15" s="242">
        <f t="shared" si="16"/>
        <v>2.9468236705917649E-2</v>
      </c>
      <c r="GG15" s="242">
        <f t="shared" si="17"/>
        <v>0.15611640291007275</v>
      </c>
      <c r="GH15" s="242">
        <f t="shared" si="18"/>
        <v>0.23409585239630989</v>
      </c>
      <c r="GI15" s="242">
        <f t="shared" si="19"/>
        <v>0.41968049201230029</v>
      </c>
      <c r="GJ15" s="242">
        <f t="shared" si="20"/>
        <v>0.39021225530638265</v>
      </c>
    </row>
    <row r="16" spans="1:192" x14ac:dyDescent="0.25">
      <c r="B16" s="166">
        <v>1955</v>
      </c>
      <c r="C16">
        <v>64.3</v>
      </c>
      <c r="D16">
        <v>3725</v>
      </c>
      <c r="E16">
        <f t="shared" si="0"/>
        <v>3.7250000000000001</v>
      </c>
      <c r="F16">
        <f t="shared" si="1"/>
        <v>60.574999999999996</v>
      </c>
      <c r="Q16" s="202">
        <v>2004</v>
      </c>
      <c r="R16" s="757">
        <v>66.599999999999994</v>
      </c>
      <c r="S16" s="758"/>
      <c r="T16" s="203">
        <v>53</v>
      </c>
      <c r="U16" s="203">
        <v>15.2</v>
      </c>
      <c r="V16" s="204">
        <v>1.3</v>
      </c>
      <c r="W16" s="203">
        <v>12.3</v>
      </c>
      <c r="X16" s="203">
        <v>173.5</v>
      </c>
      <c r="Y16" s="203">
        <v>21</v>
      </c>
      <c r="Z16" s="203">
        <v>5.7</v>
      </c>
      <c r="AA16" s="204">
        <v>115</v>
      </c>
      <c r="AB16" s="205">
        <v>463.5</v>
      </c>
      <c r="AK16">
        <v>10300</v>
      </c>
      <c r="AL16" s="241">
        <f t="shared" si="2"/>
        <v>2.2222222222222223E-2</v>
      </c>
      <c r="AN16" s="249">
        <v>1953</v>
      </c>
      <c r="AO16" s="253">
        <v>0</v>
      </c>
      <c r="AP16" s="253">
        <v>0</v>
      </c>
      <c r="AQ16" s="253">
        <v>0</v>
      </c>
      <c r="AR16" s="47"/>
      <c r="AS16" s="47"/>
      <c r="AT16" s="2">
        <v>2013</v>
      </c>
      <c r="AU16" s="47">
        <f t="shared" si="28"/>
        <v>25958</v>
      </c>
      <c r="AV16" s="47">
        <f t="shared" si="21"/>
        <v>895.10344827586198</v>
      </c>
      <c r="AW16" s="242">
        <f t="shared" si="29"/>
        <v>3.3333333333333333E-2</v>
      </c>
      <c r="AX16" s="268">
        <v>0.03</v>
      </c>
      <c r="AY16" s="47">
        <f t="shared" si="30"/>
        <v>26853.103448275862</v>
      </c>
      <c r="AZ16" s="47">
        <f t="shared" si="31"/>
        <v>2983.6781609195405</v>
      </c>
      <c r="BA16" s="242">
        <v>0.1</v>
      </c>
      <c r="BB16" s="47">
        <f t="shared" si="22"/>
        <v>29836.781609195401</v>
      </c>
      <c r="BC16" s="268">
        <v>0.13</v>
      </c>
      <c r="BE16" s="242">
        <f t="shared" si="32"/>
        <v>7.0215883908785488E-3</v>
      </c>
      <c r="BF16" s="47">
        <f t="shared" si="33"/>
        <v>209.50159936830502</v>
      </c>
      <c r="BH16" s="242">
        <f t="shared" si="34"/>
        <v>9.2978411609121459E-2</v>
      </c>
      <c r="BI16" s="47">
        <f t="shared" si="35"/>
        <v>2774.1765615512354</v>
      </c>
      <c r="BK16" s="242"/>
      <c r="BP16">
        <v>2016</v>
      </c>
      <c r="BQ16" s="47">
        <v>63394</v>
      </c>
      <c r="BR16" s="47">
        <v>2089</v>
      </c>
      <c r="BS16" s="47">
        <v>63197.999999999993</v>
      </c>
      <c r="BT16" s="47">
        <v>10536.2</v>
      </c>
      <c r="BU16" s="47">
        <v>12772.800000000001</v>
      </c>
      <c r="BV16" s="47">
        <v>13323.34</v>
      </c>
      <c r="BW16" s="47">
        <v>30286</v>
      </c>
      <c r="BX16" s="47">
        <v>9347.66</v>
      </c>
      <c r="BY16" s="47">
        <v>0</v>
      </c>
      <c r="BZ16" s="47">
        <v>0</v>
      </c>
      <c r="CA16" s="47">
        <v>76717.34</v>
      </c>
      <c r="CB16" s="47">
        <v>32375</v>
      </c>
      <c r="CC16" s="47">
        <v>72545.659999999989</v>
      </c>
      <c r="CD16" s="47">
        <v>10536.2</v>
      </c>
      <c r="CE16" s="47">
        <v>12772.800000000001</v>
      </c>
      <c r="CF16" s="47">
        <v>204947</v>
      </c>
      <c r="CH16">
        <v>2016</v>
      </c>
      <c r="CI16" s="47">
        <v>31927</v>
      </c>
      <c r="CJ16" s="47">
        <v>2089</v>
      </c>
      <c r="CK16" s="47">
        <v>2559</v>
      </c>
      <c r="CL16" s="47">
        <v>850</v>
      </c>
      <c r="CM16" s="47">
        <v>845</v>
      </c>
      <c r="CN16" s="47">
        <v>493</v>
      </c>
      <c r="CO16" s="47">
        <v>2229</v>
      </c>
      <c r="CP16" s="47">
        <v>6612.2</v>
      </c>
      <c r="CQ16" s="47">
        <v>12279.800000000001</v>
      </c>
      <c r="CR16" s="47">
        <v>50085.999999999993</v>
      </c>
      <c r="CS16" s="47">
        <v>28908</v>
      </c>
      <c r="CT16" s="47">
        <v>13112</v>
      </c>
      <c r="CU16" s="47">
        <v>126122</v>
      </c>
      <c r="CV16" s="47">
        <v>25868</v>
      </c>
      <c r="CW16" s="47">
        <v>151990</v>
      </c>
      <c r="CX16" s="47"/>
      <c r="CY16" s="47">
        <v>76019.199999999997</v>
      </c>
      <c r="CZ16" s="47">
        <v>75970.799999999988</v>
      </c>
      <c r="DA16">
        <v>2016</v>
      </c>
      <c r="DC16" s="47"/>
      <c r="DD16" s="474">
        <v>30286</v>
      </c>
      <c r="DE16" s="479">
        <v>7988.34</v>
      </c>
      <c r="DF16" s="479">
        <v>653</v>
      </c>
      <c r="DG16" s="474">
        <v>889</v>
      </c>
      <c r="DH16" s="47"/>
      <c r="DI16" s="479">
        <v>1891</v>
      </c>
      <c r="DJ16" s="479">
        <v>1902</v>
      </c>
      <c r="DK16" s="47"/>
      <c r="DL16" s="47"/>
      <c r="DM16" s="47"/>
      <c r="DN16" s="47"/>
      <c r="DO16" s="471">
        <v>1325</v>
      </c>
      <c r="DP16" s="468">
        <v>3434.2869109947642</v>
      </c>
      <c r="DQ16" s="47"/>
      <c r="DR16" s="47">
        <v>34609.286910994764</v>
      </c>
      <c r="DS16" s="47">
        <v>13759.34</v>
      </c>
      <c r="DT16" s="47">
        <v>48368.626910994761</v>
      </c>
      <c r="DU16" s="47"/>
      <c r="DV16" s="47">
        <v>2016</v>
      </c>
      <c r="DW16" s="479">
        <v>1193.6600000000001</v>
      </c>
      <c r="DX16" s="479">
        <v>696</v>
      </c>
      <c r="DY16" s="474">
        <v>258</v>
      </c>
      <c r="DZ16" s="47"/>
      <c r="EA16" s="479">
        <v>7200</v>
      </c>
      <c r="EB16" s="47"/>
      <c r="EC16" s="471">
        <v>0</v>
      </c>
      <c r="ED16" s="468">
        <v>1557.7130890052358</v>
      </c>
      <c r="EE16" s="47"/>
      <c r="EF16" s="47">
        <v>1815.7130890052358</v>
      </c>
      <c r="EG16" s="47">
        <v>9089.66</v>
      </c>
      <c r="EH16" s="47">
        <v>10905.373089005236</v>
      </c>
      <c r="EI16" s="47"/>
      <c r="EJ16" s="47">
        <v>0.68795811518324601</v>
      </c>
      <c r="EK16" s="468">
        <v>4992</v>
      </c>
      <c r="EM16">
        <v>1992</v>
      </c>
      <c r="EN16">
        <v>1100</v>
      </c>
      <c r="EO16">
        <v>9923</v>
      </c>
      <c r="EP16">
        <v>35164</v>
      </c>
      <c r="EQ16">
        <v>20584</v>
      </c>
      <c r="ER16">
        <v>55110</v>
      </c>
      <c r="ES16">
        <v>121881</v>
      </c>
      <c r="ET16">
        <v>916</v>
      </c>
      <c r="EU16">
        <v>6725</v>
      </c>
      <c r="EV16">
        <v>22032</v>
      </c>
      <c r="EW16">
        <v>25536</v>
      </c>
      <c r="EX16">
        <v>2874</v>
      </c>
      <c r="EY16">
        <v>58083</v>
      </c>
      <c r="EZ16">
        <v>2016</v>
      </c>
      <c r="FA16">
        <v>16648</v>
      </c>
      <c r="FB16">
        <v>57196</v>
      </c>
      <c r="FC16">
        <v>46120</v>
      </c>
      <c r="FD16">
        <v>57984</v>
      </c>
      <c r="FE16">
        <v>179964</v>
      </c>
      <c r="FF16">
        <v>195104</v>
      </c>
      <c r="FG16">
        <v>229608</v>
      </c>
      <c r="FI16">
        <v>1992</v>
      </c>
      <c r="FJ16" s="47">
        <f t="shared" si="3"/>
        <v>12805</v>
      </c>
      <c r="FK16" s="47">
        <f t="shared" si="4"/>
        <v>73793</v>
      </c>
      <c r="FL16" s="47">
        <f t="shared" si="5"/>
        <v>95057</v>
      </c>
      <c r="FM16" s="47">
        <f t="shared" si="23"/>
        <v>181655</v>
      </c>
      <c r="FN16" s="47">
        <f t="shared" si="24"/>
        <v>168850</v>
      </c>
      <c r="FO16" s="47"/>
      <c r="FP16" s="47">
        <f t="shared" si="6"/>
        <v>1405</v>
      </c>
      <c r="FQ16" s="47">
        <f t="shared" si="7"/>
        <v>7959</v>
      </c>
      <c r="FR16" s="47">
        <f t="shared" si="8"/>
        <v>8831</v>
      </c>
      <c r="FS16" s="47">
        <f t="shared" si="25"/>
        <v>18195</v>
      </c>
      <c r="FT16" s="47">
        <f t="shared" si="26"/>
        <v>16790</v>
      </c>
      <c r="FU16" s="47"/>
      <c r="FV16" s="47">
        <f t="shared" si="9"/>
        <v>385426</v>
      </c>
      <c r="FW16" s="47">
        <f t="shared" si="10"/>
        <v>39286</v>
      </c>
      <c r="FX16" s="47">
        <f t="shared" si="27"/>
        <v>424712</v>
      </c>
      <c r="FZ16" s="242">
        <f t="shared" si="11"/>
        <v>3.3222979248934942E-2</v>
      </c>
      <c r="GA16" s="242">
        <f t="shared" si="12"/>
        <v>0.19145828252375294</v>
      </c>
      <c r="GB16" s="242">
        <f t="shared" si="13"/>
        <v>0.24662840597157432</v>
      </c>
      <c r="GC16" s="242">
        <f t="shared" si="14"/>
        <v>0.4713096677442622</v>
      </c>
      <c r="GD16" s="242">
        <f t="shared" si="15"/>
        <v>0.43808668849532723</v>
      </c>
      <c r="GE16" s="47"/>
      <c r="GF16" s="242">
        <f t="shared" si="16"/>
        <v>3.5763376266354424E-2</v>
      </c>
      <c r="GG16" s="242">
        <f t="shared" si="17"/>
        <v>0.20259125388178995</v>
      </c>
      <c r="GH16" s="242">
        <f t="shared" si="18"/>
        <v>0.22478745609122844</v>
      </c>
      <c r="GI16" s="242">
        <f t="shared" si="19"/>
        <v>0.46314208623937281</v>
      </c>
      <c r="GJ16" s="242">
        <f t="shared" si="20"/>
        <v>0.42737870997301836</v>
      </c>
    </row>
    <row r="17" spans="2:192" x14ac:dyDescent="0.25">
      <c r="B17" s="166">
        <v>1956</v>
      </c>
      <c r="C17">
        <v>64.400000000000006</v>
      </c>
      <c r="D17">
        <v>6127</v>
      </c>
      <c r="E17">
        <f t="shared" si="0"/>
        <v>6.1269999999999998</v>
      </c>
      <c r="F17">
        <f t="shared" si="1"/>
        <v>58.273000000000003</v>
      </c>
      <c r="Q17" s="202">
        <v>2005</v>
      </c>
      <c r="R17" s="757">
        <v>30.3</v>
      </c>
      <c r="S17" s="758"/>
      <c r="T17" s="203">
        <v>64.5</v>
      </c>
      <c r="U17" s="203">
        <v>6.9</v>
      </c>
      <c r="V17" s="204">
        <v>0.6</v>
      </c>
      <c r="W17" s="203">
        <v>9.9</v>
      </c>
      <c r="X17" s="203">
        <v>142.30000000000001</v>
      </c>
      <c r="Y17" s="203">
        <v>13.7</v>
      </c>
      <c r="Z17" s="203">
        <v>3.3</v>
      </c>
      <c r="AA17" s="204">
        <v>83.3</v>
      </c>
      <c r="AB17" s="205">
        <v>354.7</v>
      </c>
      <c r="AK17">
        <v>5400</v>
      </c>
      <c r="AL17" s="241">
        <f t="shared" si="2"/>
        <v>1.5224133070200171E-2</v>
      </c>
      <c r="AN17" s="249">
        <v>1954</v>
      </c>
      <c r="AO17" s="253">
        <v>315</v>
      </c>
      <c r="AP17" s="253">
        <v>160</v>
      </c>
      <c r="AQ17" s="253">
        <v>0</v>
      </c>
      <c r="AR17" s="47"/>
      <c r="AS17" s="47"/>
      <c r="AT17" s="2">
        <v>2014</v>
      </c>
      <c r="AU17" s="47">
        <f t="shared" si="28"/>
        <v>82233</v>
      </c>
      <c r="AV17" s="47">
        <f t="shared" si="21"/>
        <v>4953.7951807228928</v>
      </c>
      <c r="AW17" s="242">
        <f t="shared" si="29"/>
        <v>5.681818181818183E-2</v>
      </c>
      <c r="AX17" s="268">
        <v>0.05</v>
      </c>
      <c r="AY17" s="47">
        <f t="shared" si="30"/>
        <v>87186.795180722896</v>
      </c>
      <c r="AZ17" s="47">
        <f t="shared" si="31"/>
        <v>11889.10843373494</v>
      </c>
      <c r="BA17" s="242">
        <v>0.12</v>
      </c>
      <c r="BB17" s="47">
        <f t="shared" si="22"/>
        <v>99075.903614457842</v>
      </c>
      <c r="BC17" s="268">
        <v>0.17</v>
      </c>
      <c r="BE17" s="242">
        <f t="shared" si="32"/>
        <v>9.2662819455894465E-3</v>
      </c>
      <c r="BF17" s="47">
        <f t="shared" si="33"/>
        <v>918.06525690561091</v>
      </c>
      <c r="BH17" s="242">
        <f t="shared" si="34"/>
        <v>0.11073371805441054</v>
      </c>
      <c r="BI17" s="47">
        <f t="shared" si="35"/>
        <v>10971.043176829329</v>
      </c>
      <c r="BK17" s="242"/>
      <c r="BP17">
        <v>2017</v>
      </c>
      <c r="BQ17" s="47">
        <v>76801</v>
      </c>
      <c r="BR17" s="47">
        <v>721</v>
      </c>
      <c r="BS17" s="47">
        <v>62600</v>
      </c>
      <c r="BT17" s="47">
        <v>15914.15</v>
      </c>
      <c r="BU17" s="47">
        <v>13228.85</v>
      </c>
      <c r="BV17" s="47">
        <v>21305.89</v>
      </c>
      <c r="BW17" s="47">
        <v>36895</v>
      </c>
      <c r="BX17" s="47">
        <v>8190.1100000000006</v>
      </c>
      <c r="BY17" s="47">
        <v>0</v>
      </c>
      <c r="BZ17" s="47">
        <v>0</v>
      </c>
      <c r="CA17" s="47">
        <v>98106.89</v>
      </c>
      <c r="CB17" s="47">
        <v>37616</v>
      </c>
      <c r="CC17" s="47">
        <v>70790.11</v>
      </c>
      <c r="CD17" s="47">
        <v>15914.15</v>
      </c>
      <c r="CE17" s="47">
        <v>13228.85</v>
      </c>
      <c r="CF17" s="47">
        <v>235656</v>
      </c>
      <c r="CH17">
        <v>2017</v>
      </c>
      <c r="CI17" s="47">
        <v>26477</v>
      </c>
      <c r="CJ17" s="47">
        <v>721</v>
      </c>
      <c r="CK17" s="47">
        <v>3041</v>
      </c>
      <c r="CL17" s="47">
        <v>2244</v>
      </c>
      <c r="CM17" s="47">
        <v>6052</v>
      </c>
      <c r="CN17" s="47">
        <v>1016</v>
      </c>
      <c r="CO17" s="47">
        <v>1042</v>
      </c>
      <c r="CP17" s="47">
        <v>6576.15</v>
      </c>
      <c r="CQ17" s="47">
        <v>12212.85</v>
      </c>
      <c r="CR17" s="47">
        <v>33947</v>
      </c>
      <c r="CS17" s="47">
        <v>47283</v>
      </c>
      <c r="CT17" s="47">
        <v>28653</v>
      </c>
      <c r="CU17" s="47">
        <v>137081</v>
      </c>
      <c r="CV17" s="47">
        <v>32184</v>
      </c>
      <c r="CW17" s="47">
        <v>169265</v>
      </c>
      <c r="CX17" s="47"/>
      <c r="CY17" s="47">
        <v>93436.15</v>
      </c>
      <c r="CZ17" s="47">
        <v>75828.850000000006</v>
      </c>
      <c r="DA17">
        <v>2017</v>
      </c>
      <c r="DC17" s="47"/>
      <c r="DD17" s="474">
        <v>36895</v>
      </c>
      <c r="DE17" s="479">
        <v>15766.14</v>
      </c>
      <c r="DF17" s="479">
        <v>1136.75</v>
      </c>
      <c r="DG17" s="474">
        <v>575</v>
      </c>
      <c r="DH17" s="47"/>
      <c r="DI17" s="479">
        <v>1800</v>
      </c>
      <c r="DJ17" s="479">
        <v>2028</v>
      </c>
      <c r="DK17" s="47"/>
      <c r="DL17" s="47"/>
      <c r="DM17" s="47"/>
      <c r="DN17" s="47"/>
      <c r="DO17" s="471">
        <v>1706</v>
      </c>
      <c r="DP17" s="468">
        <v>3654.4448878002527</v>
      </c>
      <c r="DQ17" s="47"/>
      <c r="DR17" s="47">
        <v>41124.444887800251</v>
      </c>
      <c r="DS17" s="47">
        <v>22436.89</v>
      </c>
      <c r="DT17" s="47">
        <v>63561.334887800251</v>
      </c>
      <c r="DU17" s="47"/>
      <c r="DV17" s="47">
        <v>2017</v>
      </c>
      <c r="DW17" s="479">
        <v>2355.86</v>
      </c>
      <c r="DX17" s="479">
        <v>1977.25</v>
      </c>
      <c r="DY17" s="474">
        <v>357</v>
      </c>
      <c r="DZ17" s="47"/>
      <c r="EA17" s="479">
        <v>3500</v>
      </c>
      <c r="EB17" s="47"/>
      <c r="EC17" s="471">
        <v>0</v>
      </c>
      <c r="ED17" s="468">
        <v>2214.5551121997473</v>
      </c>
      <c r="EE17" s="47"/>
      <c r="EF17" s="47">
        <v>2571.5551121997473</v>
      </c>
      <c r="EG17" s="47">
        <v>7833.1100000000006</v>
      </c>
      <c r="EH17" s="47">
        <v>10404.665112199747</v>
      </c>
      <c r="EI17" s="47"/>
      <c r="EJ17" s="47">
        <v>0.62266908975979773</v>
      </c>
      <c r="EK17" s="468">
        <v>5869</v>
      </c>
      <c r="EM17">
        <v>1993</v>
      </c>
      <c r="EN17">
        <v>1000</v>
      </c>
      <c r="EO17">
        <v>11788</v>
      </c>
      <c r="EP17">
        <v>6838</v>
      </c>
      <c r="EQ17">
        <v>15984</v>
      </c>
      <c r="ER17">
        <v>30180</v>
      </c>
      <c r="ES17">
        <v>65790</v>
      </c>
      <c r="ET17">
        <v>1322</v>
      </c>
      <c r="EU17">
        <v>6408</v>
      </c>
      <c r="EV17">
        <v>2778</v>
      </c>
      <c r="EW17">
        <v>17506</v>
      </c>
      <c r="EX17">
        <v>1159</v>
      </c>
      <c r="EY17">
        <v>29173</v>
      </c>
      <c r="EZ17">
        <v>2322</v>
      </c>
      <c r="FA17">
        <v>18196</v>
      </c>
      <c r="FB17">
        <v>9616</v>
      </c>
      <c r="FC17">
        <v>33490</v>
      </c>
      <c r="FD17">
        <v>31339</v>
      </c>
      <c r="FE17">
        <v>94963</v>
      </c>
      <c r="FF17">
        <v>98142</v>
      </c>
      <c r="FG17">
        <v>80689</v>
      </c>
      <c r="FI17">
        <v>1993</v>
      </c>
      <c r="FJ17" s="47">
        <f t="shared" si="3"/>
        <v>8038</v>
      </c>
      <c r="FK17" s="47">
        <f t="shared" si="4"/>
        <v>39232</v>
      </c>
      <c r="FL17" s="47">
        <f t="shared" si="5"/>
        <v>15772</v>
      </c>
      <c r="FM17" s="47">
        <f t="shared" si="23"/>
        <v>63042</v>
      </c>
      <c r="FN17" s="47">
        <f t="shared" si="24"/>
        <v>55004</v>
      </c>
      <c r="FO17" s="47"/>
      <c r="FP17" s="47">
        <f t="shared" si="6"/>
        <v>674</v>
      </c>
      <c r="FQ17" s="47">
        <f t="shared" si="7"/>
        <v>2864</v>
      </c>
      <c r="FR17" s="47">
        <f t="shared" si="8"/>
        <v>1006</v>
      </c>
      <c r="FS17" s="47">
        <f t="shared" si="25"/>
        <v>4544</v>
      </c>
      <c r="FT17" s="47">
        <f t="shared" si="26"/>
        <v>3870</v>
      </c>
      <c r="FU17" s="47"/>
      <c r="FV17" s="47">
        <f t="shared" si="9"/>
        <v>167734</v>
      </c>
      <c r="FW17" s="47">
        <f t="shared" si="10"/>
        <v>11097</v>
      </c>
      <c r="FX17" s="47">
        <f t="shared" si="27"/>
        <v>178831</v>
      </c>
      <c r="FZ17" s="242">
        <f t="shared" si="11"/>
        <v>4.7921113191124041E-2</v>
      </c>
      <c r="GA17" s="242">
        <f t="shared" si="12"/>
        <v>0.23389414191517521</v>
      </c>
      <c r="GB17" s="242">
        <f t="shared" si="13"/>
        <v>9.4029832949789546E-2</v>
      </c>
      <c r="GC17" s="242">
        <f t="shared" si="14"/>
        <v>0.37584508805608879</v>
      </c>
      <c r="GD17" s="242">
        <f t="shared" si="15"/>
        <v>0.32792397486496477</v>
      </c>
      <c r="GE17" s="47"/>
      <c r="GF17" s="242">
        <f t="shared" si="16"/>
        <v>6.0737136162926919E-2</v>
      </c>
      <c r="GG17" s="242">
        <f t="shared" si="17"/>
        <v>0.25808777146976658</v>
      </c>
      <c r="GH17" s="242">
        <f t="shared" si="18"/>
        <v>9.0655132017662426E-2</v>
      </c>
      <c r="GI17" s="242">
        <f t="shared" si="19"/>
        <v>0.40948003965035595</v>
      </c>
      <c r="GJ17" s="242">
        <f t="shared" si="20"/>
        <v>0.34874290348742903</v>
      </c>
    </row>
    <row r="18" spans="2:192" x14ac:dyDescent="0.25">
      <c r="B18" s="166">
        <v>1957</v>
      </c>
      <c r="C18">
        <v>55.1</v>
      </c>
      <c r="D18">
        <v>4675</v>
      </c>
      <c r="E18">
        <f t="shared" si="0"/>
        <v>4.6749999999999998</v>
      </c>
      <c r="F18">
        <f t="shared" si="1"/>
        <v>50.425000000000004</v>
      </c>
      <c r="Q18" s="202">
        <v>2006</v>
      </c>
      <c r="R18" s="757">
        <v>27.2</v>
      </c>
      <c r="S18" s="758"/>
      <c r="T18" s="203">
        <v>36.200000000000003</v>
      </c>
      <c r="U18" s="203">
        <v>3.7</v>
      </c>
      <c r="V18" s="204">
        <v>1.2</v>
      </c>
      <c r="W18" s="203">
        <v>15.3</v>
      </c>
      <c r="X18" s="203">
        <v>191.1</v>
      </c>
      <c r="Y18" s="203">
        <v>23.8</v>
      </c>
      <c r="Z18" s="203">
        <v>9.5</v>
      </c>
      <c r="AA18" s="204">
        <v>101.7</v>
      </c>
      <c r="AB18" s="205">
        <v>409.7</v>
      </c>
      <c r="AF18">
        <v>0.08</v>
      </c>
      <c r="AG18" s="124">
        <f t="shared" ref="AG18:AG26" si="36">AB18/(1-AF18)</f>
        <v>445.32608695652169</v>
      </c>
      <c r="AH18" s="124">
        <f t="shared" ref="AH18:AH26" si="37">AG18*AF18</f>
        <v>35.626086956521739</v>
      </c>
      <c r="AK18">
        <v>7577</v>
      </c>
      <c r="AL18" s="241">
        <f t="shared" si="2"/>
        <v>1.8494020014644862E-2</v>
      </c>
      <c r="AN18" s="249">
        <v>1955</v>
      </c>
      <c r="AO18" s="253">
        <v>340</v>
      </c>
      <c r="AP18" s="252">
        <v>1810</v>
      </c>
      <c r="AQ18" s="253">
        <v>0</v>
      </c>
      <c r="AR18" s="47"/>
      <c r="AS18" s="47"/>
      <c r="AT18" s="2">
        <v>2015</v>
      </c>
      <c r="AU18" s="47">
        <f t="shared" si="28"/>
        <v>10182</v>
      </c>
      <c r="AV18" s="47">
        <f t="shared" si="21"/>
        <v>937.81578947368428</v>
      </c>
      <c r="AW18" s="242">
        <f t="shared" si="29"/>
        <v>8.4337349397590369E-2</v>
      </c>
      <c r="AX18" s="268">
        <v>7.0000000000000007E-2</v>
      </c>
      <c r="AY18" s="47">
        <f t="shared" si="30"/>
        <v>11119.815789473683</v>
      </c>
      <c r="AZ18" s="47">
        <f t="shared" si="31"/>
        <v>2277.5526315789475</v>
      </c>
      <c r="BA18" s="242">
        <v>0.17</v>
      </c>
      <c r="BB18" s="47">
        <f t="shared" si="22"/>
        <v>13397.368421052632</v>
      </c>
      <c r="BC18" s="268">
        <v>0.24</v>
      </c>
      <c r="BE18" s="242">
        <f t="shared" si="32"/>
        <v>2.5215669014084511E-2</v>
      </c>
      <c r="BF18" s="47">
        <f t="shared" si="33"/>
        <v>337.82360776501116</v>
      </c>
      <c r="BH18" s="242">
        <f t="shared" si="34"/>
        <v>0.1447843309859155</v>
      </c>
      <c r="BI18" s="47">
        <f t="shared" si="35"/>
        <v>1939.7290238139365</v>
      </c>
      <c r="BK18" s="242"/>
      <c r="BS18" s="47">
        <f>BQ17+BR17+BS17</f>
        <v>140122</v>
      </c>
      <c r="BU18" s="47">
        <f>BT17+BU17</f>
        <v>29143</v>
      </c>
      <c r="BX18" s="47">
        <f>BV17+BW17+BX17</f>
        <v>66391</v>
      </c>
      <c r="BY18" s="47"/>
      <c r="CC18" s="47">
        <f>CA17+CB17+CC17</f>
        <v>206513</v>
      </c>
      <c r="CE18" s="47">
        <f>CD17+CE17</f>
        <v>29143</v>
      </c>
      <c r="CJ18" s="47"/>
      <c r="CQ18" s="47"/>
      <c r="CR18" s="47">
        <f>CR17+CJ17+CI17</f>
        <v>61145</v>
      </c>
      <c r="CT18">
        <f>CS17+CT17</f>
        <v>75936</v>
      </c>
      <c r="DJ18" s="479">
        <f>DE17+DF17+DI17+DJ17</f>
        <v>20730.89</v>
      </c>
      <c r="DO18" s="471">
        <f>DO17</f>
        <v>1706</v>
      </c>
      <c r="DS18" s="47" t="b">
        <f>DS17=DO18+DJ18</f>
        <v>1</v>
      </c>
      <c r="DY18" s="474">
        <f>DY17+DG17+DD17</f>
        <v>37827</v>
      </c>
      <c r="EA18" s="479">
        <f>DW17+DX17+EA17</f>
        <v>7833.1100000000006</v>
      </c>
      <c r="EC18" s="471">
        <v>0</v>
      </c>
      <c r="EG18" t="b">
        <f>EG17=EC18+EA18</f>
        <v>1</v>
      </c>
      <c r="EM18">
        <v>1994</v>
      </c>
      <c r="EN18">
        <v>994</v>
      </c>
      <c r="EO18">
        <v>0</v>
      </c>
      <c r="EP18">
        <v>0</v>
      </c>
      <c r="EQ18">
        <v>7490</v>
      </c>
      <c r="ER18">
        <v>70620</v>
      </c>
      <c r="ES18">
        <v>79104</v>
      </c>
      <c r="ET18">
        <v>2050</v>
      </c>
      <c r="EU18">
        <v>0</v>
      </c>
      <c r="EV18">
        <v>0</v>
      </c>
      <c r="EW18">
        <v>56680</v>
      </c>
      <c r="EX18">
        <v>2257</v>
      </c>
      <c r="EY18">
        <v>60987</v>
      </c>
      <c r="EZ18">
        <v>3044</v>
      </c>
      <c r="FA18">
        <v>0</v>
      </c>
      <c r="FB18">
        <v>0</v>
      </c>
      <c r="FC18">
        <v>64170</v>
      </c>
      <c r="FD18">
        <v>72877</v>
      </c>
      <c r="FE18">
        <v>140091</v>
      </c>
      <c r="FF18">
        <v>145372</v>
      </c>
      <c r="FG18">
        <v>39007</v>
      </c>
      <c r="FI18">
        <v>1994</v>
      </c>
      <c r="FJ18" s="47">
        <f t="shared" si="3"/>
        <v>8398</v>
      </c>
      <c r="FK18" s="47">
        <f t="shared" si="4"/>
        <v>166</v>
      </c>
      <c r="FL18" s="47">
        <f t="shared" si="5"/>
        <v>0</v>
      </c>
      <c r="FM18" s="47">
        <f t="shared" si="23"/>
        <v>8564</v>
      </c>
      <c r="FN18" s="47">
        <f t="shared" si="24"/>
        <v>166</v>
      </c>
      <c r="FO18" s="47"/>
      <c r="FP18" s="47">
        <f t="shared" si="6"/>
        <v>602</v>
      </c>
      <c r="FQ18" s="47">
        <f t="shared" si="7"/>
        <v>16</v>
      </c>
      <c r="FR18" s="47">
        <f t="shared" si="8"/>
        <v>0</v>
      </c>
      <c r="FS18" s="47">
        <f t="shared" si="25"/>
        <v>618</v>
      </c>
      <c r="FT18" s="47">
        <f t="shared" si="26"/>
        <v>16</v>
      </c>
      <c r="FU18" s="47"/>
      <c r="FV18" s="47">
        <f t="shared" si="9"/>
        <v>175555</v>
      </c>
      <c r="FW18" s="47">
        <f t="shared" si="10"/>
        <v>8824</v>
      </c>
      <c r="FX18" s="47">
        <f t="shared" si="27"/>
        <v>184379</v>
      </c>
      <c r="FZ18" s="242">
        <f t="shared" si="11"/>
        <v>4.783686024322862E-2</v>
      </c>
      <c r="GA18" s="242">
        <f t="shared" si="12"/>
        <v>9.4557261257155879E-4</v>
      </c>
      <c r="GB18" s="242">
        <f t="shared" si="13"/>
        <v>0</v>
      </c>
      <c r="GC18" s="242">
        <f t="shared" si="14"/>
        <v>4.8782432855800174E-2</v>
      </c>
      <c r="GD18" s="242">
        <f t="shared" si="15"/>
        <v>9.4557261257155879E-4</v>
      </c>
      <c r="GE18" s="47"/>
      <c r="GF18" s="242">
        <f t="shared" si="16"/>
        <v>6.8223028105167727E-2</v>
      </c>
      <c r="GG18" s="242">
        <f t="shared" si="17"/>
        <v>1.8132366273798731E-3</v>
      </c>
      <c r="GH18" s="242">
        <f t="shared" si="18"/>
        <v>0</v>
      </c>
      <c r="GI18" s="242">
        <f t="shared" si="19"/>
        <v>7.0036264732547593E-2</v>
      </c>
      <c r="GJ18" s="242">
        <f t="shared" si="20"/>
        <v>1.8132366273798731E-3</v>
      </c>
    </row>
    <row r="19" spans="2:192" x14ac:dyDescent="0.25">
      <c r="B19" s="166">
        <v>1958</v>
      </c>
      <c r="C19">
        <v>24.2</v>
      </c>
      <c r="D19">
        <v>3673</v>
      </c>
      <c r="E19">
        <f t="shared" si="0"/>
        <v>3.673</v>
      </c>
      <c r="F19">
        <f t="shared" si="1"/>
        <v>20.527000000000001</v>
      </c>
      <c r="Q19" s="202">
        <v>2007</v>
      </c>
      <c r="R19" s="757">
        <v>30.2</v>
      </c>
      <c r="S19" s="758"/>
      <c r="T19" s="203">
        <v>10.1</v>
      </c>
      <c r="U19" s="203">
        <v>8.4</v>
      </c>
      <c r="V19" s="204">
        <v>0.9</v>
      </c>
      <c r="W19" s="203">
        <v>23.3</v>
      </c>
      <c r="X19" s="203">
        <v>161</v>
      </c>
      <c r="Y19" s="203">
        <v>15.3</v>
      </c>
      <c r="Z19" s="203">
        <v>10.6</v>
      </c>
      <c r="AA19" s="204">
        <v>89.2</v>
      </c>
      <c r="AB19" s="205">
        <v>349</v>
      </c>
      <c r="AF19">
        <v>0.25</v>
      </c>
      <c r="AG19" s="124">
        <f t="shared" si="36"/>
        <v>465.33333333333331</v>
      </c>
      <c r="AH19" s="124">
        <f t="shared" si="37"/>
        <v>116.33333333333333</v>
      </c>
      <c r="AK19">
        <v>8030</v>
      </c>
      <c r="AL19" s="241">
        <f t="shared" si="2"/>
        <v>2.3008595988538681E-2</v>
      </c>
      <c r="AN19" s="249">
        <v>1956</v>
      </c>
      <c r="AO19" s="252">
        <v>2600</v>
      </c>
      <c r="AP19" s="252">
        <v>6035</v>
      </c>
      <c r="AQ19" s="253">
        <v>0</v>
      </c>
      <c r="AR19" s="47"/>
      <c r="AS19" s="47"/>
      <c r="AT19" s="2">
        <v>2016</v>
      </c>
      <c r="AU19" s="47">
        <f t="shared" si="28"/>
        <v>23309</v>
      </c>
      <c r="AV19" s="47">
        <f t="shared" si="21"/>
        <v>512.28571428571433</v>
      </c>
      <c r="AW19" s="242">
        <f t="shared" si="29"/>
        <v>2.1739130434782612E-2</v>
      </c>
      <c r="AX19" s="268">
        <v>0.02</v>
      </c>
      <c r="AY19" s="47">
        <f t="shared" si="30"/>
        <v>23565.142857142855</v>
      </c>
      <c r="AZ19" s="47">
        <f t="shared" si="31"/>
        <v>2049.1428571428573</v>
      </c>
      <c r="BA19" s="242">
        <v>0.08</v>
      </c>
      <c r="BB19" s="47">
        <f t="shared" si="22"/>
        <v>25614.285714285714</v>
      </c>
      <c r="BC19" s="268">
        <v>0.09</v>
      </c>
      <c r="BE19" s="242">
        <f t="shared" si="32"/>
        <v>7.7928802588996773E-2</v>
      </c>
      <c r="BF19" s="47">
        <f t="shared" si="33"/>
        <v>1996.0906148867316</v>
      </c>
      <c r="BH19" s="242">
        <f t="shared" si="34"/>
        <v>2.0711974110032365E-3</v>
      </c>
      <c r="BI19" s="47">
        <f t="shared" si="35"/>
        <v>53.052242256125759</v>
      </c>
      <c r="BK19" s="242"/>
      <c r="BX19" s="47"/>
      <c r="CR19" s="745" t="s">
        <v>1063</v>
      </c>
      <c r="CS19" s="701" t="s">
        <v>1062</v>
      </c>
      <c r="CT19" s="718"/>
      <c r="DD19" s="475" t="s">
        <v>1099</v>
      </c>
      <c r="DE19" s="736" t="s">
        <v>1104</v>
      </c>
      <c r="DF19" s="737"/>
      <c r="DG19" s="475" t="s">
        <v>1099</v>
      </c>
      <c r="DI19" s="736" t="s">
        <v>1104</v>
      </c>
      <c r="DJ19" s="737"/>
      <c r="DO19" s="477" t="s">
        <v>1102</v>
      </c>
      <c r="DP19" s="476" t="s">
        <v>1101</v>
      </c>
      <c r="DW19" s="736" t="s">
        <v>1104</v>
      </c>
      <c r="DX19" s="737"/>
      <c r="DY19" s="475" t="s">
        <v>1099</v>
      </c>
      <c r="EA19" s="481" t="s">
        <v>1104</v>
      </c>
      <c r="EC19" s="477" t="s">
        <v>1102</v>
      </c>
      <c r="ED19" s="476" t="s">
        <v>1101</v>
      </c>
      <c r="EG19" s="2"/>
      <c r="EK19" s="476" t="s">
        <v>1101</v>
      </c>
      <c r="EM19">
        <v>1995</v>
      </c>
      <c r="EN19">
        <v>1052</v>
      </c>
      <c r="EO19">
        <v>5618</v>
      </c>
      <c r="EP19">
        <v>0</v>
      </c>
      <c r="EQ19">
        <v>4104</v>
      </c>
      <c r="ER19">
        <v>27432</v>
      </c>
      <c r="ES19">
        <v>38206</v>
      </c>
      <c r="ET19">
        <v>540</v>
      </c>
      <c r="EU19">
        <v>8674</v>
      </c>
      <c r="EV19">
        <v>156</v>
      </c>
      <c r="EW19">
        <v>23928</v>
      </c>
      <c r="EX19">
        <v>527</v>
      </c>
      <c r="EY19">
        <v>33825</v>
      </c>
      <c r="EZ19">
        <v>1592</v>
      </c>
      <c r="FA19">
        <v>14292</v>
      </c>
      <c r="FB19">
        <v>156</v>
      </c>
      <c r="FC19">
        <v>28032</v>
      </c>
      <c r="FD19">
        <v>27959</v>
      </c>
      <c r="FE19">
        <v>72031</v>
      </c>
      <c r="FF19">
        <v>76723</v>
      </c>
      <c r="FG19">
        <v>26175</v>
      </c>
      <c r="FI19">
        <v>1995</v>
      </c>
      <c r="FJ19" s="47">
        <f t="shared" si="3"/>
        <v>4756</v>
      </c>
      <c r="FK19" s="47">
        <f t="shared" si="4"/>
        <v>18556</v>
      </c>
      <c r="FL19" s="47">
        <f t="shared" si="5"/>
        <v>192</v>
      </c>
      <c r="FM19" s="47">
        <f t="shared" si="23"/>
        <v>23504</v>
      </c>
      <c r="FN19" s="47">
        <f t="shared" si="24"/>
        <v>18748</v>
      </c>
      <c r="FO19" s="47"/>
      <c r="FP19" s="47">
        <f t="shared" si="6"/>
        <v>468</v>
      </c>
      <c r="FQ19" s="47">
        <f t="shared" si="7"/>
        <v>1146</v>
      </c>
      <c r="FR19" s="47">
        <f t="shared" si="8"/>
        <v>4</v>
      </c>
      <c r="FS19" s="47">
        <f t="shared" si="25"/>
        <v>1618</v>
      </c>
      <c r="FT19" s="47">
        <f t="shared" si="26"/>
        <v>1150</v>
      </c>
      <c r="FU19" s="47"/>
      <c r="FV19" s="47">
        <f t="shared" si="9"/>
        <v>95698</v>
      </c>
      <c r="FW19" s="47">
        <f t="shared" si="10"/>
        <v>7200</v>
      </c>
      <c r="FX19" s="47">
        <f t="shared" si="27"/>
        <v>102898</v>
      </c>
      <c r="FZ19" s="242">
        <f t="shared" si="11"/>
        <v>4.9698008317833185E-2</v>
      </c>
      <c r="GA19" s="242">
        <f t="shared" si="12"/>
        <v>0.19390164893728187</v>
      </c>
      <c r="GB19" s="242">
        <f t="shared" si="13"/>
        <v>2.0063115216618949E-3</v>
      </c>
      <c r="GC19" s="242">
        <f t="shared" si="14"/>
        <v>0.24560596877677696</v>
      </c>
      <c r="GD19" s="242">
        <f t="shared" si="15"/>
        <v>0.19590796045894376</v>
      </c>
      <c r="GE19" s="47"/>
      <c r="GF19" s="242">
        <f t="shared" si="16"/>
        <v>6.5000000000000002E-2</v>
      </c>
      <c r="GG19" s="242">
        <f t="shared" si="17"/>
        <v>0.15916666666666668</v>
      </c>
      <c r="GH19" s="242">
        <f t="shared" si="18"/>
        <v>5.5555555555555556E-4</v>
      </c>
      <c r="GI19" s="242">
        <f t="shared" si="19"/>
        <v>0.22472222222222221</v>
      </c>
      <c r="GJ19" s="242">
        <f t="shared" si="20"/>
        <v>0.15972222222222221</v>
      </c>
    </row>
    <row r="20" spans="2:192" x14ac:dyDescent="0.25">
      <c r="B20" s="166">
        <v>1959</v>
      </c>
      <c r="C20">
        <v>21.2</v>
      </c>
      <c r="D20">
        <v>2573</v>
      </c>
      <c r="E20">
        <f t="shared" si="0"/>
        <v>2.573</v>
      </c>
      <c r="F20">
        <f t="shared" si="1"/>
        <v>18.626999999999999</v>
      </c>
      <c r="Q20" s="202">
        <v>2008</v>
      </c>
      <c r="R20" s="757">
        <v>13.1</v>
      </c>
      <c r="S20" s="758"/>
      <c r="T20" s="203">
        <v>47.3</v>
      </c>
      <c r="U20" s="203">
        <v>8.6</v>
      </c>
      <c r="V20" s="204">
        <v>2.2000000000000002</v>
      </c>
      <c r="W20" s="203">
        <v>40.799999999999997</v>
      </c>
      <c r="X20" s="203">
        <v>240.9</v>
      </c>
      <c r="Y20" s="203">
        <v>26.2</v>
      </c>
      <c r="Z20" s="203">
        <v>6.2</v>
      </c>
      <c r="AA20" s="204">
        <v>135.5</v>
      </c>
      <c r="AB20" s="205">
        <v>520.79999999999995</v>
      </c>
      <c r="AF20">
        <v>0.04</v>
      </c>
      <c r="AG20" s="124">
        <f t="shared" si="36"/>
        <v>542.5</v>
      </c>
      <c r="AH20" s="124">
        <f t="shared" si="37"/>
        <v>21.7</v>
      </c>
      <c r="AK20">
        <v>21625</v>
      </c>
      <c r="AL20" s="241">
        <f t="shared" si="2"/>
        <v>4.1522657450076807E-2</v>
      </c>
      <c r="AN20" s="249">
        <v>1957</v>
      </c>
      <c r="AO20" s="252">
        <v>2950</v>
      </c>
      <c r="AP20" s="252">
        <v>1200</v>
      </c>
      <c r="AQ20" s="253">
        <v>0</v>
      </c>
      <c r="AR20" s="47"/>
      <c r="AS20" s="47"/>
      <c r="AT20" s="2">
        <v>2017</v>
      </c>
      <c r="AU20" s="47">
        <f t="shared" si="28"/>
        <v>29143</v>
      </c>
      <c r="AV20" s="47">
        <f t="shared" si="21"/>
        <v>1309.7977528089887</v>
      </c>
      <c r="AW20" s="242">
        <f t="shared" si="29"/>
        <v>4.301075268817204E-2</v>
      </c>
      <c r="AX20" s="268">
        <v>0.04</v>
      </c>
      <c r="AY20" s="47">
        <f t="shared" si="30"/>
        <v>30452.797752808987</v>
      </c>
      <c r="AZ20" s="47">
        <f t="shared" si="31"/>
        <v>2292.1460674157306</v>
      </c>
      <c r="BA20" s="242">
        <v>7.0000000000000007E-2</v>
      </c>
      <c r="BB20" s="47">
        <f t="shared" si="22"/>
        <v>32744.943820224718</v>
      </c>
      <c r="BC20" s="268">
        <v>0.11</v>
      </c>
      <c r="BE20" s="242">
        <f t="shared" si="32"/>
        <v>2.0247218788627938E-2</v>
      </c>
      <c r="BF20" s="47">
        <f t="shared" si="33"/>
        <v>662.99404174942026</v>
      </c>
      <c r="BH20" s="242">
        <f t="shared" si="34"/>
        <v>4.9752781211372069E-2</v>
      </c>
      <c r="BI20" s="47">
        <f t="shared" si="35"/>
        <v>1629.1520256663102</v>
      </c>
      <c r="BK20" s="242"/>
      <c r="BQ20" s="750" t="s">
        <v>1040</v>
      </c>
      <c r="BR20" s="751"/>
      <c r="BS20" s="752"/>
      <c r="BT20" s="701" t="s">
        <v>409</v>
      </c>
      <c r="BU20" s="718"/>
      <c r="BV20" s="753" t="s">
        <v>1103</v>
      </c>
      <c r="BW20" s="701"/>
      <c r="BX20" s="718"/>
      <c r="CA20" s="753" t="s">
        <v>1042</v>
      </c>
      <c r="CB20" s="701"/>
      <c r="CC20" s="718"/>
      <c r="CD20" s="753" t="s">
        <v>1041</v>
      </c>
      <c r="CE20" s="718"/>
      <c r="CI20" s="748" t="s">
        <v>1063</v>
      </c>
      <c r="CJ20" s="749"/>
      <c r="CR20" s="746"/>
      <c r="DJ20" s="479"/>
      <c r="EA20" s="479">
        <f>EA18+DJ18</f>
        <v>28564</v>
      </c>
      <c r="EM20">
        <v>1996</v>
      </c>
      <c r="EN20">
        <v>634</v>
      </c>
      <c r="EO20">
        <v>3466</v>
      </c>
      <c r="EP20">
        <v>100</v>
      </c>
      <c r="EQ20">
        <v>13872</v>
      </c>
      <c r="ER20">
        <v>52115</v>
      </c>
      <c r="ES20">
        <v>70187</v>
      </c>
      <c r="ET20">
        <v>276</v>
      </c>
      <c r="EU20">
        <v>1042</v>
      </c>
      <c r="EV20">
        <v>0</v>
      </c>
      <c r="EW20">
        <v>15030</v>
      </c>
      <c r="EX20">
        <v>1412</v>
      </c>
      <c r="EY20">
        <v>17760</v>
      </c>
      <c r="EZ20">
        <v>910</v>
      </c>
      <c r="FA20">
        <v>4508</v>
      </c>
      <c r="FB20">
        <v>100</v>
      </c>
      <c r="FC20">
        <v>28902</v>
      </c>
      <c r="FD20">
        <v>53527</v>
      </c>
      <c r="FE20">
        <v>87947</v>
      </c>
      <c r="FF20">
        <v>89886</v>
      </c>
      <c r="FG20">
        <v>45694</v>
      </c>
      <c r="FI20">
        <v>1996</v>
      </c>
      <c r="FJ20" s="47">
        <f t="shared" si="3"/>
        <v>3216</v>
      </c>
      <c r="FK20" s="47">
        <f t="shared" si="4"/>
        <v>12856</v>
      </c>
      <c r="FL20" s="47">
        <f t="shared" si="5"/>
        <v>100</v>
      </c>
      <c r="FM20" s="47">
        <f t="shared" si="23"/>
        <v>16172</v>
      </c>
      <c r="FN20" s="47">
        <f t="shared" si="24"/>
        <v>12956</v>
      </c>
      <c r="FO20" s="47"/>
      <c r="FP20" s="47">
        <f t="shared" si="6"/>
        <v>252</v>
      </c>
      <c r="FQ20" s="47">
        <f t="shared" si="7"/>
        <v>954</v>
      </c>
      <c r="FR20" s="47">
        <f t="shared" si="8"/>
        <v>2</v>
      </c>
      <c r="FS20" s="47">
        <f t="shared" si="25"/>
        <v>1208</v>
      </c>
      <c r="FT20" s="47">
        <f t="shared" si="26"/>
        <v>956</v>
      </c>
      <c r="FU20" s="47"/>
      <c r="FV20" s="47">
        <f t="shared" si="9"/>
        <v>129397</v>
      </c>
      <c r="FW20" s="47">
        <f t="shared" si="10"/>
        <v>6183</v>
      </c>
      <c r="FX20" s="47">
        <f t="shared" si="27"/>
        <v>135580</v>
      </c>
      <c r="FZ20" s="242">
        <f t="shared" si="11"/>
        <v>2.4853744677233631E-2</v>
      </c>
      <c r="GA20" s="242">
        <f t="shared" si="12"/>
        <v>9.9353153473419012E-2</v>
      </c>
      <c r="GB20" s="242">
        <f t="shared" si="13"/>
        <v>7.7281544394383172E-4</v>
      </c>
      <c r="GC20" s="242">
        <f t="shared" si="14"/>
        <v>0.12497971359459648</v>
      </c>
      <c r="GD20" s="242">
        <f t="shared" si="15"/>
        <v>0.10012596891736285</v>
      </c>
      <c r="GE20" s="47"/>
      <c r="GF20" s="242">
        <f t="shared" si="16"/>
        <v>4.0756914119359534E-2</v>
      </c>
      <c r="GG20" s="242">
        <f t="shared" si="17"/>
        <v>0.15429403202328967</v>
      </c>
      <c r="GH20" s="242">
        <f t="shared" si="18"/>
        <v>3.2346757237586933E-4</v>
      </c>
      <c r="GI20" s="242">
        <f t="shared" si="19"/>
        <v>0.19537441371502506</v>
      </c>
      <c r="GJ20" s="242">
        <f t="shared" si="20"/>
        <v>0.15461749959566554</v>
      </c>
    </row>
    <row r="21" spans="2:192" x14ac:dyDescent="0.25">
      <c r="B21" s="166">
        <v>1960</v>
      </c>
      <c r="C21">
        <v>47.7</v>
      </c>
      <c r="D21">
        <v>3268</v>
      </c>
      <c r="E21">
        <f t="shared" si="0"/>
        <v>3.2679999999999998</v>
      </c>
      <c r="F21">
        <f t="shared" si="1"/>
        <v>44.432000000000002</v>
      </c>
      <c r="Q21" s="202">
        <v>2009</v>
      </c>
      <c r="R21" s="757">
        <v>43.8</v>
      </c>
      <c r="S21" s="758"/>
      <c r="T21" s="203">
        <v>80.400000000000006</v>
      </c>
      <c r="U21" s="203">
        <v>48.1</v>
      </c>
      <c r="V21" s="204">
        <v>4</v>
      </c>
      <c r="W21" s="203">
        <v>36.5</v>
      </c>
      <c r="X21" s="203">
        <v>260.39999999999998</v>
      </c>
      <c r="Y21" s="203">
        <v>29.7</v>
      </c>
      <c r="Z21" s="203">
        <v>32.299999999999997</v>
      </c>
      <c r="AA21" s="204">
        <v>224.9</v>
      </c>
      <c r="AB21" s="205">
        <v>760.2</v>
      </c>
      <c r="AF21">
        <v>0.17</v>
      </c>
      <c r="AG21" s="124">
        <f t="shared" si="36"/>
        <v>915.9036144578314</v>
      </c>
      <c r="AH21" s="124">
        <f t="shared" si="37"/>
        <v>155.70361445783135</v>
      </c>
      <c r="AK21">
        <v>15675</v>
      </c>
      <c r="AL21" s="241">
        <f t="shared" si="2"/>
        <v>2.0619573796369375E-2</v>
      </c>
      <c r="AN21" s="249">
        <v>1958</v>
      </c>
      <c r="AO21" s="253">
        <v>394</v>
      </c>
      <c r="AP21" s="253">
        <v>976</v>
      </c>
      <c r="AQ21" s="253">
        <v>0</v>
      </c>
      <c r="BQ21" s="743" t="s">
        <v>1119</v>
      </c>
      <c r="BR21" s="641"/>
      <c r="BS21" s="744"/>
      <c r="CI21" s="58"/>
      <c r="CR21" s="747"/>
      <c r="EM21">
        <v>1997</v>
      </c>
      <c r="EN21">
        <v>0</v>
      </c>
      <c r="EO21">
        <v>1082</v>
      </c>
      <c r="EP21">
        <v>26</v>
      </c>
      <c r="EQ21">
        <v>20496</v>
      </c>
      <c r="ER21">
        <v>58149</v>
      </c>
      <c r="ES21">
        <v>79753</v>
      </c>
      <c r="ET21">
        <v>0</v>
      </c>
      <c r="EU21">
        <v>218</v>
      </c>
      <c r="EV21">
        <v>4</v>
      </c>
      <c r="EW21">
        <v>17852</v>
      </c>
      <c r="EX21">
        <v>915</v>
      </c>
      <c r="EY21">
        <v>18989</v>
      </c>
      <c r="EZ21">
        <v>0</v>
      </c>
      <c r="FA21">
        <v>1300</v>
      </c>
      <c r="FB21">
        <v>30</v>
      </c>
      <c r="FC21">
        <v>38348</v>
      </c>
      <c r="FD21">
        <v>59064</v>
      </c>
      <c r="FE21">
        <v>98742</v>
      </c>
      <c r="FF21">
        <v>103992</v>
      </c>
      <c r="FG21">
        <v>68968</v>
      </c>
      <c r="FI21">
        <v>1997</v>
      </c>
      <c r="FJ21" s="47">
        <f t="shared" si="3"/>
        <v>70</v>
      </c>
      <c r="FK21" s="47">
        <f t="shared" si="4"/>
        <v>13342</v>
      </c>
      <c r="FL21" s="47">
        <f t="shared" si="5"/>
        <v>30</v>
      </c>
      <c r="FM21" s="47">
        <f t="shared" si="23"/>
        <v>13442</v>
      </c>
      <c r="FN21" s="47">
        <f t="shared" si="24"/>
        <v>13372</v>
      </c>
      <c r="FO21" s="47"/>
      <c r="FP21" s="47">
        <f t="shared" si="6"/>
        <v>8</v>
      </c>
      <c r="FQ21" s="47">
        <f t="shared" si="7"/>
        <v>1426</v>
      </c>
      <c r="FR21" s="47">
        <f t="shared" si="8"/>
        <v>0</v>
      </c>
      <c r="FS21" s="47">
        <f t="shared" si="25"/>
        <v>1434</v>
      </c>
      <c r="FT21" s="47">
        <f t="shared" si="26"/>
        <v>1426</v>
      </c>
      <c r="FU21" s="47"/>
      <c r="FV21" s="47">
        <f t="shared" si="9"/>
        <v>160762</v>
      </c>
      <c r="FW21" s="47">
        <f t="shared" si="10"/>
        <v>12198</v>
      </c>
      <c r="FX21" s="47">
        <f t="shared" si="27"/>
        <v>172960</v>
      </c>
      <c r="FZ21" s="242">
        <f t="shared" si="11"/>
        <v>4.3542628233040145E-4</v>
      </c>
      <c r="GA21" s="242">
        <f t="shared" si="12"/>
        <v>8.2992249412174521E-2</v>
      </c>
      <c r="GB21" s="242">
        <f t="shared" si="13"/>
        <v>1.8661126385588635E-4</v>
      </c>
      <c r="GC21" s="242">
        <f t="shared" si="14"/>
        <v>8.3614286958360803E-2</v>
      </c>
      <c r="GD21" s="242">
        <f t="shared" si="15"/>
        <v>8.3178860676030406E-2</v>
      </c>
      <c r="GE21" s="47"/>
      <c r="GF21" s="242">
        <f t="shared" si="16"/>
        <v>6.5584522052795544E-4</v>
      </c>
      <c r="GG21" s="242">
        <f t="shared" si="17"/>
        <v>0.11690441055910805</v>
      </c>
      <c r="GH21" s="242">
        <f t="shared" si="18"/>
        <v>0</v>
      </c>
      <c r="GI21" s="242">
        <f t="shared" si="19"/>
        <v>0.11756025577963601</v>
      </c>
      <c r="GJ21" s="242">
        <f t="shared" si="20"/>
        <v>0.11690441055910805</v>
      </c>
    </row>
    <row r="22" spans="2:192" x14ac:dyDescent="0.25">
      <c r="B22" s="166">
        <v>1961</v>
      </c>
      <c r="C22">
        <v>112.4</v>
      </c>
      <c r="D22">
        <v>3456</v>
      </c>
      <c r="E22">
        <f t="shared" si="0"/>
        <v>3.456</v>
      </c>
      <c r="F22">
        <f t="shared" si="1"/>
        <v>108.944</v>
      </c>
      <c r="Q22" s="202">
        <v>2010</v>
      </c>
      <c r="R22" s="757">
        <v>18.899999999999999</v>
      </c>
      <c r="S22" s="758"/>
      <c r="T22" s="203">
        <v>57.4</v>
      </c>
      <c r="U22" s="203">
        <v>8</v>
      </c>
      <c r="V22" s="204">
        <v>1.6</v>
      </c>
      <c r="W22" s="203">
        <v>22.4</v>
      </c>
      <c r="X22" s="203">
        <v>189.3</v>
      </c>
      <c r="Y22" s="203">
        <v>30.8</v>
      </c>
      <c r="Z22" s="203">
        <v>22.3</v>
      </c>
      <c r="AA22" s="204">
        <v>120.7</v>
      </c>
      <c r="AB22" s="205">
        <v>471.3</v>
      </c>
      <c r="AF22">
        <v>0.06</v>
      </c>
      <c r="AG22" s="124">
        <f t="shared" si="36"/>
        <v>501.38297872340428</v>
      </c>
      <c r="AH22" s="124">
        <f t="shared" si="37"/>
        <v>30.082978723404256</v>
      </c>
      <c r="AK22">
        <v>11485</v>
      </c>
      <c r="AL22" s="241">
        <f t="shared" si="2"/>
        <v>2.4368767239550178E-2</v>
      </c>
      <c r="AN22" s="249">
        <v>1959</v>
      </c>
      <c r="AO22" s="252">
        <v>2065</v>
      </c>
      <c r="AP22" s="253">
        <v>840</v>
      </c>
      <c r="AQ22" s="253">
        <v>0</v>
      </c>
      <c r="AT22" s="462" t="s">
        <v>1038</v>
      </c>
      <c r="AU22" s="421">
        <f>AVERAGE(AU11:AU21)</f>
        <v>31574.486864967366</v>
      </c>
      <c r="AV22" s="421">
        <f t="shared" ref="AV22:BB22" si="38">AVERAGE(AV11:AV20)</f>
        <v>1978.7393953708568</v>
      </c>
      <c r="AW22" s="463">
        <f t="shared" si="38"/>
        <v>5.6650540585026242E-2</v>
      </c>
      <c r="AX22" s="463">
        <f t="shared" si="38"/>
        <v>5.1000000000000011E-2</v>
      </c>
      <c r="AY22" s="421">
        <f t="shared" si="38"/>
        <v>33527.611974623942</v>
      </c>
      <c r="AZ22" s="421">
        <f t="shared" si="38"/>
        <v>3493.9776557070932</v>
      </c>
      <c r="BA22" s="463">
        <f t="shared" si="38"/>
        <v>9.2999999999999999E-2</v>
      </c>
      <c r="BB22" s="421">
        <f t="shared" si="38"/>
        <v>37021.589630331029</v>
      </c>
      <c r="BC22" s="463">
        <f>AVERAGE(BC11:BC20)</f>
        <v>0.14300000000000002</v>
      </c>
      <c r="BD22" s="25"/>
      <c r="BE22" s="463">
        <f>AVERAGE(BE11:BE20)</f>
        <v>1.7203661474809385E-2</v>
      </c>
      <c r="BF22" s="421">
        <f>AVERAGE(BF11:BF20)</f>
        <v>523.24648609860242</v>
      </c>
      <c r="BG22" s="25"/>
      <c r="BH22" s="463">
        <f>AVERAGE(BH11:BH20)</f>
        <v>7.5796338525190604E-2</v>
      </c>
      <c r="BI22" s="421">
        <f>AVERAGE(BI11:BI20)</f>
        <v>2970.7311696084907</v>
      </c>
      <c r="EM22">
        <v>1998</v>
      </c>
      <c r="EN22">
        <v>5</v>
      </c>
      <c r="EO22">
        <v>6265</v>
      </c>
      <c r="EP22">
        <v>1988</v>
      </c>
      <c r="EQ22">
        <v>15746</v>
      </c>
      <c r="ER22">
        <v>89247</v>
      </c>
      <c r="ES22">
        <v>113251</v>
      </c>
      <c r="ET22">
        <v>0</v>
      </c>
      <c r="EU22">
        <v>982</v>
      </c>
      <c r="EV22">
        <v>503</v>
      </c>
      <c r="EW22">
        <v>16818</v>
      </c>
      <c r="EX22">
        <v>904</v>
      </c>
      <c r="EY22">
        <v>19207</v>
      </c>
      <c r="EZ22">
        <v>5</v>
      </c>
      <c r="FA22">
        <v>7247</v>
      </c>
      <c r="FB22">
        <v>2491</v>
      </c>
      <c r="FC22">
        <v>32564</v>
      </c>
      <c r="FD22">
        <v>90151</v>
      </c>
      <c r="FE22">
        <v>132458</v>
      </c>
      <c r="FF22">
        <v>136331</v>
      </c>
      <c r="FG22">
        <v>59927</v>
      </c>
      <c r="FI22">
        <v>1998</v>
      </c>
      <c r="FJ22" s="47">
        <f t="shared" si="3"/>
        <v>6</v>
      </c>
      <c r="FK22" s="47">
        <f t="shared" si="4"/>
        <v>11618</v>
      </c>
      <c r="FL22" s="47">
        <f t="shared" si="5"/>
        <v>2938</v>
      </c>
      <c r="FM22" s="47">
        <f t="shared" si="23"/>
        <v>14562</v>
      </c>
      <c r="FN22" s="47">
        <f t="shared" si="24"/>
        <v>14556</v>
      </c>
      <c r="FO22" s="47"/>
      <c r="FP22" s="47">
        <f t="shared" si="6"/>
        <v>0</v>
      </c>
      <c r="FQ22" s="47">
        <f t="shared" si="7"/>
        <v>393</v>
      </c>
      <c r="FR22" s="47">
        <f t="shared" si="8"/>
        <v>111</v>
      </c>
      <c r="FS22" s="47">
        <f t="shared" si="25"/>
        <v>504</v>
      </c>
      <c r="FT22" s="47">
        <f t="shared" si="26"/>
        <v>504</v>
      </c>
      <c r="FU22" s="47"/>
      <c r="FV22" s="47">
        <f t="shared" si="9"/>
        <v>186734</v>
      </c>
      <c r="FW22" s="47">
        <f t="shared" si="10"/>
        <v>9524</v>
      </c>
      <c r="FX22" s="47">
        <f t="shared" si="27"/>
        <v>196258</v>
      </c>
      <c r="FZ22" s="242">
        <f t="shared" si="11"/>
        <v>3.2131266935855284E-5</v>
      </c>
      <c r="GA22" s="242">
        <f t="shared" si="12"/>
        <v>6.2216843210127777E-2</v>
      </c>
      <c r="GB22" s="242">
        <f t="shared" si="13"/>
        <v>1.5733610376257135E-2</v>
      </c>
      <c r="GC22" s="242">
        <f t="shared" si="14"/>
        <v>7.7982584853320769E-2</v>
      </c>
      <c r="GD22" s="242">
        <f t="shared" si="15"/>
        <v>7.7950453586384916E-2</v>
      </c>
      <c r="GE22" s="47"/>
      <c r="GF22" s="242">
        <f t="shared" si="16"/>
        <v>0</v>
      </c>
      <c r="GG22" s="242">
        <f t="shared" si="17"/>
        <v>4.1264174716505668E-2</v>
      </c>
      <c r="GH22" s="242">
        <f t="shared" si="18"/>
        <v>1.1654766904661907E-2</v>
      </c>
      <c r="GI22" s="242">
        <f t="shared" si="19"/>
        <v>5.291894162116758E-2</v>
      </c>
      <c r="GJ22" s="242">
        <f t="shared" si="20"/>
        <v>5.291894162116758E-2</v>
      </c>
    </row>
    <row r="23" spans="2:192" ht="15.75" thickBot="1" x14ac:dyDescent="0.3">
      <c r="B23" s="166">
        <v>1962</v>
      </c>
      <c r="C23">
        <v>184.7</v>
      </c>
      <c r="D23">
        <v>14788</v>
      </c>
      <c r="E23">
        <f t="shared" si="0"/>
        <v>14.788</v>
      </c>
      <c r="F23">
        <f t="shared" si="1"/>
        <v>169.91199999999998</v>
      </c>
      <c r="Q23" s="202">
        <v>2011</v>
      </c>
      <c r="R23" s="757">
        <v>13.5</v>
      </c>
      <c r="S23" s="758"/>
      <c r="T23" s="203">
        <v>48.8</v>
      </c>
      <c r="U23" s="203">
        <v>7.6</v>
      </c>
      <c r="V23" s="204">
        <v>1.7</v>
      </c>
      <c r="W23" s="203">
        <v>16.399999999999999</v>
      </c>
      <c r="X23" s="203">
        <v>108.3</v>
      </c>
      <c r="Y23" s="203">
        <v>25.2</v>
      </c>
      <c r="Z23" s="203">
        <v>8.6999999999999993</v>
      </c>
      <c r="AA23" s="204">
        <v>146.5</v>
      </c>
      <c r="AB23" s="205">
        <v>376.5</v>
      </c>
      <c r="AF23">
        <v>7.0000000000000007E-2</v>
      </c>
      <c r="AG23" s="124">
        <f t="shared" si="36"/>
        <v>404.83870967741939</v>
      </c>
      <c r="AH23" s="124">
        <f t="shared" si="37"/>
        <v>28.338709677419359</v>
      </c>
      <c r="AK23">
        <v>22941</v>
      </c>
      <c r="AL23" s="241">
        <f t="shared" si="2"/>
        <v>6.0932270916334658E-2</v>
      </c>
      <c r="AN23" s="254">
        <v>1960</v>
      </c>
      <c r="AO23" s="256">
        <v>512</v>
      </c>
      <c r="AP23" s="256">
        <v>458</v>
      </c>
      <c r="AQ23" s="256">
        <v>0</v>
      </c>
      <c r="AT23" s="17"/>
      <c r="AU23" s="312"/>
      <c r="AV23" s="312"/>
      <c r="AW23" s="482"/>
      <c r="AX23" s="482"/>
      <c r="AY23" s="482"/>
      <c r="AZ23" s="312"/>
      <c r="BA23" s="17"/>
      <c r="BB23" s="17"/>
      <c r="BC23" s="17"/>
      <c r="EM23">
        <v>1999</v>
      </c>
      <c r="EN23">
        <v>56</v>
      </c>
      <c r="EO23">
        <v>14803</v>
      </c>
      <c r="EP23">
        <v>6240</v>
      </c>
      <c r="EQ23">
        <v>36925</v>
      </c>
      <c r="ER23">
        <v>93086</v>
      </c>
      <c r="ES23">
        <v>151110</v>
      </c>
      <c r="ET23">
        <v>19</v>
      </c>
      <c r="EU23">
        <v>1999</v>
      </c>
      <c r="EV23">
        <v>1179</v>
      </c>
      <c r="EW23">
        <v>16965</v>
      </c>
      <c r="EX23">
        <v>452</v>
      </c>
      <c r="EY23">
        <v>20614</v>
      </c>
      <c r="EZ23">
        <v>75</v>
      </c>
      <c r="FA23">
        <v>16802</v>
      </c>
      <c r="FB23">
        <v>7419</v>
      </c>
      <c r="FC23">
        <v>53890</v>
      </c>
      <c r="FD23">
        <v>93538</v>
      </c>
      <c r="FE23">
        <v>171724</v>
      </c>
      <c r="FF23">
        <v>179445</v>
      </c>
      <c r="FG23">
        <v>165048</v>
      </c>
      <c r="FI23">
        <v>1999</v>
      </c>
      <c r="FJ23" s="47">
        <f t="shared" ref="FJ23:FL41" si="39">EN23+ET23+EN94</f>
        <v>103</v>
      </c>
      <c r="FK23" s="47">
        <f t="shared" si="39"/>
        <v>43015</v>
      </c>
      <c r="FL23" s="47">
        <f t="shared" si="39"/>
        <v>10699</v>
      </c>
      <c r="FM23" s="47">
        <f t="shared" si="23"/>
        <v>53817</v>
      </c>
      <c r="FN23" s="47">
        <f t="shared" si="24"/>
        <v>53714</v>
      </c>
      <c r="FO23" s="47"/>
      <c r="FP23" s="47">
        <f t="shared" ref="FP23:FR41" si="40">EN58+ET58+EZ58</f>
        <v>6</v>
      </c>
      <c r="FQ23" s="47">
        <f t="shared" si="40"/>
        <v>853</v>
      </c>
      <c r="FR23" s="47">
        <f t="shared" si="40"/>
        <v>394</v>
      </c>
      <c r="FS23" s="47">
        <f t="shared" si="25"/>
        <v>1253</v>
      </c>
      <c r="FT23" s="47">
        <f t="shared" si="26"/>
        <v>1247</v>
      </c>
      <c r="FU23" s="47"/>
      <c r="FV23" s="47">
        <f t="shared" ref="FV23:FV41" si="41">ES23+EY23+ES94</f>
        <v>320498</v>
      </c>
      <c r="FW23" s="47">
        <f t="shared" ref="FW23:FW41" si="42">ES58+EY58+FE58</f>
        <v>23995</v>
      </c>
      <c r="FX23" s="47">
        <f t="shared" si="27"/>
        <v>344493</v>
      </c>
      <c r="FZ23" s="242">
        <f t="shared" si="11"/>
        <v>3.2137486037354365E-4</v>
      </c>
      <c r="GA23" s="242">
        <f t="shared" si="12"/>
        <v>0.13421300600939787</v>
      </c>
      <c r="GB23" s="242">
        <f t="shared" si="13"/>
        <v>3.3382423603267417E-2</v>
      </c>
      <c r="GC23" s="242">
        <f t="shared" si="14"/>
        <v>0.16791680447303883</v>
      </c>
      <c r="GD23" s="242">
        <f t="shared" si="15"/>
        <v>0.1675954296126653</v>
      </c>
      <c r="GE23" s="47"/>
      <c r="GF23" s="242">
        <f t="shared" si="16"/>
        <v>2.5005209418628882E-4</v>
      </c>
      <c r="GG23" s="242">
        <f t="shared" si="17"/>
        <v>3.5549072723484058E-2</v>
      </c>
      <c r="GH23" s="242">
        <f t="shared" si="18"/>
        <v>1.6420087518232967E-2</v>
      </c>
      <c r="GI23" s="242">
        <f t="shared" si="19"/>
        <v>5.2219212335903313E-2</v>
      </c>
      <c r="GJ23" s="242">
        <f t="shared" si="20"/>
        <v>5.1969160241717022E-2</v>
      </c>
    </row>
    <row r="24" spans="2:192" ht="15.75" thickBot="1" x14ac:dyDescent="0.3">
      <c r="B24" s="166">
        <v>1963</v>
      </c>
      <c r="C24">
        <v>161.9</v>
      </c>
      <c r="D24">
        <v>12658</v>
      </c>
      <c r="E24">
        <f t="shared" si="0"/>
        <v>12.657999999999999</v>
      </c>
      <c r="F24">
        <f t="shared" si="1"/>
        <v>149.24200000000002</v>
      </c>
      <c r="Q24" s="202">
        <v>2012</v>
      </c>
      <c r="R24" s="757">
        <v>2.6</v>
      </c>
      <c r="S24" s="758"/>
      <c r="T24" s="203">
        <v>14.5</v>
      </c>
      <c r="U24" s="203">
        <v>7.4</v>
      </c>
      <c r="V24" s="204">
        <v>0.9</v>
      </c>
      <c r="W24" s="203">
        <v>3.8</v>
      </c>
      <c r="X24" s="203">
        <v>41.9</v>
      </c>
      <c r="Y24" s="203">
        <v>8.8000000000000007</v>
      </c>
      <c r="Z24" s="203">
        <v>9.1</v>
      </c>
      <c r="AA24" s="204">
        <v>55</v>
      </c>
      <c r="AB24" s="205">
        <v>143.9</v>
      </c>
      <c r="AF24">
        <v>0.16</v>
      </c>
      <c r="AG24" s="124">
        <f t="shared" si="36"/>
        <v>171.30952380952382</v>
      </c>
      <c r="AH24" s="124">
        <f t="shared" si="37"/>
        <v>27.409523809523812</v>
      </c>
      <c r="AK24">
        <v>7070</v>
      </c>
      <c r="AL24" s="241">
        <f t="shared" si="2"/>
        <v>4.9131341209173035E-2</v>
      </c>
      <c r="AN24" s="257">
        <v>1961</v>
      </c>
      <c r="AO24" s="251">
        <v>0</v>
      </c>
      <c r="AP24" s="251">
        <v>0</v>
      </c>
      <c r="AQ24" s="251">
        <v>0</v>
      </c>
      <c r="BO24" s="739" t="s">
        <v>1126</v>
      </c>
      <c r="BP24" s="740"/>
      <c r="BQ24" s="740"/>
      <c r="BR24" s="740"/>
      <c r="BS24" s="740"/>
      <c r="BT24" s="740"/>
      <c r="BU24" s="740"/>
      <c r="BV24" s="740"/>
      <c r="BW24" s="740"/>
      <c r="BX24" s="741"/>
      <c r="EM24">
        <v>2000</v>
      </c>
      <c r="EN24">
        <v>26</v>
      </c>
      <c r="EO24">
        <v>25692</v>
      </c>
      <c r="EP24">
        <v>11957</v>
      </c>
      <c r="EQ24">
        <v>90908</v>
      </c>
      <c r="ER24">
        <v>166055</v>
      </c>
      <c r="ES24">
        <v>294638</v>
      </c>
      <c r="ET24">
        <v>37</v>
      </c>
      <c r="EU24">
        <v>3552</v>
      </c>
      <c r="EV24">
        <v>2369</v>
      </c>
      <c r="EW24">
        <v>38399</v>
      </c>
      <c r="EX24">
        <v>360</v>
      </c>
      <c r="EY24">
        <v>44717</v>
      </c>
      <c r="EZ24">
        <v>63</v>
      </c>
      <c r="FA24">
        <v>29244</v>
      </c>
      <c r="FB24">
        <v>14326</v>
      </c>
      <c r="FC24">
        <v>129307</v>
      </c>
      <c r="FD24">
        <v>166415</v>
      </c>
      <c r="FE24">
        <v>339355</v>
      </c>
      <c r="FF24">
        <v>350779</v>
      </c>
      <c r="FG24">
        <v>284801</v>
      </c>
      <c r="FI24">
        <v>2000</v>
      </c>
      <c r="FJ24" s="47">
        <f t="shared" si="39"/>
        <v>112</v>
      </c>
      <c r="FK24" s="47">
        <f t="shared" si="39"/>
        <v>76855</v>
      </c>
      <c r="FL24" s="47">
        <f t="shared" si="39"/>
        <v>20775</v>
      </c>
      <c r="FM24" s="47">
        <f t="shared" si="23"/>
        <v>97742</v>
      </c>
      <c r="FN24" s="47">
        <f t="shared" si="24"/>
        <v>97630</v>
      </c>
      <c r="FO24" s="47"/>
      <c r="FP24" s="47">
        <f t="shared" si="40"/>
        <v>3</v>
      </c>
      <c r="FQ24" s="47">
        <f t="shared" si="40"/>
        <v>2767</v>
      </c>
      <c r="FR24" s="47">
        <f t="shared" si="40"/>
        <v>286</v>
      </c>
      <c r="FS24" s="47">
        <f t="shared" si="25"/>
        <v>3056</v>
      </c>
      <c r="FT24" s="47">
        <f t="shared" si="26"/>
        <v>3053</v>
      </c>
      <c r="FU24" s="47"/>
      <c r="FV24" s="47">
        <f t="shared" si="41"/>
        <v>610769</v>
      </c>
      <c r="FW24" s="47">
        <f t="shared" si="42"/>
        <v>24811</v>
      </c>
      <c r="FX24" s="47">
        <f t="shared" si="27"/>
        <v>635580</v>
      </c>
      <c r="FZ24" s="242">
        <f t="shared" si="11"/>
        <v>1.8337538414687059E-4</v>
      </c>
      <c r="GA24" s="242">
        <f t="shared" si="12"/>
        <v>0.12583317096971194</v>
      </c>
      <c r="GB24" s="242">
        <f t="shared" si="13"/>
        <v>3.4014496479028898E-2</v>
      </c>
      <c r="GC24" s="242">
        <f t="shared" si="14"/>
        <v>0.16003104283288772</v>
      </c>
      <c r="GD24" s="242">
        <f t="shared" si="15"/>
        <v>0.15984766744874085</v>
      </c>
      <c r="GE24" s="47"/>
      <c r="GF24" s="242">
        <f t="shared" si="16"/>
        <v>1.2091411067671598E-4</v>
      </c>
      <c r="GG24" s="242">
        <f t="shared" si="17"/>
        <v>0.11152311474749103</v>
      </c>
      <c r="GH24" s="242">
        <f t="shared" si="18"/>
        <v>1.1527145217846924E-2</v>
      </c>
      <c r="GI24" s="242">
        <f t="shared" si="19"/>
        <v>0.12317117407601468</v>
      </c>
      <c r="GJ24" s="242">
        <f t="shared" si="20"/>
        <v>0.12305025996533796</v>
      </c>
    </row>
    <row r="25" spans="2:192" ht="15.75" customHeight="1" thickBot="1" x14ac:dyDescent="0.3">
      <c r="B25" s="166">
        <v>1964</v>
      </c>
      <c r="C25">
        <v>453.9</v>
      </c>
      <c r="D25">
        <v>53602</v>
      </c>
      <c r="E25">
        <f t="shared" si="0"/>
        <v>53.601999999999997</v>
      </c>
      <c r="F25">
        <f t="shared" si="1"/>
        <v>400.298</v>
      </c>
      <c r="Q25" s="202">
        <v>2013</v>
      </c>
      <c r="R25" s="757">
        <v>9.8000000000000007</v>
      </c>
      <c r="S25" s="758"/>
      <c r="T25" s="203">
        <v>38.6</v>
      </c>
      <c r="U25" s="203">
        <v>7.6</v>
      </c>
      <c r="V25" s="204">
        <v>1</v>
      </c>
      <c r="W25" s="203">
        <v>9.6999999999999993</v>
      </c>
      <c r="X25" s="203">
        <v>81.900000000000006</v>
      </c>
      <c r="Y25" s="203">
        <v>11.2</v>
      </c>
      <c r="Z25" s="203">
        <v>21.6</v>
      </c>
      <c r="AA25" s="204">
        <v>59.6</v>
      </c>
      <c r="AB25" s="205">
        <v>241</v>
      </c>
      <c r="AC25" s="217">
        <v>8.8000000000000007</v>
      </c>
      <c r="AD25">
        <f t="shared" ref="AD25:AD26" si="43">AC25/AA25</f>
        <v>0.1476510067114094</v>
      </c>
      <c r="AF25">
        <v>0.12</v>
      </c>
      <c r="AG25" s="124">
        <f t="shared" si="36"/>
        <v>273.86363636363637</v>
      </c>
      <c r="AH25" s="124">
        <f t="shared" si="37"/>
        <v>32.863636363636367</v>
      </c>
      <c r="AK25">
        <v>8850</v>
      </c>
      <c r="AL25" s="241">
        <f t="shared" si="2"/>
        <v>3.6721991701244815E-2</v>
      </c>
      <c r="AN25" s="249">
        <v>1962</v>
      </c>
      <c r="AO25" s="253">
        <v>0</v>
      </c>
      <c r="AP25" s="253">
        <v>0</v>
      </c>
      <c r="AQ25" s="253">
        <v>0</v>
      </c>
      <c r="AT25" s="754" t="s">
        <v>1115</v>
      </c>
      <c r="AU25" s="755"/>
      <c r="AV25" s="755"/>
      <c r="AW25" s="755"/>
      <c r="AX25" s="755"/>
      <c r="AY25" s="755"/>
      <c r="AZ25" s="755"/>
      <c r="BA25" s="755"/>
      <c r="BB25" s="755"/>
      <c r="BC25" s="755"/>
      <c r="BD25" s="755"/>
      <c r="BE25" s="755"/>
      <c r="BF25" s="755"/>
      <c r="BG25" s="755"/>
      <c r="BH25" s="755"/>
      <c r="BI25" s="755"/>
      <c r="BJ25" s="755"/>
      <c r="BK25" s="755"/>
      <c r="BL25" s="756"/>
      <c r="EM25">
        <v>2001</v>
      </c>
      <c r="EN25">
        <v>716</v>
      </c>
      <c r="EO25">
        <v>93674</v>
      </c>
      <c r="EP25">
        <v>37277</v>
      </c>
      <c r="EQ25">
        <v>232502</v>
      </c>
      <c r="ER25">
        <v>424638</v>
      </c>
      <c r="ES25">
        <v>788807</v>
      </c>
      <c r="ET25">
        <v>148</v>
      </c>
      <c r="EU25">
        <v>5012</v>
      </c>
      <c r="EV25">
        <v>2562</v>
      </c>
      <c r="EW25">
        <v>32944</v>
      </c>
      <c r="EX25">
        <v>3322</v>
      </c>
      <c r="EY25">
        <v>43988</v>
      </c>
      <c r="EZ25">
        <v>864</v>
      </c>
      <c r="FA25">
        <v>98686</v>
      </c>
      <c r="FB25">
        <v>39839</v>
      </c>
      <c r="FC25">
        <v>265446</v>
      </c>
      <c r="FD25">
        <v>427960</v>
      </c>
      <c r="FE25">
        <v>832795</v>
      </c>
      <c r="FF25">
        <v>853481</v>
      </c>
      <c r="FG25">
        <v>549354</v>
      </c>
      <c r="FI25">
        <v>2001</v>
      </c>
      <c r="FJ25" s="47">
        <f t="shared" si="39"/>
        <v>1139</v>
      </c>
      <c r="FK25" s="47">
        <f t="shared" si="39"/>
        <v>214371</v>
      </c>
      <c r="FL25" s="47">
        <f t="shared" si="39"/>
        <v>57059</v>
      </c>
      <c r="FM25" s="47">
        <f t="shared" si="23"/>
        <v>272569</v>
      </c>
      <c r="FN25" s="47">
        <f t="shared" si="24"/>
        <v>271430</v>
      </c>
      <c r="FO25" s="47"/>
      <c r="FP25" s="47">
        <f t="shared" si="40"/>
        <v>34</v>
      </c>
      <c r="FQ25" s="47">
        <f t="shared" si="40"/>
        <v>2045</v>
      </c>
      <c r="FR25" s="47">
        <f t="shared" si="40"/>
        <v>502</v>
      </c>
      <c r="FS25" s="47">
        <f t="shared" si="25"/>
        <v>2581</v>
      </c>
      <c r="FT25" s="47">
        <f t="shared" si="26"/>
        <v>2547</v>
      </c>
      <c r="FU25" s="47"/>
      <c r="FV25" s="47">
        <f t="shared" si="41"/>
        <v>1358243</v>
      </c>
      <c r="FW25" s="47">
        <f t="shared" si="42"/>
        <v>44592</v>
      </c>
      <c r="FX25" s="47">
        <f t="shared" si="27"/>
        <v>1402835</v>
      </c>
      <c r="FZ25" s="242">
        <f t="shared" si="11"/>
        <v>8.385833757287908E-4</v>
      </c>
      <c r="GA25" s="242">
        <f t="shared" si="12"/>
        <v>0.15782963725931221</v>
      </c>
      <c r="GB25" s="242">
        <f t="shared" si="13"/>
        <v>4.2009419522132635E-2</v>
      </c>
      <c r="GC25" s="242">
        <f t="shared" si="14"/>
        <v>0.20067764015717365</v>
      </c>
      <c r="GD25" s="242">
        <f t="shared" si="15"/>
        <v>0.19983905678144484</v>
      </c>
      <c r="GE25" s="47"/>
      <c r="GF25" s="242">
        <f t="shared" si="16"/>
        <v>7.6246860423394335E-4</v>
      </c>
      <c r="GG25" s="242">
        <f t="shared" si="17"/>
        <v>4.5860243989953357E-2</v>
      </c>
      <c r="GH25" s="242">
        <f t="shared" si="18"/>
        <v>1.125762468604234E-2</v>
      </c>
      <c r="GI25" s="242">
        <f t="shared" si="19"/>
        <v>5.7880337280229635E-2</v>
      </c>
      <c r="GJ25" s="242">
        <f t="shared" si="20"/>
        <v>5.7117868675995692E-2</v>
      </c>
    </row>
    <row r="26" spans="2:192" ht="15" customHeight="1" x14ac:dyDescent="0.25">
      <c r="B26" s="166">
        <v>1965</v>
      </c>
      <c r="C26">
        <v>519</v>
      </c>
      <c r="D26">
        <v>76032</v>
      </c>
      <c r="E26">
        <f t="shared" si="0"/>
        <v>76.031999999999996</v>
      </c>
      <c r="F26">
        <f t="shared" si="1"/>
        <v>442.96800000000002</v>
      </c>
      <c r="Q26" s="202">
        <v>2014</v>
      </c>
      <c r="R26" s="757">
        <v>70.400000000000006</v>
      </c>
      <c r="S26" s="758"/>
      <c r="T26" s="203">
        <v>166.9</v>
      </c>
      <c r="U26" s="203">
        <v>57.7</v>
      </c>
      <c r="V26" s="204">
        <v>5.8</v>
      </c>
      <c r="W26" s="203">
        <v>38.299999999999997</v>
      </c>
      <c r="X26" s="203">
        <v>293.2</v>
      </c>
      <c r="Y26" s="203">
        <v>25.7</v>
      </c>
      <c r="Z26" s="203">
        <v>32.200000000000003</v>
      </c>
      <c r="AA26" s="204">
        <v>279.7</v>
      </c>
      <c r="AB26" s="205">
        <v>970</v>
      </c>
      <c r="AC26" s="217">
        <v>40.479999999999997</v>
      </c>
      <c r="AD26">
        <f t="shared" si="43"/>
        <v>0.14472649267071863</v>
      </c>
      <c r="AF26">
        <v>0.14000000000000001</v>
      </c>
      <c r="AG26" s="124">
        <f t="shared" si="36"/>
        <v>1127.9069767441861</v>
      </c>
      <c r="AH26" s="124">
        <f t="shared" si="37"/>
        <v>157.90697674418607</v>
      </c>
      <c r="AK26">
        <v>40480</v>
      </c>
      <c r="AL26" s="241">
        <f t="shared" si="2"/>
        <v>4.1731958762886594E-2</v>
      </c>
      <c r="AN26" s="249">
        <v>1963</v>
      </c>
      <c r="AO26" s="253">
        <v>0</v>
      </c>
      <c r="AP26" s="253">
        <v>0</v>
      </c>
      <c r="AQ26" s="253">
        <v>0</v>
      </c>
      <c r="AT26" s="1"/>
      <c r="AU26" s="484" t="s">
        <v>44</v>
      </c>
      <c r="AV26" s="484" t="s">
        <v>314</v>
      </c>
      <c r="AW26" s="654" t="s">
        <v>803</v>
      </c>
      <c r="AX26" s="654"/>
      <c r="AY26" s="654"/>
      <c r="AZ26" s="1" t="s">
        <v>1127</v>
      </c>
      <c r="BA26" s="224" t="s">
        <v>1127</v>
      </c>
      <c r="BB26" s="484" t="s">
        <v>1128</v>
      </c>
      <c r="BC26" s="654" t="s">
        <v>1141</v>
      </c>
      <c r="BD26" s="654"/>
      <c r="BE26" s="654"/>
      <c r="BG26" s="641" t="s">
        <v>1142</v>
      </c>
      <c r="BH26" s="641"/>
      <c r="BJ26" s="641" t="s">
        <v>1144</v>
      </c>
      <c r="BK26" s="641"/>
      <c r="BL26" t="s">
        <v>1146</v>
      </c>
      <c r="EM26">
        <v>2002</v>
      </c>
      <c r="EN26">
        <v>55</v>
      </c>
      <c r="EO26">
        <v>23910</v>
      </c>
      <c r="EP26">
        <v>10453</v>
      </c>
      <c r="EQ26">
        <v>28750</v>
      </c>
      <c r="ER26">
        <v>152556</v>
      </c>
      <c r="ES26">
        <v>215724</v>
      </c>
      <c r="ET26">
        <v>160</v>
      </c>
      <c r="EU26">
        <v>6300</v>
      </c>
      <c r="EV26">
        <v>3923</v>
      </c>
      <c r="EW26">
        <v>52092</v>
      </c>
      <c r="EX26">
        <v>1326</v>
      </c>
      <c r="EY26">
        <v>63801</v>
      </c>
      <c r="EZ26">
        <v>215</v>
      </c>
      <c r="FA26">
        <v>30210</v>
      </c>
      <c r="FB26">
        <v>14376</v>
      </c>
      <c r="FC26">
        <v>80842</v>
      </c>
      <c r="FD26">
        <v>153882</v>
      </c>
      <c r="FE26">
        <v>279525</v>
      </c>
      <c r="FF26">
        <v>297413</v>
      </c>
      <c r="FG26">
        <v>334596</v>
      </c>
      <c r="FI26">
        <v>2002</v>
      </c>
      <c r="FJ26" s="47">
        <f t="shared" si="39"/>
        <v>453</v>
      </c>
      <c r="FK26" s="47">
        <f t="shared" si="39"/>
        <v>88704</v>
      </c>
      <c r="FL26" s="47">
        <f t="shared" si="39"/>
        <v>23022</v>
      </c>
      <c r="FM26" s="47">
        <f t="shared" si="23"/>
        <v>112179</v>
      </c>
      <c r="FN26" s="47">
        <f t="shared" si="24"/>
        <v>111726</v>
      </c>
      <c r="FO26" s="47"/>
      <c r="FP26" s="47">
        <f t="shared" si="40"/>
        <v>38</v>
      </c>
      <c r="FQ26" s="47">
        <f t="shared" si="40"/>
        <v>3105</v>
      </c>
      <c r="FR26" s="47">
        <f t="shared" si="40"/>
        <v>763</v>
      </c>
      <c r="FS26" s="47">
        <f t="shared" si="25"/>
        <v>3906</v>
      </c>
      <c r="FT26" s="47">
        <f t="shared" si="26"/>
        <v>3868</v>
      </c>
      <c r="FU26" s="47"/>
      <c r="FV26" s="47">
        <f t="shared" si="41"/>
        <v>576235</v>
      </c>
      <c r="FW26" s="47">
        <f t="shared" si="42"/>
        <v>55774</v>
      </c>
      <c r="FX26" s="47">
        <f t="shared" si="27"/>
        <v>632009</v>
      </c>
      <c r="FZ26" s="242">
        <f t="shared" si="11"/>
        <v>7.8613760011106578E-4</v>
      </c>
      <c r="GA26" s="242">
        <f t="shared" si="12"/>
        <v>0.15393719576214565</v>
      </c>
      <c r="GB26" s="242">
        <f t="shared" si="13"/>
        <v>3.9952449955313371E-2</v>
      </c>
      <c r="GC26" s="242">
        <f t="shared" si="14"/>
        <v>0.1946757833175701</v>
      </c>
      <c r="GD26" s="242">
        <f t="shared" si="15"/>
        <v>0.19388964571745904</v>
      </c>
      <c r="GE26" s="47"/>
      <c r="GF26" s="242">
        <f t="shared" si="16"/>
        <v>6.8132104564851007E-4</v>
      </c>
      <c r="GG26" s="242">
        <f t="shared" si="17"/>
        <v>5.5671101229963785E-2</v>
      </c>
      <c r="GH26" s="242">
        <f t="shared" si="18"/>
        <v>1.3680209416574031E-2</v>
      </c>
      <c r="GI26" s="242">
        <f t="shared" si="19"/>
        <v>7.003263169218632E-2</v>
      </c>
      <c r="GJ26" s="242">
        <f t="shared" si="20"/>
        <v>6.9351310646537809E-2</v>
      </c>
    </row>
    <row r="27" spans="2:192" x14ac:dyDescent="0.25">
      <c r="B27" s="166">
        <v>1966</v>
      </c>
      <c r="C27">
        <v>785.9</v>
      </c>
      <c r="D27">
        <v>71891</v>
      </c>
      <c r="E27">
        <f t="shared" si="0"/>
        <v>71.891000000000005</v>
      </c>
      <c r="F27">
        <f t="shared" si="1"/>
        <v>714.00900000000001</v>
      </c>
      <c r="Q27" s="202">
        <v>2015</v>
      </c>
      <c r="R27" s="757">
        <v>4.8</v>
      </c>
      <c r="S27" s="758"/>
      <c r="T27" s="203">
        <v>26.6</v>
      </c>
      <c r="U27" s="203">
        <v>36.9</v>
      </c>
      <c r="V27" s="204">
        <v>1</v>
      </c>
      <c r="W27" s="203">
        <v>4.9000000000000004</v>
      </c>
      <c r="X27" s="203">
        <v>44.1</v>
      </c>
      <c r="Y27" s="203">
        <v>11.2</v>
      </c>
      <c r="Z27" s="203">
        <v>4.5</v>
      </c>
      <c r="AA27" s="204">
        <v>37.4</v>
      </c>
      <c r="AB27" s="205">
        <v>171.4</v>
      </c>
      <c r="AC27" s="217">
        <v>2.956</v>
      </c>
      <c r="AD27">
        <f>AC27/AA27</f>
        <v>7.9037433155080217E-2</v>
      </c>
      <c r="AF27">
        <v>0.28999999999999998</v>
      </c>
      <c r="AG27" s="124">
        <f>AB27/(1-AF27)</f>
        <v>241.40845070422537</v>
      </c>
      <c r="AH27" s="124">
        <f>AG27*AF27</f>
        <v>70.008450704225353</v>
      </c>
      <c r="AI27" s="124"/>
      <c r="AK27">
        <v>2956</v>
      </c>
      <c r="AL27" s="241">
        <f t="shared" si="2"/>
        <v>1.7246207701283548E-2</v>
      </c>
      <c r="AN27" s="249">
        <v>1964</v>
      </c>
      <c r="AO27" s="253">
        <v>0</v>
      </c>
      <c r="AP27" s="253">
        <v>0</v>
      </c>
      <c r="AQ27" s="253">
        <v>0</v>
      </c>
      <c r="AT27" s="408" t="s">
        <v>387</v>
      </c>
      <c r="AU27" s="337" t="s">
        <v>404</v>
      </c>
      <c r="AV27" s="337" t="s">
        <v>353</v>
      </c>
      <c r="AW27" s="337" t="s">
        <v>1113</v>
      </c>
      <c r="AX27" s="337" t="s">
        <v>1107</v>
      </c>
      <c r="AY27" s="337" t="s">
        <v>10</v>
      </c>
      <c r="AZ27" s="337" t="s">
        <v>353</v>
      </c>
      <c r="BA27" s="337" t="s">
        <v>475</v>
      </c>
      <c r="BB27" s="337" t="s">
        <v>42</v>
      </c>
      <c r="BC27" s="337" t="s">
        <v>353</v>
      </c>
      <c r="BD27" s="337" t="s">
        <v>475</v>
      </c>
      <c r="BE27" s="337" t="s">
        <v>137</v>
      </c>
      <c r="BF27" s="25"/>
      <c r="BG27" s="337" t="s">
        <v>353</v>
      </c>
      <c r="BH27" s="337" t="s">
        <v>475</v>
      </c>
      <c r="BI27" s="25"/>
      <c r="BJ27" s="337" t="s">
        <v>353</v>
      </c>
      <c r="BK27" s="337" t="s">
        <v>475</v>
      </c>
      <c r="BL27" s="337" t="s">
        <v>1147</v>
      </c>
      <c r="EM27">
        <v>2003</v>
      </c>
      <c r="EN27">
        <v>791</v>
      </c>
      <c r="EO27">
        <v>66208</v>
      </c>
      <c r="EP27">
        <v>48886</v>
      </c>
      <c r="EQ27">
        <v>89272</v>
      </c>
      <c r="ER27">
        <v>241048</v>
      </c>
      <c r="ES27">
        <v>446205</v>
      </c>
      <c r="ET27">
        <v>1732</v>
      </c>
      <c r="EU27">
        <v>19402</v>
      </c>
      <c r="EV27">
        <v>19975</v>
      </c>
      <c r="EW27">
        <v>101678</v>
      </c>
      <c r="EX27">
        <v>1998</v>
      </c>
      <c r="EY27">
        <v>144785</v>
      </c>
      <c r="EZ27">
        <v>2523</v>
      </c>
      <c r="FA27">
        <v>85610</v>
      </c>
      <c r="FB27">
        <v>68861</v>
      </c>
      <c r="FC27">
        <v>190950</v>
      </c>
      <c r="FD27">
        <v>243046</v>
      </c>
      <c r="FE27">
        <v>590990</v>
      </c>
      <c r="FF27">
        <v>613206</v>
      </c>
      <c r="FG27">
        <v>347121</v>
      </c>
      <c r="FI27">
        <v>2003</v>
      </c>
      <c r="FJ27" s="47">
        <f t="shared" si="39"/>
        <v>3465</v>
      </c>
      <c r="FK27" s="47">
        <f t="shared" si="39"/>
        <v>164594</v>
      </c>
      <c r="FL27" s="47">
        <f t="shared" si="39"/>
        <v>88075</v>
      </c>
      <c r="FM27" s="47">
        <f t="shared" si="23"/>
        <v>256134</v>
      </c>
      <c r="FN27" s="47">
        <f t="shared" si="24"/>
        <v>252669</v>
      </c>
      <c r="FO27" s="47"/>
      <c r="FP27" s="47">
        <f t="shared" si="40"/>
        <v>40</v>
      </c>
      <c r="FQ27" s="47">
        <f t="shared" si="40"/>
        <v>4320</v>
      </c>
      <c r="FR27" s="47">
        <f t="shared" si="40"/>
        <v>1806</v>
      </c>
      <c r="FS27" s="47">
        <f t="shared" si="25"/>
        <v>6166</v>
      </c>
      <c r="FT27" s="47">
        <f t="shared" si="26"/>
        <v>6126</v>
      </c>
      <c r="FU27" s="47"/>
      <c r="FV27" s="47">
        <f t="shared" si="41"/>
        <v>890943</v>
      </c>
      <c r="FW27" s="47">
        <f t="shared" si="42"/>
        <v>69384</v>
      </c>
      <c r="FX27" s="47">
        <f t="shared" si="27"/>
        <v>960327</v>
      </c>
      <c r="FZ27" s="242">
        <f t="shared" si="11"/>
        <v>3.8891376889430636E-3</v>
      </c>
      <c r="GA27" s="242">
        <f t="shared" si="12"/>
        <v>0.18474133586548186</v>
      </c>
      <c r="GB27" s="242">
        <f t="shared" si="13"/>
        <v>9.8855931299757671E-2</v>
      </c>
      <c r="GC27" s="242">
        <f t="shared" si="14"/>
        <v>0.28748640485418259</v>
      </c>
      <c r="GD27" s="242">
        <f t="shared" si="15"/>
        <v>0.28359726716523953</v>
      </c>
      <c r="GE27" s="47"/>
      <c r="GF27" s="242">
        <f t="shared" si="16"/>
        <v>5.7650178715554017E-4</v>
      </c>
      <c r="GG27" s="242">
        <f t="shared" si="17"/>
        <v>6.2262193012798339E-2</v>
      </c>
      <c r="GH27" s="242">
        <f t="shared" si="18"/>
        <v>2.602905569007264E-2</v>
      </c>
      <c r="GI27" s="242">
        <f t="shared" si="19"/>
        <v>8.8867750490026515E-2</v>
      </c>
      <c r="GJ27" s="242">
        <f t="shared" si="20"/>
        <v>8.8291248702870972E-2</v>
      </c>
    </row>
    <row r="28" spans="2:192" x14ac:dyDescent="0.25">
      <c r="B28" s="166">
        <v>1967</v>
      </c>
      <c r="C28">
        <v>694.2</v>
      </c>
      <c r="D28">
        <v>96488</v>
      </c>
      <c r="E28">
        <f t="shared" si="0"/>
        <v>96.488</v>
      </c>
      <c r="F28">
        <f t="shared" si="1"/>
        <v>597.71199999999999</v>
      </c>
      <c r="Q28" s="206">
        <v>2016</v>
      </c>
      <c r="R28" s="759">
        <v>1.1000000000000001</v>
      </c>
      <c r="S28" s="760"/>
      <c r="T28" s="207">
        <v>30.3</v>
      </c>
      <c r="U28" s="207">
        <v>9.1999999999999993</v>
      </c>
      <c r="V28" s="208">
        <v>1.3</v>
      </c>
      <c r="W28" s="207">
        <v>11.3</v>
      </c>
      <c r="X28" s="207">
        <v>84.1</v>
      </c>
      <c r="Y28" s="207">
        <v>12.2</v>
      </c>
      <c r="Z28" s="207">
        <v>4.8</v>
      </c>
      <c r="AA28" s="208">
        <v>42</v>
      </c>
      <c r="AB28" s="209">
        <v>196.3</v>
      </c>
      <c r="AC28" s="217">
        <v>6.1139999999999999</v>
      </c>
      <c r="AD28">
        <f>AC28/AA28</f>
        <v>0.14557142857142857</v>
      </c>
      <c r="AK28">
        <v>5100</v>
      </c>
      <c r="AL28" s="241">
        <f>AK28/1000/AB28</f>
        <v>2.5980641874681607E-2</v>
      </c>
      <c r="AN28" s="249">
        <v>1965</v>
      </c>
      <c r="AO28" s="252">
        <v>7080</v>
      </c>
      <c r="AP28" s="252">
        <v>2184</v>
      </c>
      <c r="AQ28" s="252">
        <v>9264</v>
      </c>
      <c r="AT28" s="2">
        <v>2008</v>
      </c>
      <c r="AU28" s="47">
        <f>CH8+CI8+CQ8</f>
        <v>240885</v>
      </c>
      <c r="AV28" s="47">
        <f t="shared" ref="AV28:AV37" si="44">DD8+DG8+DY8</f>
        <v>60387</v>
      </c>
      <c r="AW28" s="47">
        <f t="shared" ref="AW28:AW37" si="45">BB84</f>
        <v>7304.8871366031663</v>
      </c>
      <c r="AX28" s="47">
        <f t="shared" ref="AX28:AX37" si="46">AV84</f>
        <v>40781</v>
      </c>
      <c r="AY28" s="47">
        <f>AW28+AX28</f>
        <v>48085.887136603167</v>
      </c>
      <c r="AZ28" s="47">
        <f>AV28+AY28</f>
        <v>108472.88713660317</v>
      </c>
      <c r="BA28" s="242">
        <f t="shared" ref="BA28:BA37" si="47">AZ28/BB28</f>
        <v>0.31049216614419511</v>
      </c>
      <c r="BB28" s="47">
        <f t="shared" ref="BB28:BB37" si="48">AZ28+AU28</f>
        <v>349357.88713660318</v>
      </c>
      <c r="BC28" s="47">
        <f t="shared" ref="BC28:BC37" si="49">BG84</f>
        <v>29742.980850004089</v>
      </c>
      <c r="BD28" s="242">
        <f t="shared" ref="BD28:BD37" si="50">BC28/BE28</f>
        <v>7.84566413893171E-2</v>
      </c>
      <c r="BE28" s="47">
        <f t="shared" ref="BE28:BE37" si="51">BC28+BB28</f>
        <v>379100.86798660725</v>
      </c>
      <c r="BG28" s="47">
        <f t="shared" ref="BG28:BG37" si="52">BO84</f>
        <v>1834.0348452276396</v>
      </c>
      <c r="BH28" s="242">
        <f t="shared" ref="BH28:BH37" si="53">BG28/BE28</f>
        <v>4.8378545134125936E-3</v>
      </c>
      <c r="BJ28" s="47">
        <f t="shared" ref="BJ28:BJ37" si="54">BS84</f>
        <v>27908.946004776451</v>
      </c>
      <c r="BK28" s="242">
        <f t="shared" ref="BK28:BK37" si="55">BJ28/BE28</f>
        <v>7.3618786875904507E-2</v>
      </c>
      <c r="BL28" s="242">
        <f>AZ28/BE28</f>
        <v>0.28613199361082775</v>
      </c>
      <c r="EM28">
        <v>2004</v>
      </c>
      <c r="EN28">
        <v>443</v>
      </c>
      <c r="EO28">
        <v>60380</v>
      </c>
      <c r="EP28">
        <v>33228</v>
      </c>
      <c r="EQ28">
        <v>41583</v>
      </c>
      <c r="ER28">
        <v>197964</v>
      </c>
      <c r="ES28">
        <v>333598</v>
      </c>
      <c r="ET28">
        <v>1011</v>
      </c>
      <c r="EU28">
        <v>10360</v>
      </c>
      <c r="EV28">
        <v>8156</v>
      </c>
      <c r="EW28">
        <v>42138</v>
      </c>
      <c r="EX28">
        <v>1266</v>
      </c>
      <c r="EY28">
        <v>62931</v>
      </c>
      <c r="EZ28">
        <v>1454</v>
      </c>
      <c r="FA28">
        <v>70740</v>
      </c>
      <c r="FB28">
        <v>41384</v>
      </c>
      <c r="FC28">
        <v>83721</v>
      </c>
      <c r="FD28">
        <v>199230</v>
      </c>
      <c r="FE28">
        <v>396529</v>
      </c>
      <c r="FF28">
        <v>410723</v>
      </c>
      <c r="FG28">
        <v>243427</v>
      </c>
      <c r="FI28">
        <v>2004</v>
      </c>
      <c r="FJ28" s="47">
        <f t="shared" si="39"/>
        <v>2368</v>
      </c>
      <c r="FK28" s="47">
        <f t="shared" si="39"/>
        <v>132636</v>
      </c>
      <c r="FL28" s="47">
        <f t="shared" si="39"/>
        <v>55164</v>
      </c>
      <c r="FM28" s="47">
        <f t="shared" si="23"/>
        <v>190168</v>
      </c>
      <c r="FN28" s="47">
        <f t="shared" si="24"/>
        <v>187800</v>
      </c>
      <c r="FO28" s="47"/>
      <c r="FP28" s="47">
        <f t="shared" si="40"/>
        <v>21</v>
      </c>
      <c r="FQ28" s="47">
        <f t="shared" si="40"/>
        <v>2602</v>
      </c>
      <c r="FR28" s="47">
        <f t="shared" si="40"/>
        <v>1001</v>
      </c>
      <c r="FS28" s="47">
        <f t="shared" si="25"/>
        <v>3624</v>
      </c>
      <c r="FT28" s="47">
        <f t="shared" si="26"/>
        <v>3603</v>
      </c>
      <c r="FU28" s="47"/>
      <c r="FV28" s="47">
        <f t="shared" si="41"/>
        <v>618683</v>
      </c>
      <c r="FW28" s="47">
        <f t="shared" si="42"/>
        <v>35467</v>
      </c>
      <c r="FX28" s="47">
        <f t="shared" si="27"/>
        <v>654150</v>
      </c>
      <c r="FZ28" s="242">
        <f t="shared" si="11"/>
        <v>3.8274851579888245E-3</v>
      </c>
      <c r="GA28" s="242">
        <f t="shared" si="12"/>
        <v>0.21438442627322879</v>
      </c>
      <c r="GB28" s="242">
        <f t="shared" si="13"/>
        <v>8.9163594280107908E-2</v>
      </c>
      <c r="GC28" s="242">
        <f t="shared" si="14"/>
        <v>0.30737550571132549</v>
      </c>
      <c r="GD28" s="242">
        <f t="shared" si="15"/>
        <v>0.30354802055333668</v>
      </c>
      <c r="GE28" s="47"/>
      <c r="GF28" s="242">
        <f t="shared" si="16"/>
        <v>5.9209969831110611E-4</v>
      </c>
      <c r="GG28" s="242">
        <f t="shared" si="17"/>
        <v>7.3363972143118961E-2</v>
      </c>
      <c r="GH28" s="242">
        <f t="shared" si="18"/>
        <v>2.8223418952829392E-2</v>
      </c>
      <c r="GI28" s="242">
        <f t="shared" si="19"/>
        <v>0.10217949079425945</v>
      </c>
      <c r="GJ28" s="242">
        <f t="shared" si="20"/>
        <v>0.10158739109594835</v>
      </c>
    </row>
    <row r="29" spans="2:192" x14ac:dyDescent="0.25">
      <c r="B29" s="166">
        <v>1968</v>
      </c>
      <c r="C29">
        <v>423.9</v>
      </c>
      <c r="D29">
        <v>63488</v>
      </c>
      <c r="E29">
        <f t="shared" si="0"/>
        <v>63.488</v>
      </c>
      <c r="F29">
        <f t="shared" si="1"/>
        <v>360.41199999999998</v>
      </c>
      <c r="Q29" s="201"/>
      <c r="R29" s="200"/>
      <c r="S29" s="200"/>
      <c r="T29" s="200"/>
      <c r="U29" s="200"/>
      <c r="V29" s="200"/>
      <c r="W29" s="200"/>
      <c r="X29" s="200"/>
      <c r="Y29" s="200"/>
      <c r="Z29" s="200"/>
      <c r="AA29" s="200"/>
      <c r="AB29" s="200"/>
      <c r="AN29" s="249">
        <v>1966</v>
      </c>
      <c r="AO29" s="252">
        <v>4071</v>
      </c>
      <c r="AP29" s="252">
        <v>2247</v>
      </c>
      <c r="AQ29" s="252">
        <v>6318</v>
      </c>
      <c r="AT29" s="2">
        <v>2009</v>
      </c>
      <c r="AU29" s="47">
        <f t="shared" ref="AU29:AU37" si="56">CI9+CJ9+CR9</f>
        <v>260447</v>
      </c>
      <c r="AV29" s="47">
        <f t="shared" si="44"/>
        <v>124229</v>
      </c>
      <c r="AW29" s="47">
        <f t="shared" si="45"/>
        <v>29589.258509272357</v>
      </c>
      <c r="AX29" s="47">
        <f t="shared" si="46"/>
        <v>36545</v>
      </c>
      <c r="AY29" s="47">
        <f t="shared" ref="AY29:AY37" si="57">AW29+AX29</f>
        <v>66134.25850927236</v>
      </c>
      <c r="AZ29" s="47">
        <f t="shared" ref="AZ29:AZ37" si="58">AV29+AY29</f>
        <v>190363.25850927236</v>
      </c>
      <c r="BA29" s="242">
        <f t="shared" si="47"/>
        <v>0.42226913632968477</v>
      </c>
      <c r="BB29" s="47">
        <f t="shared" si="48"/>
        <v>450810.25850927236</v>
      </c>
      <c r="BC29" s="47">
        <f t="shared" si="49"/>
        <v>174712.0820333834</v>
      </c>
      <c r="BD29" s="242">
        <f t="shared" si="50"/>
        <v>0.2793059027784946</v>
      </c>
      <c r="BE29" s="47">
        <f t="shared" si="51"/>
        <v>625522.34054265579</v>
      </c>
      <c r="BG29" s="47">
        <f t="shared" si="52"/>
        <v>4078.0421748057015</v>
      </c>
      <c r="BH29" s="242">
        <f t="shared" si="53"/>
        <v>6.5194189087921326E-3</v>
      </c>
      <c r="BJ29" s="47">
        <f t="shared" si="54"/>
        <v>170634.03985857769</v>
      </c>
      <c r="BK29" s="242">
        <f t="shared" si="55"/>
        <v>0.27278648386970245</v>
      </c>
      <c r="BL29" s="242">
        <f t="shared" ref="BL29:BL37" si="59">AZ29/BE29</f>
        <v>0.30432687399162694</v>
      </c>
      <c r="EM29">
        <v>2005</v>
      </c>
      <c r="EN29">
        <v>712</v>
      </c>
      <c r="EO29">
        <v>29915</v>
      </c>
      <c r="EP29">
        <v>4707</v>
      </c>
      <c r="EQ29">
        <v>16700</v>
      </c>
      <c r="ER29">
        <v>184774</v>
      </c>
      <c r="ES29">
        <v>236808</v>
      </c>
      <c r="ET29">
        <v>978</v>
      </c>
      <c r="EU29">
        <v>4605</v>
      </c>
      <c r="EV29">
        <v>1007</v>
      </c>
      <c r="EW29">
        <v>41425</v>
      </c>
      <c r="EX29">
        <v>940</v>
      </c>
      <c r="EY29">
        <v>48955</v>
      </c>
      <c r="EZ29">
        <v>1690</v>
      </c>
      <c r="FA29">
        <v>34520</v>
      </c>
      <c r="FB29">
        <v>5714</v>
      </c>
      <c r="FC29">
        <v>58125</v>
      </c>
      <c r="FD29">
        <v>185714</v>
      </c>
      <c r="FE29">
        <v>285763</v>
      </c>
      <c r="FF29">
        <v>294098</v>
      </c>
      <c r="FG29">
        <v>126719</v>
      </c>
      <c r="FI29">
        <v>2005</v>
      </c>
      <c r="FJ29" s="47">
        <f t="shared" si="39"/>
        <v>2311</v>
      </c>
      <c r="FK29" s="47">
        <f t="shared" si="39"/>
        <v>55724</v>
      </c>
      <c r="FL29" s="47">
        <f t="shared" si="39"/>
        <v>6999</v>
      </c>
      <c r="FM29" s="47">
        <f t="shared" si="23"/>
        <v>65034</v>
      </c>
      <c r="FN29" s="47">
        <f t="shared" si="24"/>
        <v>62723</v>
      </c>
      <c r="FO29" s="47"/>
      <c r="FP29" s="47">
        <f t="shared" si="40"/>
        <v>29</v>
      </c>
      <c r="FQ29" s="47">
        <f t="shared" si="40"/>
        <v>1159</v>
      </c>
      <c r="FR29" s="47">
        <f t="shared" si="40"/>
        <v>192</v>
      </c>
      <c r="FS29" s="47">
        <f t="shared" si="25"/>
        <v>1380</v>
      </c>
      <c r="FT29" s="47">
        <f t="shared" si="26"/>
        <v>1351</v>
      </c>
      <c r="FU29" s="47"/>
      <c r="FV29" s="47">
        <f t="shared" si="41"/>
        <v>396254</v>
      </c>
      <c r="FW29" s="47">
        <f t="shared" si="42"/>
        <v>24563</v>
      </c>
      <c r="FX29" s="47">
        <f t="shared" si="27"/>
        <v>420817</v>
      </c>
      <c r="FZ29" s="242">
        <f t="shared" si="11"/>
        <v>5.8321177830381521E-3</v>
      </c>
      <c r="GA29" s="242">
        <f t="shared" si="12"/>
        <v>0.14062697158893034</v>
      </c>
      <c r="GB29" s="242">
        <f t="shared" si="13"/>
        <v>1.7662913181948951E-2</v>
      </c>
      <c r="GC29" s="242">
        <f t="shared" si="14"/>
        <v>0.16412200255391743</v>
      </c>
      <c r="GD29" s="242">
        <f t="shared" si="15"/>
        <v>0.1582898847708793</v>
      </c>
      <c r="GE29" s="47"/>
      <c r="GF29" s="242">
        <f t="shared" si="16"/>
        <v>1.1806375442739079E-3</v>
      </c>
      <c r="GG29" s="242">
        <f t="shared" si="17"/>
        <v>4.7184790131498594E-2</v>
      </c>
      <c r="GH29" s="242">
        <f t="shared" si="18"/>
        <v>7.8166347758824254E-3</v>
      </c>
      <c r="GI29" s="367">
        <f t="shared" si="19"/>
        <v>5.6182062451654927E-2</v>
      </c>
      <c r="GJ29" s="242">
        <f t="shared" si="20"/>
        <v>5.5001424907381018E-2</v>
      </c>
    </row>
    <row r="30" spans="2:192" x14ac:dyDescent="0.25">
      <c r="B30" s="166">
        <v>1969</v>
      </c>
      <c r="C30">
        <v>463.4</v>
      </c>
      <c r="D30">
        <v>49378</v>
      </c>
      <c r="E30">
        <f t="shared" si="0"/>
        <v>49.378</v>
      </c>
      <c r="F30">
        <f t="shared" si="1"/>
        <v>414.02199999999999</v>
      </c>
      <c r="Q30" s="212"/>
      <c r="R30" s="213"/>
      <c r="S30" s="214">
        <f>AVERAGE(R19:S28)</f>
        <v>20.82</v>
      </c>
      <c r="T30" s="214">
        <f>AVERAGE(T19:T28)</f>
        <v>52.089999999999996</v>
      </c>
      <c r="U30" s="214">
        <f t="shared" ref="U30:AC30" si="60">AVERAGE(U19:U28)</f>
        <v>19.949999999999996</v>
      </c>
      <c r="V30" s="214">
        <f t="shared" si="60"/>
        <v>2.04</v>
      </c>
      <c r="W30" s="214">
        <f t="shared" si="60"/>
        <v>20.740000000000002</v>
      </c>
      <c r="X30" s="214">
        <f t="shared" si="60"/>
        <v>150.50999999999996</v>
      </c>
      <c r="Y30" s="214">
        <f t="shared" si="60"/>
        <v>19.629999999999995</v>
      </c>
      <c r="Z30" s="214">
        <f t="shared" si="60"/>
        <v>15.23</v>
      </c>
      <c r="AA30" s="214">
        <f t="shared" si="60"/>
        <v>119.05000000000003</v>
      </c>
      <c r="AB30" s="214">
        <f t="shared" si="60"/>
        <v>420.04000000000008</v>
      </c>
      <c r="AC30" s="214">
        <f t="shared" si="60"/>
        <v>14.5875</v>
      </c>
      <c r="AD30" s="218">
        <f>AVERAGE(AD25:AD28)</f>
        <v>0.12924659027715921</v>
      </c>
      <c r="AG30" s="214">
        <f t="shared" ref="AG30:AH30" si="61">AVERAGE(AG19:AG28)</f>
        <v>516.04969153484001</v>
      </c>
      <c r="AH30" s="214">
        <f t="shared" si="61"/>
        <v>71.149691534839988</v>
      </c>
      <c r="AL30" s="242">
        <f>AVERAGE(AL19:AL28)</f>
        <v>3.4126400664013935E-2</v>
      </c>
      <c r="AN30" s="249">
        <v>1967</v>
      </c>
      <c r="AO30" s="252">
        <v>7084</v>
      </c>
      <c r="AP30" s="252">
        <v>1614</v>
      </c>
      <c r="AQ30" s="252">
        <v>8698</v>
      </c>
      <c r="AT30" s="2">
        <v>2010</v>
      </c>
      <c r="AU30" s="47">
        <f t="shared" si="56"/>
        <v>189260</v>
      </c>
      <c r="AV30" s="47">
        <f t="shared" si="44"/>
        <v>76287</v>
      </c>
      <c r="AW30" s="47">
        <f t="shared" si="45"/>
        <v>6077.6853571450156</v>
      </c>
      <c r="AX30" s="47">
        <f t="shared" si="46"/>
        <v>22416</v>
      </c>
      <c r="AY30" s="47">
        <f t="shared" si="57"/>
        <v>28493.685357145016</v>
      </c>
      <c r="AZ30" s="47">
        <f t="shared" si="58"/>
        <v>104780.68535714502</v>
      </c>
      <c r="BA30" s="242">
        <f t="shared" si="47"/>
        <v>0.35634757560803959</v>
      </c>
      <c r="BB30" s="47">
        <f t="shared" si="48"/>
        <v>294040.68535714503</v>
      </c>
      <c r="BC30" s="47">
        <f t="shared" si="49"/>
        <v>41909.586540884709</v>
      </c>
      <c r="BD30" s="242">
        <f t="shared" si="50"/>
        <v>0.12474937526946082</v>
      </c>
      <c r="BE30" s="47">
        <f t="shared" si="51"/>
        <v>335950.27189802972</v>
      </c>
      <c r="BG30" s="47">
        <f t="shared" si="52"/>
        <v>1083.4928171577246</v>
      </c>
      <c r="BH30" s="242">
        <f t="shared" si="53"/>
        <v>3.2251583278569123E-3</v>
      </c>
      <c r="BJ30" s="47">
        <f t="shared" si="54"/>
        <v>40826.093723726983</v>
      </c>
      <c r="BK30" s="242">
        <f t="shared" si="55"/>
        <v>0.12152421694160391</v>
      </c>
      <c r="BL30" s="242">
        <f t="shared" si="59"/>
        <v>0.31189343817214971</v>
      </c>
      <c r="EM30">
        <v>2006</v>
      </c>
      <c r="EN30">
        <v>1005</v>
      </c>
      <c r="EO30">
        <v>23687</v>
      </c>
      <c r="EP30">
        <v>8973</v>
      </c>
      <c r="EQ30">
        <v>30344</v>
      </c>
      <c r="ER30">
        <v>198874</v>
      </c>
      <c r="ES30">
        <v>262883</v>
      </c>
      <c r="ET30">
        <v>2</v>
      </c>
      <c r="EU30">
        <v>8</v>
      </c>
      <c r="EV30">
        <v>4</v>
      </c>
      <c r="EW30">
        <v>14</v>
      </c>
      <c r="EX30">
        <v>100</v>
      </c>
      <c r="EY30">
        <v>128</v>
      </c>
      <c r="EZ30">
        <v>1007</v>
      </c>
      <c r="FA30">
        <v>23695</v>
      </c>
      <c r="FB30">
        <v>8977</v>
      </c>
      <c r="FC30">
        <v>30358</v>
      </c>
      <c r="FD30">
        <v>198974</v>
      </c>
      <c r="FE30">
        <v>263011</v>
      </c>
      <c r="FF30">
        <v>278988</v>
      </c>
      <c r="FG30">
        <v>208246</v>
      </c>
      <c r="FI30">
        <v>2006</v>
      </c>
      <c r="FJ30" s="47">
        <f t="shared" si="39"/>
        <v>2142</v>
      </c>
      <c r="FK30" s="47">
        <f t="shared" si="39"/>
        <v>53411</v>
      </c>
      <c r="FL30" s="47">
        <f t="shared" si="39"/>
        <v>12648</v>
      </c>
      <c r="FM30" s="47">
        <f t="shared" si="23"/>
        <v>68201</v>
      </c>
      <c r="FN30" s="47">
        <f t="shared" si="24"/>
        <v>66059</v>
      </c>
      <c r="FO30" s="47"/>
      <c r="FP30" s="47">
        <f t="shared" si="40"/>
        <v>34</v>
      </c>
      <c r="FQ30" s="47">
        <f t="shared" si="40"/>
        <v>1545</v>
      </c>
      <c r="FR30" s="47">
        <f t="shared" si="40"/>
        <v>463</v>
      </c>
      <c r="FS30" s="47">
        <f t="shared" si="25"/>
        <v>2042</v>
      </c>
      <c r="FT30" s="47">
        <f t="shared" si="26"/>
        <v>2008</v>
      </c>
      <c r="FU30" s="47"/>
      <c r="FV30" s="47">
        <f t="shared" si="41"/>
        <v>457447</v>
      </c>
      <c r="FW30" s="47">
        <f t="shared" si="42"/>
        <v>29787</v>
      </c>
      <c r="FX30" s="47">
        <f t="shared" si="27"/>
        <v>487234</v>
      </c>
      <c r="FZ30" s="242">
        <f t="shared" si="11"/>
        <v>4.6825096677866511E-3</v>
      </c>
      <c r="GA30" s="242">
        <f t="shared" si="12"/>
        <v>0.11675888135674733</v>
      </c>
      <c r="GB30" s="242">
        <f t="shared" si="13"/>
        <v>2.7649104705025938E-2</v>
      </c>
      <c r="GC30" s="242">
        <f t="shared" si="14"/>
        <v>0.14909049572955993</v>
      </c>
      <c r="GD30" s="242">
        <f t="shared" si="15"/>
        <v>0.14440798606177327</v>
      </c>
      <c r="GE30" s="47"/>
      <c r="GF30" s="242">
        <f t="shared" si="16"/>
        <v>1.1414375398663846E-3</v>
      </c>
      <c r="GG30" s="242">
        <f t="shared" si="17"/>
        <v>5.1868264679222481E-2</v>
      </c>
      <c r="GH30" s="242">
        <f t="shared" si="18"/>
        <v>1.5543693557592239E-2</v>
      </c>
      <c r="GI30" s="242">
        <f t="shared" si="19"/>
        <v>6.8553395776681098E-2</v>
      </c>
      <c r="GJ30" s="242">
        <f t="shared" si="20"/>
        <v>6.7411958236814715E-2</v>
      </c>
    </row>
    <row r="31" spans="2:192" x14ac:dyDescent="0.25">
      <c r="B31" s="166">
        <v>1970</v>
      </c>
      <c r="C31">
        <v>1079</v>
      </c>
      <c r="D31">
        <v>80116</v>
      </c>
      <c r="E31">
        <f t="shared" si="0"/>
        <v>80.116</v>
      </c>
      <c r="F31">
        <f t="shared" si="1"/>
        <v>998.88400000000001</v>
      </c>
      <c r="Q31" s="201"/>
      <c r="R31" s="200"/>
      <c r="S31" s="200"/>
      <c r="T31" s="200"/>
      <c r="U31" s="200"/>
      <c r="V31" s="200"/>
      <c r="W31" s="200"/>
      <c r="X31" s="200"/>
      <c r="Y31" s="200"/>
      <c r="Z31" s="200"/>
      <c r="AA31" s="200"/>
      <c r="AB31" s="200"/>
      <c r="AN31" s="249">
        <v>1968</v>
      </c>
      <c r="AO31" s="252">
        <v>12400</v>
      </c>
      <c r="AP31" s="252">
        <v>5300</v>
      </c>
      <c r="AQ31" s="252">
        <v>17700</v>
      </c>
      <c r="AT31" s="2">
        <v>2011</v>
      </c>
      <c r="AU31" s="47">
        <f t="shared" si="56"/>
        <v>108270</v>
      </c>
      <c r="AV31" s="47">
        <f t="shared" si="44"/>
        <v>62269</v>
      </c>
      <c r="AW31" s="47">
        <f t="shared" si="45"/>
        <v>4213.7245371060553</v>
      </c>
      <c r="AX31" s="47">
        <f t="shared" si="46"/>
        <v>16358</v>
      </c>
      <c r="AY31" s="47">
        <f t="shared" si="57"/>
        <v>20571.724537106056</v>
      </c>
      <c r="AZ31" s="47">
        <f t="shared" si="58"/>
        <v>82840.724537106056</v>
      </c>
      <c r="BA31" s="242">
        <f t="shared" si="47"/>
        <v>0.43346978427169169</v>
      </c>
      <c r="BB31" s="47">
        <f t="shared" si="48"/>
        <v>191110.72453710606</v>
      </c>
      <c r="BC31" s="47">
        <f t="shared" si="49"/>
        <v>33628.643332803447</v>
      </c>
      <c r="BD31" s="242">
        <f t="shared" si="50"/>
        <v>0.14963396778916546</v>
      </c>
      <c r="BE31" s="47">
        <f t="shared" si="51"/>
        <v>224739.3678699095</v>
      </c>
      <c r="BG31" s="47">
        <f t="shared" si="52"/>
        <v>2672.5340616735898</v>
      </c>
      <c r="BH31" s="242">
        <f t="shared" si="53"/>
        <v>1.1891704097079188E-2</v>
      </c>
      <c r="BJ31" s="47">
        <f t="shared" si="54"/>
        <v>30956.109271129855</v>
      </c>
      <c r="BK31" s="242">
        <f t="shared" si="55"/>
        <v>0.13774226369208628</v>
      </c>
      <c r="BL31" s="242">
        <f t="shared" si="59"/>
        <v>0.36860798053440486</v>
      </c>
      <c r="EM31">
        <v>2007</v>
      </c>
      <c r="EN31">
        <v>1265</v>
      </c>
      <c r="EO31">
        <v>59197</v>
      </c>
      <c r="EP31">
        <v>36700</v>
      </c>
      <c r="EQ31">
        <v>59213</v>
      </c>
      <c r="ER31">
        <v>158720</v>
      </c>
      <c r="ES31">
        <v>315095</v>
      </c>
      <c r="ET31">
        <v>26</v>
      </c>
      <c r="EU31">
        <v>161</v>
      </c>
      <c r="EV31">
        <v>137</v>
      </c>
      <c r="EW31">
        <v>76</v>
      </c>
      <c r="EX31">
        <v>509</v>
      </c>
      <c r="EY31">
        <v>909</v>
      </c>
      <c r="EZ31">
        <v>1291</v>
      </c>
      <c r="FA31">
        <v>59358</v>
      </c>
      <c r="FB31">
        <v>36837</v>
      </c>
      <c r="FC31">
        <v>59289</v>
      </c>
      <c r="FD31">
        <v>159229</v>
      </c>
      <c r="FE31">
        <v>316004</v>
      </c>
      <c r="FF31">
        <v>327094</v>
      </c>
      <c r="FG31">
        <v>204599</v>
      </c>
      <c r="FI31">
        <v>2007</v>
      </c>
      <c r="FJ31" s="47">
        <f t="shared" si="39"/>
        <v>2723</v>
      </c>
      <c r="FK31" s="47">
        <f t="shared" si="39"/>
        <v>117301</v>
      </c>
      <c r="FL31" s="47">
        <f t="shared" si="39"/>
        <v>48641</v>
      </c>
      <c r="FM31" s="47">
        <f t="shared" si="23"/>
        <v>168665</v>
      </c>
      <c r="FN31" s="47">
        <f t="shared" si="24"/>
        <v>165942</v>
      </c>
      <c r="FO31" s="47"/>
      <c r="FP31" s="47">
        <f t="shared" si="40"/>
        <v>29</v>
      </c>
      <c r="FQ31" s="47">
        <f t="shared" si="40"/>
        <v>1538</v>
      </c>
      <c r="FR31" s="47">
        <f t="shared" si="40"/>
        <v>670</v>
      </c>
      <c r="FS31" s="47">
        <f t="shared" si="25"/>
        <v>2237</v>
      </c>
      <c r="FT31" s="47">
        <f t="shared" si="26"/>
        <v>2208</v>
      </c>
      <c r="FU31" s="47"/>
      <c r="FV31" s="47">
        <f t="shared" si="41"/>
        <v>511194</v>
      </c>
      <c r="FW31" s="47">
        <f t="shared" si="42"/>
        <v>20499</v>
      </c>
      <c r="FX31" s="47">
        <f t="shared" si="27"/>
        <v>531693</v>
      </c>
      <c r="FZ31" s="242">
        <f t="shared" si="11"/>
        <v>5.326744836598239E-3</v>
      </c>
      <c r="GA31" s="242">
        <f t="shared" si="12"/>
        <v>0.22946474332640837</v>
      </c>
      <c r="GB31" s="242">
        <f t="shared" si="13"/>
        <v>9.5151742782583523E-2</v>
      </c>
      <c r="GC31" s="242">
        <f t="shared" si="14"/>
        <v>0.32994323094559014</v>
      </c>
      <c r="GD31" s="242">
        <f t="shared" si="15"/>
        <v>0.32461648610899191</v>
      </c>
      <c r="GE31" s="47"/>
      <c r="GF31" s="242">
        <f t="shared" si="16"/>
        <v>1.4147031562515245E-3</v>
      </c>
      <c r="GG31" s="242">
        <f t="shared" si="17"/>
        <v>7.5028050148787745E-2</v>
      </c>
      <c r="GH31" s="242">
        <f t="shared" si="18"/>
        <v>3.2684521196155912E-2</v>
      </c>
      <c r="GI31" s="366">
        <f t="shared" si="19"/>
        <v>0.10912727450119518</v>
      </c>
      <c r="GJ31" s="242">
        <f t="shared" si="20"/>
        <v>0.10771257134494365</v>
      </c>
    </row>
    <row r="32" spans="2:192" x14ac:dyDescent="0.25">
      <c r="B32" s="166">
        <v>1971</v>
      </c>
      <c r="C32">
        <v>648.70000000000005</v>
      </c>
      <c r="D32">
        <v>75989</v>
      </c>
      <c r="E32">
        <f t="shared" si="0"/>
        <v>75.989000000000004</v>
      </c>
      <c r="F32">
        <f t="shared" si="1"/>
        <v>572.71100000000001</v>
      </c>
      <c r="Q32" s="201"/>
      <c r="R32" s="200"/>
      <c r="S32" s="200"/>
      <c r="T32" s="200"/>
      <c r="U32" s="200"/>
      <c r="V32" s="200"/>
      <c r="W32" s="200"/>
      <c r="X32" s="200"/>
      <c r="Y32" s="200"/>
      <c r="Z32" s="200"/>
      <c r="AA32" s="200"/>
      <c r="AB32" s="200"/>
      <c r="AN32" s="249">
        <v>1969</v>
      </c>
      <c r="AO32" s="252">
        <v>3260</v>
      </c>
      <c r="AP32" s="252">
        <v>14032</v>
      </c>
      <c r="AQ32" s="252">
        <v>17292</v>
      </c>
      <c r="AT32" s="2">
        <v>2012</v>
      </c>
      <c r="AU32" s="47">
        <f t="shared" si="56"/>
        <v>41942</v>
      </c>
      <c r="AV32" s="47">
        <f t="shared" si="44"/>
        <v>17100</v>
      </c>
      <c r="AW32" s="47">
        <f t="shared" si="45"/>
        <v>3706.6814732277303</v>
      </c>
      <c r="AX32" s="47">
        <f t="shared" si="46"/>
        <v>3786</v>
      </c>
      <c r="AY32" s="47">
        <f t="shared" si="57"/>
        <v>7492.6814732277307</v>
      </c>
      <c r="AZ32" s="47">
        <f t="shared" si="58"/>
        <v>24592.681473227731</v>
      </c>
      <c r="BA32" s="242">
        <f t="shared" si="47"/>
        <v>0.36962199154922459</v>
      </c>
      <c r="BB32" s="47">
        <f t="shared" si="48"/>
        <v>66534.681473227727</v>
      </c>
      <c r="BC32" s="47">
        <f t="shared" si="49"/>
        <v>13354.966248747272</v>
      </c>
      <c r="BD32" s="242">
        <f t="shared" si="50"/>
        <v>0.16716766977398706</v>
      </c>
      <c r="BE32" s="47">
        <f t="shared" si="51"/>
        <v>79889.647721974994</v>
      </c>
      <c r="BG32" s="47">
        <f t="shared" si="52"/>
        <v>188.9530062463551</v>
      </c>
      <c r="BH32" s="242">
        <f t="shared" si="53"/>
        <v>2.3651751088443014E-3</v>
      </c>
      <c r="BJ32" s="47">
        <f t="shared" si="54"/>
        <v>13166.013242500916</v>
      </c>
      <c r="BK32" s="242">
        <f t="shared" si="55"/>
        <v>0.16480249466514274</v>
      </c>
      <c r="BL32" s="242">
        <f t="shared" si="59"/>
        <v>0.30783314452472044</v>
      </c>
      <c r="EM32">
        <v>2008</v>
      </c>
      <c r="EN32">
        <v>312</v>
      </c>
      <c r="EO32">
        <v>12335</v>
      </c>
      <c r="EP32">
        <v>5877</v>
      </c>
      <c r="EQ32">
        <v>5688</v>
      </c>
      <c r="ER32">
        <v>251225</v>
      </c>
      <c r="ES32">
        <v>275437</v>
      </c>
      <c r="ET32">
        <v>873</v>
      </c>
      <c r="EU32">
        <v>1851</v>
      </c>
      <c r="EV32">
        <v>1713</v>
      </c>
      <c r="EW32">
        <v>2064</v>
      </c>
      <c r="EX32">
        <v>49329</v>
      </c>
      <c r="EY32">
        <v>55830</v>
      </c>
      <c r="EZ32">
        <v>1185</v>
      </c>
      <c r="FA32">
        <v>14186</v>
      </c>
      <c r="FB32">
        <v>7590</v>
      </c>
      <c r="FC32">
        <v>7752</v>
      </c>
      <c r="FD32">
        <v>300554</v>
      </c>
      <c r="FE32">
        <v>331267</v>
      </c>
      <c r="FF32">
        <v>342262</v>
      </c>
      <c r="FG32">
        <v>219945</v>
      </c>
      <c r="FI32">
        <v>2008</v>
      </c>
      <c r="FJ32" s="47">
        <f t="shared" si="39"/>
        <v>2564</v>
      </c>
      <c r="FK32" s="47">
        <f t="shared" si="39"/>
        <v>29391</v>
      </c>
      <c r="FL32" s="47">
        <f t="shared" si="39"/>
        <v>9626</v>
      </c>
      <c r="FM32" s="47">
        <f t="shared" si="23"/>
        <v>41581</v>
      </c>
      <c r="FN32" s="47">
        <f t="shared" si="24"/>
        <v>39017</v>
      </c>
      <c r="FO32" s="47"/>
      <c r="FP32" s="47">
        <f t="shared" si="40"/>
        <v>24</v>
      </c>
      <c r="FQ32" s="47">
        <f t="shared" si="40"/>
        <v>835</v>
      </c>
      <c r="FR32" s="47">
        <f t="shared" si="40"/>
        <v>93</v>
      </c>
      <c r="FS32" s="47">
        <f t="shared" si="25"/>
        <v>952</v>
      </c>
      <c r="FT32" s="47">
        <f t="shared" si="26"/>
        <v>928</v>
      </c>
      <c r="FU32" s="47"/>
      <c r="FV32" s="47">
        <f t="shared" si="41"/>
        <v>533507</v>
      </c>
      <c r="FW32" s="47">
        <f t="shared" si="42"/>
        <v>28700</v>
      </c>
      <c r="FX32" s="47">
        <f t="shared" si="27"/>
        <v>562207</v>
      </c>
      <c r="FZ32" s="242">
        <f t="shared" si="11"/>
        <v>4.8059350673936799E-3</v>
      </c>
      <c r="GA32" s="242">
        <f t="shared" si="12"/>
        <v>5.5090186258099708E-2</v>
      </c>
      <c r="GB32" s="242">
        <f t="shared" si="13"/>
        <v>1.8042874788896865E-2</v>
      </c>
      <c r="GC32" s="242">
        <f t="shared" si="14"/>
        <v>7.7938996114390258E-2</v>
      </c>
      <c r="GD32" s="242">
        <f t="shared" si="15"/>
        <v>7.3133061046996573E-2</v>
      </c>
      <c r="GE32" s="47"/>
      <c r="GF32" s="242">
        <f t="shared" si="16"/>
        <v>8.3623693379790941E-4</v>
      </c>
      <c r="GG32" s="242">
        <f t="shared" si="17"/>
        <v>2.9094076655052266E-2</v>
      </c>
      <c r="GH32" s="242">
        <f t="shared" si="18"/>
        <v>3.2404181184668992E-3</v>
      </c>
      <c r="GI32" s="242">
        <f t="shared" si="19"/>
        <v>3.3170731707317075E-2</v>
      </c>
      <c r="GJ32" s="242">
        <f t="shared" si="20"/>
        <v>3.2334494773519164E-2</v>
      </c>
    </row>
    <row r="33" spans="2:192" x14ac:dyDescent="0.25">
      <c r="B33" s="166">
        <v>1972</v>
      </c>
      <c r="C33">
        <v>362.6</v>
      </c>
      <c r="D33">
        <v>65932</v>
      </c>
      <c r="E33">
        <f t="shared" si="0"/>
        <v>65.932000000000002</v>
      </c>
      <c r="F33">
        <f t="shared" si="1"/>
        <v>296.66800000000001</v>
      </c>
      <c r="Q33" s="201"/>
      <c r="R33" s="215" t="s">
        <v>343</v>
      </c>
      <c r="S33" s="200"/>
      <c r="T33" s="210">
        <f>W30</f>
        <v>20.740000000000002</v>
      </c>
      <c r="U33" s="200"/>
      <c r="V33" s="200"/>
      <c r="W33" s="200"/>
      <c r="X33" s="200"/>
      <c r="Y33" s="200"/>
      <c r="Z33" s="200"/>
      <c r="AA33" s="200"/>
      <c r="AB33" s="200"/>
      <c r="AN33" s="254">
        <v>1970</v>
      </c>
      <c r="AO33" s="255">
        <v>17902</v>
      </c>
      <c r="AP33" s="255">
        <v>19453</v>
      </c>
      <c r="AQ33" s="255">
        <v>37355</v>
      </c>
      <c r="AT33" s="2">
        <v>2013</v>
      </c>
      <c r="AU33" s="47">
        <f t="shared" si="56"/>
        <v>81883.859010270768</v>
      </c>
      <c r="AV33" s="47">
        <f t="shared" si="44"/>
        <v>48358</v>
      </c>
      <c r="AW33" s="47">
        <f t="shared" si="45"/>
        <v>5172.2001543618071</v>
      </c>
      <c r="AX33" s="47">
        <f t="shared" si="46"/>
        <v>9747</v>
      </c>
      <c r="AY33" s="47">
        <f t="shared" si="57"/>
        <v>14919.200154361806</v>
      </c>
      <c r="AZ33" s="47">
        <f t="shared" si="58"/>
        <v>63277.20015436181</v>
      </c>
      <c r="BA33" s="242">
        <f t="shared" si="47"/>
        <v>0.43591029521627267</v>
      </c>
      <c r="BB33" s="47">
        <f t="shared" si="48"/>
        <v>145161.05916463258</v>
      </c>
      <c r="BC33" s="47">
        <f t="shared" si="49"/>
        <v>40372.750802699411</v>
      </c>
      <c r="BD33" s="242">
        <f t="shared" si="50"/>
        <v>0.21760320024586394</v>
      </c>
      <c r="BE33" s="47">
        <f t="shared" si="51"/>
        <v>185533.809967332</v>
      </c>
      <c r="BG33" s="47">
        <f t="shared" si="52"/>
        <v>1947.6154721650423</v>
      </c>
      <c r="BH33" s="242">
        <f t="shared" si="53"/>
        <v>1.0497361491730106E-2</v>
      </c>
      <c r="BJ33" s="47">
        <f t="shared" si="54"/>
        <v>38425.135330534365</v>
      </c>
      <c r="BK33" s="242">
        <f t="shared" si="55"/>
        <v>0.20710583875413383</v>
      </c>
      <c r="BL33" s="242">
        <f t="shared" si="59"/>
        <v>0.34105481995709241</v>
      </c>
      <c r="EM33">
        <v>2009</v>
      </c>
      <c r="EN33">
        <v>2198</v>
      </c>
      <c r="EO33">
        <v>73627</v>
      </c>
      <c r="EP33">
        <v>42545</v>
      </c>
      <c r="EQ33">
        <v>30093</v>
      </c>
      <c r="ER33">
        <v>356817</v>
      </c>
      <c r="ES33">
        <v>505280</v>
      </c>
      <c r="ET33">
        <v>2154</v>
      </c>
      <c r="EU33">
        <v>15495</v>
      </c>
      <c r="EV33">
        <v>13004</v>
      </c>
      <c r="EW33">
        <v>81925</v>
      </c>
      <c r="EX33">
        <v>1679</v>
      </c>
      <c r="EY33">
        <v>114257</v>
      </c>
      <c r="EZ33">
        <v>4352</v>
      </c>
      <c r="FA33">
        <v>89122</v>
      </c>
      <c r="FB33">
        <v>55549</v>
      </c>
      <c r="FC33">
        <v>112018</v>
      </c>
      <c r="FD33">
        <v>358496</v>
      </c>
      <c r="FE33">
        <v>619537</v>
      </c>
      <c r="FF33">
        <v>645513</v>
      </c>
      <c r="FG33">
        <v>395954</v>
      </c>
      <c r="FI33">
        <v>2009</v>
      </c>
      <c r="FJ33" s="47">
        <f t="shared" si="39"/>
        <v>6316</v>
      </c>
      <c r="FK33" s="47">
        <f t="shared" si="39"/>
        <v>189945</v>
      </c>
      <c r="FL33" s="47">
        <f t="shared" si="39"/>
        <v>74330</v>
      </c>
      <c r="FM33" s="47">
        <f t="shared" si="23"/>
        <v>270591</v>
      </c>
      <c r="FN33" s="47">
        <f t="shared" si="24"/>
        <v>264275</v>
      </c>
      <c r="FO33" s="47"/>
      <c r="FP33" s="47">
        <f t="shared" si="40"/>
        <v>30</v>
      </c>
      <c r="FQ33" s="47">
        <f t="shared" si="40"/>
        <v>2749</v>
      </c>
      <c r="FR33" s="47">
        <f t="shared" si="40"/>
        <v>784</v>
      </c>
      <c r="FS33" s="47">
        <f t="shared" si="25"/>
        <v>3563</v>
      </c>
      <c r="FT33" s="47">
        <f t="shared" si="26"/>
        <v>3533</v>
      </c>
      <c r="FU33" s="47"/>
      <c r="FV33" s="47">
        <f t="shared" si="41"/>
        <v>1003829</v>
      </c>
      <c r="FW33" s="47">
        <f t="shared" si="42"/>
        <v>37638</v>
      </c>
      <c r="FX33" s="47">
        <f t="shared" si="27"/>
        <v>1041467</v>
      </c>
      <c r="FZ33" s="242">
        <f t="shared" si="11"/>
        <v>6.2919082831836897E-3</v>
      </c>
      <c r="GA33" s="242">
        <f t="shared" si="12"/>
        <v>0.1892204748019832</v>
      </c>
      <c r="GB33" s="242">
        <f t="shared" si="13"/>
        <v>7.4046476043230475E-2</v>
      </c>
      <c r="GC33" s="242">
        <f t="shared" si="14"/>
        <v>0.26955885912839739</v>
      </c>
      <c r="GD33" s="242">
        <f t="shared" si="15"/>
        <v>0.26326695084521368</v>
      </c>
      <c r="GE33" s="47"/>
      <c r="GF33" s="242">
        <f t="shared" si="16"/>
        <v>7.9706679419735374E-4</v>
      </c>
      <c r="GG33" s="242">
        <f t="shared" si="17"/>
        <v>7.3037887241617513E-2</v>
      </c>
      <c r="GH33" s="242">
        <f t="shared" si="18"/>
        <v>2.0830012221690845E-2</v>
      </c>
      <c r="GI33" s="366">
        <f t="shared" si="19"/>
        <v>9.4664966257505714E-2</v>
      </c>
      <c r="GJ33" s="242">
        <f t="shared" si="20"/>
        <v>9.3867899463308355E-2</v>
      </c>
    </row>
    <row r="34" spans="2:192" x14ac:dyDescent="0.25">
      <c r="B34" s="166">
        <v>1973</v>
      </c>
      <c r="C34">
        <v>422.8</v>
      </c>
      <c r="D34">
        <v>54609</v>
      </c>
      <c r="E34">
        <f t="shared" si="0"/>
        <v>54.609000000000002</v>
      </c>
      <c r="F34">
        <f t="shared" si="1"/>
        <v>368.19100000000003</v>
      </c>
      <c r="Q34" s="201"/>
      <c r="R34" s="216" t="s">
        <v>36</v>
      </c>
      <c r="S34" s="200"/>
      <c r="T34" s="210">
        <f>AD30*AA30</f>
        <v>15.386806572495807</v>
      </c>
      <c r="U34" s="200"/>
      <c r="V34" s="200"/>
      <c r="W34" s="200"/>
      <c r="X34" s="200"/>
      <c r="Y34" s="200"/>
      <c r="Z34" s="200"/>
      <c r="AA34" s="200"/>
      <c r="AB34" s="200"/>
      <c r="AN34" s="257">
        <v>1971</v>
      </c>
      <c r="AO34" s="250">
        <v>17410</v>
      </c>
      <c r="AP34" s="250">
        <v>6670</v>
      </c>
      <c r="AQ34" s="250">
        <v>24080</v>
      </c>
      <c r="AT34" s="2">
        <v>2014</v>
      </c>
      <c r="AU34" s="47">
        <f t="shared" si="56"/>
        <v>293244</v>
      </c>
      <c r="AV34" s="47">
        <f t="shared" si="44"/>
        <v>237294</v>
      </c>
      <c r="AW34" s="47">
        <f t="shared" si="45"/>
        <v>34496.189855661753</v>
      </c>
      <c r="AX34" s="47">
        <f t="shared" si="46"/>
        <v>46449</v>
      </c>
      <c r="AY34" s="47">
        <f t="shared" si="57"/>
        <v>80945.189855661753</v>
      </c>
      <c r="AZ34" s="47">
        <f t="shared" si="58"/>
        <v>318239.18985566177</v>
      </c>
      <c r="BA34" s="242">
        <f t="shared" si="47"/>
        <v>0.5204381659793148</v>
      </c>
      <c r="BB34" s="47">
        <f t="shared" si="48"/>
        <v>611483.18985566171</v>
      </c>
      <c r="BC34" s="47">
        <f t="shared" si="49"/>
        <v>166737.93845476044</v>
      </c>
      <c r="BD34" s="242">
        <f t="shared" si="50"/>
        <v>0.21425521922896298</v>
      </c>
      <c r="BE34" s="47">
        <f t="shared" si="51"/>
        <v>778221.12831042218</v>
      </c>
      <c r="BG34" s="47">
        <f t="shared" si="52"/>
        <v>6331.9550285360656</v>
      </c>
      <c r="BH34" s="242">
        <f t="shared" si="53"/>
        <v>8.1364470819280197E-3</v>
      </c>
      <c r="BJ34" s="47">
        <f t="shared" si="54"/>
        <v>160405.98342622435</v>
      </c>
      <c r="BK34" s="242">
        <f t="shared" si="55"/>
        <v>0.20611877214703495</v>
      </c>
      <c r="BL34" s="242">
        <f t="shared" si="59"/>
        <v>0.40893157263229729</v>
      </c>
      <c r="EM34">
        <v>2010</v>
      </c>
      <c r="EN34">
        <v>115</v>
      </c>
      <c r="EO34">
        <v>10914</v>
      </c>
      <c r="EP34">
        <v>5189</v>
      </c>
      <c r="EQ34">
        <v>11976</v>
      </c>
      <c r="ER34">
        <v>138045</v>
      </c>
      <c r="ES34">
        <v>166239</v>
      </c>
      <c r="ET34">
        <v>695</v>
      </c>
      <c r="EU34">
        <v>4440</v>
      </c>
      <c r="EV34">
        <v>3061</v>
      </c>
      <c r="EW34">
        <v>61464</v>
      </c>
      <c r="EX34">
        <v>1500</v>
      </c>
      <c r="EY34">
        <v>71160</v>
      </c>
      <c r="EZ34">
        <v>810</v>
      </c>
      <c r="FA34">
        <v>15354</v>
      </c>
      <c r="FB34">
        <v>8250</v>
      </c>
      <c r="FC34">
        <v>73440</v>
      </c>
      <c r="FD34">
        <v>139545</v>
      </c>
      <c r="FE34">
        <v>237399</v>
      </c>
      <c r="FF34">
        <v>272606</v>
      </c>
      <c r="FG34">
        <v>260261</v>
      </c>
      <c r="FI34">
        <v>2010</v>
      </c>
      <c r="FJ34" s="47">
        <f t="shared" si="39"/>
        <v>1541</v>
      </c>
      <c r="FK34" s="47">
        <f t="shared" si="39"/>
        <v>45050</v>
      </c>
      <c r="FL34" s="47">
        <f t="shared" si="39"/>
        <v>13015</v>
      </c>
      <c r="FM34" s="47">
        <f t="shared" si="23"/>
        <v>59606</v>
      </c>
      <c r="FN34" s="47">
        <f t="shared" si="24"/>
        <v>58065</v>
      </c>
      <c r="FO34" s="47"/>
      <c r="FP34" s="47">
        <f t="shared" si="40"/>
        <v>17</v>
      </c>
      <c r="FQ34" s="47">
        <f t="shared" si="40"/>
        <v>1654</v>
      </c>
      <c r="FR34" s="47">
        <f t="shared" si="40"/>
        <v>548</v>
      </c>
      <c r="FS34" s="47">
        <f t="shared" si="25"/>
        <v>2219</v>
      </c>
      <c r="FT34" s="47">
        <f t="shared" si="26"/>
        <v>2202</v>
      </c>
      <c r="FU34" s="47"/>
      <c r="FV34" s="47">
        <f t="shared" si="41"/>
        <v>479705</v>
      </c>
      <c r="FW34" s="47">
        <f t="shared" si="42"/>
        <v>53162</v>
      </c>
      <c r="FX34" s="47">
        <f t="shared" si="27"/>
        <v>532867</v>
      </c>
      <c r="FZ34" s="242">
        <f t="shared" si="11"/>
        <v>3.2123909486038295E-3</v>
      </c>
      <c r="GA34" s="242">
        <f t="shared" si="12"/>
        <v>9.3911883344972427E-2</v>
      </c>
      <c r="GB34" s="242">
        <f t="shared" si="13"/>
        <v>2.713125775216018E-2</v>
      </c>
      <c r="GC34" s="242">
        <f t="shared" si="14"/>
        <v>0.12425553204573644</v>
      </c>
      <c r="GD34" s="242">
        <f t="shared" si="15"/>
        <v>0.12104314109713261</v>
      </c>
      <c r="GE34" s="47"/>
      <c r="GF34" s="242">
        <f t="shared" si="16"/>
        <v>3.1977728452654153E-4</v>
      </c>
      <c r="GG34" s="242">
        <f t="shared" si="17"/>
        <v>3.1112448741582335E-2</v>
      </c>
      <c r="GH34" s="242">
        <f t="shared" si="18"/>
        <v>1.0308114818855574E-2</v>
      </c>
      <c r="GI34" s="367">
        <f t="shared" si="19"/>
        <v>4.1740340844964446E-2</v>
      </c>
      <c r="GJ34" s="242">
        <f t="shared" si="20"/>
        <v>4.1420563560437905E-2</v>
      </c>
    </row>
    <row r="35" spans="2:192" x14ac:dyDescent="0.25">
      <c r="B35" s="166">
        <v>1974</v>
      </c>
      <c r="C35">
        <v>534</v>
      </c>
      <c r="D35">
        <v>60955</v>
      </c>
      <c r="E35">
        <f t="shared" si="0"/>
        <v>60.954999999999998</v>
      </c>
      <c r="F35">
        <f t="shared" si="1"/>
        <v>473.04500000000002</v>
      </c>
      <c r="Q35" s="201"/>
      <c r="R35" s="215" t="s">
        <v>342</v>
      </c>
      <c r="S35" s="200"/>
      <c r="T35" s="200">
        <v>1.5</v>
      </c>
      <c r="U35" s="200"/>
      <c r="V35" s="200"/>
      <c r="W35" s="200"/>
      <c r="X35" s="200"/>
      <c r="Y35" s="200"/>
      <c r="Z35" s="200"/>
      <c r="AA35" s="200"/>
      <c r="AB35" s="200"/>
      <c r="AN35" s="249">
        <v>1972</v>
      </c>
      <c r="AO35" s="252">
        <v>9983</v>
      </c>
      <c r="AP35" s="252">
        <v>7157</v>
      </c>
      <c r="AQ35" s="252">
        <v>17140</v>
      </c>
      <c r="AT35" s="2">
        <v>2015</v>
      </c>
      <c r="AU35" s="47">
        <f t="shared" si="56"/>
        <v>43491</v>
      </c>
      <c r="AV35" s="47">
        <f t="shared" si="44"/>
        <v>31092</v>
      </c>
      <c r="AW35" s="47">
        <f t="shared" si="45"/>
        <v>21397.075781577601</v>
      </c>
      <c r="AX35" s="47">
        <f t="shared" si="46"/>
        <v>6848</v>
      </c>
      <c r="AY35" s="47">
        <f t="shared" si="57"/>
        <v>28245.075781577601</v>
      </c>
      <c r="AZ35" s="47">
        <f t="shared" si="58"/>
        <v>59337.075781577601</v>
      </c>
      <c r="BA35" s="242">
        <f t="shared" si="47"/>
        <v>0.57705130948495553</v>
      </c>
      <c r="BB35" s="47">
        <f t="shared" si="48"/>
        <v>102828.0757815776</v>
      </c>
      <c r="BC35" s="47">
        <f t="shared" si="49"/>
        <v>53893.75135733615</v>
      </c>
      <c r="BD35" s="242">
        <f t="shared" si="50"/>
        <v>0.34388159161497189</v>
      </c>
      <c r="BE35" s="47">
        <f t="shared" si="51"/>
        <v>156721.82713891374</v>
      </c>
      <c r="BG35" s="47">
        <f t="shared" si="52"/>
        <v>1437.315398202443</v>
      </c>
      <c r="BH35" s="242">
        <f t="shared" si="53"/>
        <v>9.1711245615356939E-3</v>
      </c>
      <c r="BJ35" s="47">
        <f t="shared" si="54"/>
        <v>52456.435959133705</v>
      </c>
      <c r="BK35" s="242">
        <f t="shared" si="55"/>
        <v>0.33471046705343616</v>
      </c>
      <c r="BL35" s="242">
        <f t="shared" si="59"/>
        <v>0.37861398673576541</v>
      </c>
      <c r="EM35">
        <v>2011</v>
      </c>
      <c r="EN35">
        <v>1396</v>
      </c>
      <c r="EO35">
        <v>20751</v>
      </c>
      <c r="EP35">
        <v>4879</v>
      </c>
      <c r="EQ35">
        <v>23647</v>
      </c>
      <c r="ER35">
        <v>176336</v>
      </c>
      <c r="ES35">
        <v>227009</v>
      </c>
      <c r="ET35">
        <v>2009</v>
      </c>
      <c r="EU35">
        <v>4538</v>
      </c>
      <c r="EV35">
        <v>1546</v>
      </c>
      <c r="EW35">
        <v>39539</v>
      </c>
      <c r="EX35">
        <v>6681</v>
      </c>
      <c r="EY35">
        <v>54313</v>
      </c>
      <c r="EZ35">
        <v>3405</v>
      </c>
      <c r="FA35">
        <v>25289</v>
      </c>
      <c r="FB35">
        <v>6425</v>
      </c>
      <c r="FC35">
        <v>63186</v>
      </c>
      <c r="FD35">
        <v>183017</v>
      </c>
      <c r="FE35">
        <v>281322</v>
      </c>
      <c r="FF35">
        <v>294426</v>
      </c>
      <c r="FG35">
        <v>147087</v>
      </c>
      <c r="FI35">
        <v>2011</v>
      </c>
      <c r="FJ35" s="47">
        <f t="shared" si="39"/>
        <v>4792</v>
      </c>
      <c r="FK35" s="47">
        <f t="shared" si="39"/>
        <v>47086</v>
      </c>
      <c r="FL35" s="47">
        <f t="shared" si="39"/>
        <v>8420</v>
      </c>
      <c r="FM35" s="47">
        <f t="shared" si="23"/>
        <v>60298</v>
      </c>
      <c r="FN35" s="47">
        <f t="shared" si="24"/>
        <v>55506</v>
      </c>
      <c r="FO35" s="47"/>
      <c r="FP35" s="47">
        <f t="shared" si="40"/>
        <v>39</v>
      </c>
      <c r="FQ35" s="47">
        <f t="shared" si="40"/>
        <v>1422</v>
      </c>
      <c r="FR35" s="47">
        <f t="shared" si="40"/>
        <v>275</v>
      </c>
      <c r="FS35" s="47">
        <f t="shared" si="25"/>
        <v>1736</v>
      </c>
      <c r="FT35" s="47">
        <f t="shared" si="26"/>
        <v>1697</v>
      </c>
      <c r="FU35" s="47"/>
      <c r="FV35" s="47">
        <f t="shared" si="41"/>
        <v>412011</v>
      </c>
      <c r="FW35" s="47">
        <f t="shared" si="42"/>
        <v>29502</v>
      </c>
      <c r="FX35" s="47">
        <f t="shared" si="27"/>
        <v>441513</v>
      </c>
      <c r="FZ35" s="242">
        <f t="shared" si="11"/>
        <v>1.1630757431233632E-2</v>
      </c>
      <c r="GA35" s="242">
        <f t="shared" si="12"/>
        <v>0.11428335651232613</v>
      </c>
      <c r="GB35" s="242">
        <f t="shared" si="13"/>
        <v>2.0436347573244404E-2</v>
      </c>
      <c r="GC35" s="242">
        <f t="shared" si="14"/>
        <v>0.14635046151680417</v>
      </c>
      <c r="GD35" s="242">
        <f t="shared" si="15"/>
        <v>0.13471970408557052</v>
      </c>
      <c r="GE35" s="47"/>
      <c r="GF35" s="242">
        <f t="shared" si="16"/>
        <v>1.3219442749644091E-3</v>
      </c>
      <c r="GG35" s="242">
        <f t="shared" si="17"/>
        <v>4.8200122025625382E-2</v>
      </c>
      <c r="GH35" s="242">
        <f t="shared" si="18"/>
        <v>9.3214019388516041E-3</v>
      </c>
      <c r="GI35" s="242">
        <f t="shared" si="19"/>
        <v>5.8843468239441393E-2</v>
      </c>
      <c r="GJ35" s="242">
        <f t="shared" si="20"/>
        <v>5.7521523964476982E-2</v>
      </c>
    </row>
    <row r="36" spans="2:192" x14ac:dyDescent="0.25">
      <c r="B36" s="167">
        <v>1975</v>
      </c>
      <c r="C36">
        <v>437.7</v>
      </c>
      <c r="D36">
        <v>58307</v>
      </c>
      <c r="E36">
        <f t="shared" si="0"/>
        <v>58.307000000000002</v>
      </c>
      <c r="F36">
        <f t="shared" si="1"/>
        <v>379.39299999999997</v>
      </c>
      <c r="Q36" s="201"/>
      <c r="R36" s="215" t="s">
        <v>341</v>
      </c>
      <c r="S36" s="200"/>
      <c r="T36" s="210">
        <f>T30</f>
        <v>52.089999999999996</v>
      </c>
      <c r="U36" s="200"/>
      <c r="V36" s="200"/>
      <c r="W36" s="200"/>
      <c r="X36" s="200"/>
      <c r="Y36" s="200"/>
      <c r="Z36" s="200"/>
      <c r="AA36" s="200"/>
      <c r="AB36" s="200"/>
      <c r="AN36" s="249">
        <v>1973</v>
      </c>
      <c r="AO36" s="252">
        <v>5174</v>
      </c>
      <c r="AP36" s="252">
        <v>1583</v>
      </c>
      <c r="AQ36" s="252">
        <v>6757</v>
      </c>
      <c r="AT36" s="2">
        <v>2016</v>
      </c>
      <c r="AU36" s="47">
        <f t="shared" si="56"/>
        <v>84102</v>
      </c>
      <c r="AV36" s="47">
        <f t="shared" si="44"/>
        <v>31433</v>
      </c>
      <c r="AW36" s="47">
        <f t="shared" si="45"/>
        <v>7253.7599129056625</v>
      </c>
      <c r="AX36" s="47">
        <f t="shared" si="46"/>
        <v>10993</v>
      </c>
      <c r="AY36" s="47">
        <f t="shared" si="57"/>
        <v>18246.759912905662</v>
      </c>
      <c r="AZ36" s="47">
        <f t="shared" si="58"/>
        <v>49679.759912905662</v>
      </c>
      <c r="BA36" s="242">
        <f t="shared" si="47"/>
        <v>0.37134927769860465</v>
      </c>
      <c r="BB36" s="47">
        <f t="shared" si="48"/>
        <v>133781.75991290566</v>
      </c>
      <c r="BC36" s="47">
        <f t="shared" si="49"/>
        <v>22363.074302362817</v>
      </c>
      <c r="BD36" s="242">
        <f t="shared" si="50"/>
        <v>0.14322007138277817</v>
      </c>
      <c r="BE36" s="47">
        <f t="shared" si="51"/>
        <v>156144.83421526849</v>
      </c>
      <c r="BG36" s="47">
        <f t="shared" si="52"/>
        <v>1073.5172130447759</v>
      </c>
      <c r="BH36" s="242">
        <f t="shared" si="53"/>
        <v>6.8751375505946956E-3</v>
      </c>
      <c r="BJ36" s="47">
        <f t="shared" si="54"/>
        <v>21289.557089318041</v>
      </c>
      <c r="BK36" s="242">
        <f t="shared" si="55"/>
        <v>0.13634493383218346</v>
      </c>
      <c r="BL36" s="242">
        <f t="shared" si="59"/>
        <v>0.31816460763866733</v>
      </c>
      <c r="EM36">
        <v>2012</v>
      </c>
      <c r="EN36">
        <v>33</v>
      </c>
      <c r="EO36">
        <v>7906</v>
      </c>
      <c r="EP36">
        <v>3275</v>
      </c>
      <c r="EQ36">
        <v>14734</v>
      </c>
      <c r="ER36">
        <v>59166</v>
      </c>
      <c r="ES36">
        <v>85114</v>
      </c>
      <c r="ET36">
        <v>164</v>
      </c>
      <c r="EU36">
        <v>1741</v>
      </c>
      <c r="EV36">
        <v>1324</v>
      </c>
      <c r="EW36">
        <v>14563</v>
      </c>
      <c r="EX36">
        <v>5369</v>
      </c>
      <c r="EY36">
        <v>23161</v>
      </c>
      <c r="EZ36">
        <v>197</v>
      </c>
      <c r="FA36">
        <v>9647</v>
      </c>
      <c r="FB36">
        <v>4599</v>
      </c>
      <c r="FC36">
        <v>29297</v>
      </c>
      <c r="FD36">
        <v>64535</v>
      </c>
      <c r="FE36">
        <v>108275</v>
      </c>
      <c r="FF36">
        <v>115709</v>
      </c>
      <c r="FG36">
        <v>55741</v>
      </c>
      <c r="FI36">
        <v>2012</v>
      </c>
      <c r="FJ36" s="47">
        <f t="shared" si="39"/>
        <v>358</v>
      </c>
      <c r="FK36" s="47">
        <f t="shared" si="39"/>
        <v>19103</v>
      </c>
      <c r="FL36" s="47">
        <f t="shared" si="39"/>
        <v>5842</v>
      </c>
      <c r="FM36" s="47">
        <f t="shared" si="23"/>
        <v>25303</v>
      </c>
      <c r="FN36" s="47">
        <f t="shared" si="24"/>
        <v>24945</v>
      </c>
      <c r="FO36" s="47"/>
      <c r="FP36" s="47">
        <f t="shared" si="40"/>
        <v>3</v>
      </c>
      <c r="FQ36" s="47">
        <f t="shared" si="40"/>
        <v>992</v>
      </c>
      <c r="FR36" s="47">
        <f t="shared" si="40"/>
        <v>337</v>
      </c>
      <c r="FS36" s="47">
        <f t="shared" si="25"/>
        <v>1332</v>
      </c>
      <c r="FT36" s="47">
        <f t="shared" si="26"/>
        <v>1329</v>
      </c>
      <c r="FU36" s="47"/>
      <c r="FV36" s="47">
        <f t="shared" si="41"/>
        <v>158510</v>
      </c>
      <c r="FW36" s="47">
        <f t="shared" si="42"/>
        <v>12940</v>
      </c>
      <c r="FX36" s="47">
        <f t="shared" si="27"/>
        <v>171450</v>
      </c>
      <c r="FZ36" s="242">
        <f t="shared" si="11"/>
        <v>2.2585325846949719E-3</v>
      </c>
      <c r="GA36" s="242">
        <f t="shared" si="12"/>
        <v>0.12051605576935209</v>
      </c>
      <c r="GB36" s="242">
        <f t="shared" si="13"/>
        <v>3.685571888208946E-2</v>
      </c>
      <c r="GC36" s="242">
        <f t="shared" si="14"/>
        <v>0.15963030723613653</v>
      </c>
      <c r="GD36" s="242">
        <f t="shared" si="15"/>
        <v>0.15737177465144156</v>
      </c>
      <c r="GE36" s="47"/>
      <c r="GF36" s="242">
        <f t="shared" si="16"/>
        <v>2.3183925811437405E-4</v>
      </c>
      <c r="GG36" s="242">
        <f t="shared" si="17"/>
        <v>7.666151468315302E-2</v>
      </c>
      <c r="GH36" s="242">
        <f t="shared" si="18"/>
        <v>2.6043276661514684E-2</v>
      </c>
      <c r="GI36" s="242">
        <f t="shared" si="19"/>
        <v>0.10293663060278208</v>
      </c>
      <c r="GJ36" s="242">
        <f t="shared" si="20"/>
        <v>0.1027047913446677</v>
      </c>
    </row>
    <row r="37" spans="2:192" x14ac:dyDescent="0.25">
      <c r="B37" s="167">
        <v>1976</v>
      </c>
      <c r="C37">
        <v>384.1</v>
      </c>
      <c r="D37">
        <v>53150</v>
      </c>
      <c r="E37">
        <f t="shared" si="0"/>
        <v>53.15</v>
      </c>
      <c r="F37">
        <f t="shared" si="1"/>
        <v>330.95000000000005</v>
      </c>
      <c r="Q37" s="201"/>
      <c r="R37" s="215" t="s">
        <v>332</v>
      </c>
      <c r="S37" s="200"/>
      <c r="T37" s="210">
        <f>S30</f>
        <v>20.82</v>
      </c>
      <c r="U37" s="200"/>
      <c r="V37" s="200"/>
      <c r="W37" s="200"/>
      <c r="X37" s="200"/>
      <c r="Y37" s="200"/>
      <c r="Z37" s="200"/>
      <c r="AA37" s="200"/>
      <c r="AB37" s="200"/>
      <c r="AN37" s="249">
        <v>1974</v>
      </c>
      <c r="AO37" s="252">
        <v>1501</v>
      </c>
      <c r="AP37" s="252">
        <v>3941</v>
      </c>
      <c r="AQ37" s="252">
        <v>5442</v>
      </c>
      <c r="AT37" s="2">
        <v>2017</v>
      </c>
      <c r="AU37" s="47">
        <f t="shared" si="56"/>
        <v>61145</v>
      </c>
      <c r="AV37" s="47">
        <f t="shared" si="44"/>
        <v>37827</v>
      </c>
      <c r="AW37" s="47">
        <f t="shared" si="45"/>
        <v>10013.233338900951</v>
      </c>
      <c r="AX37" s="47">
        <f t="shared" si="46"/>
        <v>7328</v>
      </c>
      <c r="AY37" s="47">
        <f t="shared" si="57"/>
        <v>17341.233338900951</v>
      </c>
      <c r="AZ37" s="47">
        <f t="shared" si="58"/>
        <v>55168.233338900951</v>
      </c>
      <c r="BA37" s="242">
        <f t="shared" si="47"/>
        <v>0.47430745200039021</v>
      </c>
      <c r="BB37" s="47">
        <f t="shared" si="48"/>
        <v>116313.23333890096</v>
      </c>
      <c r="BC37" s="47">
        <f t="shared" si="49"/>
        <v>27784.109819552283</v>
      </c>
      <c r="BD37" s="242">
        <f t="shared" si="50"/>
        <v>0.19281486535806661</v>
      </c>
      <c r="BE37" s="47">
        <f t="shared" si="51"/>
        <v>144097.34315845324</v>
      </c>
      <c r="BG37" s="47">
        <f t="shared" si="52"/>
        <v>1243.8939792475057</v>
      </c>
      <c r="BH37" s="242">
        <f t="shared" si="53"/>
        <v>8.6323172376584836E-3</v>
      </c>
      <c r="BJ37" s="47">
        <f t="shared" si="54"/>
        <v>26540.215840304776</v>
      </c>
      <c r="BK37" s="242">
        <f t="shared" si="55"/>
        <v>0.18418254812040813</v>
      </c>
      <c r="BL37" s="242">
        <f t="shared" si="59"/>
        <v>0.38285392450460731</v>
      </c>
      <c r="EM37">
        <v>2013</v>
      </c>
      <c r="EN37">
        <v>757</v>
      </c>
      <c r="EO37">
        <v>16236</v>
      </c>
      <c r="EP37">
        <v>5506</v>
      </c>
      <c r="EQ37">
        <v>4461</v>
      </c>
      <c r="ER37">
        <v>102020</v>
      </c>
      <c r="ES37">
        <v>128980</v>
      </c>
      <c r="ET37">
        <v>1140</v>
      </c>
      <c r="EU37">
        <v>4995</v>
      </c>
      <c r="EV37">
        <v>2672</v>
      </c>
      <c r="EW37">
        <v>2748</v>
      </c>
      <c r="EX37">
        <v>36492</v>
      </c>
      <c r="EY37">
        <v>48047</v>
      </c>
      <c r="EZ37">
        <v>1897</v>
      </c>
      <c r="FA37">
        <v>21231</v>
      </c>
      <c r="FB37">
        <v>8178</v>
      </c>
      <c r="FC37">
        <v>7209</v>
      </c>
      <c r="FD37">
        <v>138512</v>
      </c>
      <c r="FE37">
        <v>177027</v>
      </c>
      <c r="FF37">
        <v>193261</v>
      </c>
      <c r="FG37">
        <v>128598</v>
      </c>
      <c r="FI37">
        <v>2013</v>
      </c>
      <c r="FJ37" s="47">
        <f t="shared" si="39"/>
        <v>2793</v>
      </c>
      <c r="FK37" s="47">
        <f t="shared" si="39"/>
        <v>44245</v>
      </c>
      <c r="FL37" s="47">
        <f t="shared" si="39"/>
        <v>10859</v>
      </c>
      <c r="FM37" s="47">
        <f t="shared" si="23"/>
        <v>57897</v>
      </c>
      <c r="FN37" s="47">
        <f t="shared" si="24"/>
        <v>55104</v>
      </c>
      <c r="FO37" s="47"/>
      <c r="FP37" s="47">
        <f t="shared" si="40"/>
        <v>52</v>
      </c>
      <c r="FQ37" s="47">
        <f t="shared" si="40"/>
        <v>2957</v>
      </c>
      <c r="FR37" s="47">
        <f t="shared" si="40"/>
        <v>737</v>
      </c>
      <c r="FS37" s="47">
        <f t="shared" si="25"/>
        <v>3746</v>
      </c>
      <c r="FT37" s="47">
        <f t="shared" si="26"/>
        <v>3694</v>
      </c>
      <c r="FU37" s="47"/>
      <c r="FV37" s="47">
        <f t="shared" si="41"/>
        <v>285057</v>
      </c>
      <c r="FW37" s="47">
        <f t="shared" si="42"/>
        <v>36802</v>
      </c>
      <c r="FX37" s="47">
        <f t="shared" si="27"/>
        <v>321859</v>
      </c>
      <c r="FZ37" s="242">
        <f t="shared" si="11"/>
        <v>9.7980403919216159E-3</v>
      </c>
      <c r="GA37" s="242">
        <f t="shared" si="12"/>
        <v>0.15521457112086354</v>
      </c>
      <c r="GB37" s="242">
        <f t="shared" si="13"/>
        <v>3.8094135558853139E-2</v>
      </c>
      <c r="GC37" s="242">
        <f t="shared" si="14"/>
        <v>0.20310674707163831</v>
      </c>
      <c r="GD37" s="242">
        <f t="shared" si="15"/>
        <v>0.1933087066797167</v>
      </c>
      <c r="GE37" s="47"/>
      <c r="GF37" s="242">
        <f t="shared" si="16"/>
        <v>1.4129666865931199E-3</v>
      </c>
      <c r="GG37" s="242">
        <f t="shared" si="17"/>
        <v>8.0348894081843383E-2</v>
      </c>
      <c r="GH37" s="242">
        <f t="shared" si="18"/>
        <v>2.0026085538829411E-2</v>
      </c>
      <c r="GI37" s="242">
        <f t="shared" si="19"/>
        <v>0.10178794630726591</v>
      </c>
      <c r="GJ37" s="242">
        <f t="shared" si="20"/>
        <v>0.10037497962067279</v>
      </c>
    </row>
    <row r="38" spans="2:192" x14ac:dyDescent="0.25">
      <c r="B38" s="167">
        <v>1977</v>
      </c>
      <c r="C38">
        <v>199</v>
      </c>
      <c r="D38">
        <v>19408</v>
      </c>
      <c r="E38">
        <f t="shared" si="0"/>
        <v>19.408000000000001</v>
      </c>
      <c r="F38">
        <f t="shared" si="1"/>
        <v>179.59199999999998</v>
      </c>
      <c r="Q38" s="201"/>
      <c r="R38" s="216" t="s">
        <v>39</v>
      </c>
      <c r="S38" s="200"/>
      <c r="T38" s="210">
        <f>U30+V30</f>
        <v>21.989999999999995</v>
      </c>
      <c r="U38" s="200"/>
      <c r="V38" s="200"/>
      <c r="W38" s="200"/>
      <c r="X38" s="200"/>
      <c r="Y38" s="200"/>
      <c r="Z38" s="200"/>
      <c r="AA38" s="200"/>
      <c r="AB38" s="200"/>
      <c r="AN38" s="249">
        <v>1975</v>
      </c>
      <c r="AO38" s="252">
        <v>5922</v>
      </c>
      <c r="AP38" s="252">
        <v>6927</v>
      </c>
      <c r="AQ38" s="252">
        <v>12849</v>
      </c>
      <c r="EM38">
        <v>2014</v>
      </c>
      <c r="EN38">
        <v>2248</v>
      </c>
      <c r="EO38">
        <v>62439</v>
      </c>
      <c r="EP38">
        <v>34245</v>
      </c>
      <c r="EQ38">
        <v>72233</v>
      </c>
      <c r="ER38">
        <v>350782</v>
      </c>
      <c r="ES38">
        <v>521947</v>
      </c>
      <c r="ET38">
        <v>5085</v>
      </c>
      <c r="EU38">
        <v>19018</v>
      </c>
      <c r="EV38">
        <v>17211</v>
      </c>
      <c r="EW38">
        <v>124838</v>
      </c>
      <c r="EX38">
        <v>36639</v>
      </c>
      <c r="EY38">
        <v>202791</v>
      </c>
      <c r="EZ38">
        <v>7333</v>
      </c>
      <c r="FA38">
        <v>81457</v>
      </c>
      <c r="FB38">
        <v>51456</v>
      </c>
      <c r="FC38">
        <v>197071</v>
      </c>
      <c r="FD38">
        <v>387421</v>
      </c>
      <c r="FE38">
        <v>724738</v>
      </c>
      <c r="FF38">
        <v>777359</v>
      </c>
      <c r="FG38">
        <v>516473</v>
      </c>
      <c r="FI38">
        <v>2014</v>
      </c>
      <c r="FJ38" s="47">
        <f t="shared" si="39"/>
        <v>9529</v>
      </c>
      <c r="FK38" s="47">
        <f t="shared" si="39"/>
        <v>169859</v>
      </c>
      <c r="FL38" s="47">
        <f t="shared" si="39"/>
        <v>71537</v>
      </c>
      <c r="FM38" s="47">
        <f t="shared" si="23"/>
        <v>250925</v>
      </c>
      <c r="FN38" s="47">
        <f t="shared" si="24"/>
        <v>241396</v>
      </c>
      <c r="FO38" s="47"/>
      <c r="FP38" s="47">
        <f t="shared" si="40"/>
        <v>118</v>
      </c>
      <c r="FQ38" s="47">
        <f t="shared" si="40"/>
        <v>8972</v>
      </c>
      <c r="FR38" s="47">
        <f t="shared" si="40"/>
        <v>3218</v>
      </c>
      <c r="FS38" s="47">
        <f t="shared" si="25"/>
        <v>12308</v>
      </c>
      <c r="FT38" s="47">
        <f t="shared" si="26"/>
        <v>12190</v>
      </c>
      <c r="FU38" s="47"/>
      <c r="FV38" s="47">
        <f t="shared" si="41"/>
        <v>1185121</v>
      </c>
      <c r="FW38" s="47">
        <f t="shared" si="42"/>
        <v>108711</v>
      </c>
      <c r="FX38" s="47">
        <f t="shared" si="27"/>
        <v>1293832</v>
      </c>
      <c r="FZ38" s="242">
        <f t="shared" si="11"/>
        <v>8.0405291949092114E-3</v>
      </c>
      <c r="GA38" s="242">
        <f t="shared" si="12"/>
        <v>0.14332629326456961</v>
      </c>
      <c r="GB38" s="242">
        <f t="shared" si="13"/>
        <v>6.0362612762747431E-2</v>
      </c>
      <c r="GC38" s="242">
        <f t="shared" si="14"/>
        <v>0.21172943522222626</v>
      </c>
      <c r="GD38" s="242">
        <f t="shared" si="15"/>
        <v>0.20368890602731704</v>
      </c>
      <c r="GE38" s="47"/>
      <c r="GF38" s="242">
        <f t="shared" si="16"/>
        <v>1.0854467349210291E-3</v>
      </c>
      <c r="GG38" s="242">
        <f t="shared" si="17"/>
        <v>8.253074665857181E-2</v>
      </c>
      <c r="GH38" s="242">
        <f t="shared" si="18"/>
        <v>2.9601420279456541E-2</v>
      </c>
      <c r="GI38" s="242">
        <f t="shared" si="19"/>
        <v>0.11321761367294939</v>
      </c>
      <c r="GJ38" s="242">
        <f t="shared" si="20"/>
        <v>0.11213216693802835</v>
      </c>
    </row>
    <row r="39" spans="2:192" x14ac:dyDescent="0.25">
      <c r="B39" s="167">
        <v>1978</v>
      </c>
      <c r="C39">
        <v>382.7</v>
      </c>
      <c r="D39">
        <v>52590</v>
      </c>
      <c r="E39">
        <f t="shared" si="0"/>
        <v>52.59</v>
      </c>
      <c r="F39">
        <f t="shared" si="1"/>
        <v>330.11</v>
      </c>
      <c r="Q39" s="201"/>
      <c r="R39" s="216" t="s">
        <v>40</v>
      </c>
      <c r="S39" s="200"/>
      <c r="T39" s="210">
        <f>AH30</f>
        <v>71.149691534839988</v>
      </c>
      <c r="U39" s="200"/>
      <c r="V39" s="200"/>
      <c r="W39" s="200"/>
      <c r="X39" s="200"/>
      <c r="Y39" s="200"/>
      <c r="Z39" s="200"/>
      <c r="AA39" s="200"/>
      <c r="AB39" s="200"/>
      <c r="AN39" s="249">
        <v>1976</v>
      </c>
      <c r="AO39" s="252">
        <v>2333</v>
      </c>
      <c r="AP39" s="252">
        <v>2217</v>
      </c>
      <c r="AQ39" s="252">
        <v>4550</v>
      </c>
      <c r="AT39" s="462" t="s">
        <v>1038</v>
      </c>
      <c r="AU39" s="421">
        <f>AVERAGE(AU28:AU37)</f>
        <v>140466.98590102707</v>
      </c>
      <c r="AV39" s="421"/>
      <c r="AW39" s="463"/>
      <c r="AX39" s="421"/>
      <c r="AY39" s="463"/>
      <c r="AZ39" s="421">
        <f t="shared" ref="AZ39:BA39" si="62">AVERAGE(AZ28:AZ37)</f>
        <v>105675.1696056762</v>
      </c>
      <c r="BA39" s="463">
        <f t="shared" si="62"/>
        <v>0.4271257154282373</v>
      </c>
      <c r="BB39" s="421">
        <f>AVERAGE(BB28:BB37)</f>
        <v>246142.15550670325</v>
      </c>
      <c r="BC39" s="421">
        <f>AVERAGE(BC28:BC37)</f>
        <v>60449.988374253408</v>
      </c>
      <c r="BD39" s="463">
        <f>AVERAGE(BD28:BD37)</f>
        <v>0.19110885048310686</v>
      </c>
      <c r="BE39" s="421">
        <f>AVERAGE(BE28:BE37)</f>
        <v>306592.14388095669</v>
      </c>
      <c r="BF39" s="25"/>
      <c r="BG39" s="421">
        <f>AVERAGE(BG28:BG37)</f>
        <v>2189.1353996306843</v>
      </c>
      <c r="BH39" s="463">
        <f>AVERAGE(BH28:BH37)</f>
        <v>7.2151698879432125E-3</v>
      </c>
      <c r="BI39" s="25"/>
      <c r="BJ39" s="421">
        <f>AVERAGE(BJ28:BJ37)</f>
        <v>58260.852974622707</v>
      </c>
      <c r="BK39" s="463">
        <f>AVERAGE(BK28:BK37)</f>
        <v>0.18389368059516364</v>
      </c>
      <c r="BL39" s="463">
        <f>AVERAGE(BL28:BL37)</f>
        <v>0.34084123423021595</v>
      </c>
      <c r="EM39">
        <v>2015</v>
      </c>
      <c r="EN39">
        <v>602</v>
      </c>
      <c r="EO39">
        <v>23312</v>
      </c>
      <c r="EP39">
        <v>9099</v>
      </c>
      <c r="EQ39">
        <v>30236</v>
      </c>
      <c r="ER39">
        <v>52333</v>
      </c>
      <c r="ES39">
        <v>115582</v>
      </c>
      <c r="ET39">
        <v>939</v>
      </c>
      <c r="EU39">
        <v>7604</v>
      </c>
      <c r="EV39">
        <v>4277</v>
      </c>
      <c r="EW39">
        <v>26016</v>
      </c>
      <c r="EX39">
        <v>1563</v>
      </c>
      <c r="EY39">
        <v>40399</v>
      </c>
      <c r="EZ39">
        <v>1541</v>
      </c>
      <c r="FA39">
        <v>30916</v>
      </c>
      <c r="FB39">
        <v>13376</v>
      </c>
      <c r="FC39">
        <v>56252</v>
      </c>
      <c r="FD39">
        <v>53896</v>
      </c>
      <c r="FE39">
        <v>155981</v>
      </c>
      <c r="FF39">
        <v>165522</v>
      </c>
      <c r="FG39">
        <v>93987</v>
      </c>
      <c r="FI39">
        <v>2015</v>
      </c>
      <c r="FJ39" s="47">
        <f t="shared" si="39"/>
        <v>2191</v>
      </c>
      <c r="FK39" s="47">
        <f t="shared" si="39"/>
        <v>62841</v>
      </c>
      <c r="FL39" s="47">
        <f t="shared" si="39"/>
        <v>17122</v>
      </c>
      <c r="FM39" s="47">
        <f t="shared" si="23"/>
        <v>82154</v>
      </c>
      <c r="FN39" s="47">
        <f t="shared" si="24"/>
        <v>79963</v>
      </c>
      <c r="FO39" s="47"/>
      <c r="FP39" s="47">
        <f t="shared" si="40"/>
        <v>40</v>
      </c>
      <c r="FQ39" s="47">
        <f t="shared" si="40"/>
        <v>2908</v>
      </c>
      <c r="FR39" s="47">
        <f t="shared" si="40"/>
        <v>655</v>
      </c>
      <c r="FS39" s="47">
        <f t="shared" si="25"/>
        <v>3603</v>
      </c>
      <c r="FT39" s="47">
        <f t="shared" si="26"/>
        <v>3563</v>
      </c>
      <c r="FU39" s="47"/>
      <c r="FV39" s="47">
        <f t="shared" si="41"/>
        <v>238610</v>
      </c>
      <c r="FW39" s="47">
        <f t="shared" si="42"/>
        <v>20899</v>
      </c>
      <c r="FX39" s="47">
        <f t="shared" si="27"/>
        <v>259509</v>
      </c>
      <c r="FZ39" s="242">
        <f t="shared" si="11"/>
        <v>9.1823477641339423E-3</v>
      </c>
      <c r="GA39" s="242">
        <f t="shared" si="12"/>
        <v>0.26336280960563263</v>
      </c>
      <c r="GB39" s="242">
        <f t="shared" si="13"/>
        <v>7.1757260802145756E-2</v>
      </c>
      <c r="GC39" s="242">
        <f t="shared" si="14"/>
        <v>0.34430241817191232</v>
      </c>
      <c r="GD39" s="242">
        <f t="shared" si="15"/>
        <v>0.33512007040777836</v>
      </c>
      <c r="GE39" s="47"/>
      <c r="GF39" s="242">
        <f t="shared" si="16"/>
        <v>1.9139671754629408E-3</v>
      </c>
      <c r="GG39" s="242">
        <f t="shared" si="17"/>
        <v>0.13914541365615579</v>
      </c>
      <c r="GH39" s="242">
        <f t="shared" si="18"/>
        <v>3.1341212498205658E-2</v>
      </c>
      <c r="GI39" s="242">
        <f t="shared" si="19"/>
        <v>0.17240059332982438</v>
      </c>
      <c r="GJ39" s="242">
        <f t="shared" si="20"/>
        <v>0.17048662615436144</v>
      </c>
    </row>
    <row r="40" spans="2:192" x14ac:dyDescent="0.25">
      <c r="B40" s="167">
        <v>1979</v>
      </c>
      <c r="C40">
        <v>330.7</v>
      </c>
      <c r="D40">
        <v>45328</v>
      </c>
      <c r="E40">
        <f t="shared" si="0"/>
        <v>45.328000000000003</v>
      </c>
      <c r="F40">
        <f t="shared" si="1"/>
        <v>285.37199999999996</v>
      </c>
      <c r="Q40" s="201"/>
      <c r="R40" s="215" t="s">
        <v>331</v>
      </c>
      <c r="S40" s="200"/>
      <c r="T40" s="200"/>
      <c r="U40" s="200"/>
      <c r="V40" s="200"/>
      <c r="W40" s="200"/>
      <c r="X40" s="200"/>
      <c r="Y40" s="200"/>
      <c r="Z40" s="200"/>
      <c r="AA40" s="200"/>
      <c r="AB40" s="200"/>
      <c r="AN40" s="249">
        <v>1977</v>
      </c>
      <c r="AO40" s="252">
        <v>1007</v>
      </c>
      <c r="AP40" s="252">
        <v>2120</v>
      </c>
      <c r="AQ40" s="252">
        <v>3127</v>
      </c>
      <c r="EM40">
        <v>2016</v>
      </c>
      <c r="EN40">
        <v>280</v>
      </c>
      <c r="EO40">
        <v>7402</v>
      </c>
      <c r="EP40">
        <v>1973</v>
      </c>
      <c r="EQ40">
        <v>14253</v>
      </c>
      <c r="ER40">
        <v>65115</v>
      </c>
      <c r="ES40">
        <v>89023</v>
      </c>
      <c r="ET40">
        <v>601</v>
      </c>
      <c r="EU40">
        <v>2815</v>
      </c>
      <c r="EV40">
        <v>1030</v>
      </c>
      <c r="EW40">
        <v>15156</v>
      </c>
      <c r="EX40">
        <v>13903</v>
      </c>
      <c r="EY40">
        <v>33505</v>
      </c>
      <c r="EZ40">
        <v>881</v>
      </c>
      <c r="FA40">
        <v>10217</v>
      </c>
      <c r="FB40">
        <v>3003</v>
      </c>
      <c r="FC40">
        <v>29409</v>
      </c>
      <c r="FD40">
        <v>79018</v>
      </c>
      <c r="FE40">
        <v>122528</v>
      </c>
      <c r="FF40">
        <v>133988</v>
      </c>
      <c r="FG40">
        <v>102374</v>
      </c>
      <c r="FI40">
        <v>2016</v>
      </c>
      <c r="FJ40" s="47">
        <f t="shared" si="39"/>
        <v>1437</v>
      </c>
      <c r="FK40" s="47">
        <f t="shared" si="39"/>
        <v>24177</v>
      </c>
      <c r="FL40" s="47">
        <f t="shared" si="39"/>
        <v>4321</v>
      </c>
      <c r="FM40" s="47">
        <f t="shared" si="23"/>
        <v>29935</v>
      </c>
      <c r="FN40" s="47">
        <f t="shared" si="24"/>
        <v>28498</v>
      </c>
      <c r="FO40" s="47"/>
      <c r="FP40" s="47">
        <f t="shared" si="40"/>
        <v>49</v>
      </c>
      <c r="FQ40" s="47">
        <f t="shared" si="40"/>
        <v>1417</v>
      </c>
      <c r="FR40" s="47">
        <f t="shared" si="40"/>
        <v>370</v>
      </c>
      <c r="FS40" s="47">
        <f t="shared" si="25"/>
        <v>1836</v>
      </c>
      <c r="FT40" s="47">
        <f t="shared" si="26"/>
        <v>1787</v>
      </c>
      <c r="FU40" s="47"/>
      <c r="FV40" s="47">
        <f t="shared" si="41"/>
        <v>211274</v>
      </c>
      <c r="FW40" s="47">
        <f t="shared" si="42"/>
        <v>25088</v>
      </c>
      <c r="FX40" s="47">
        <f t="shared" si="27"/>
        <v>236362</v>
      </c>
      <c r="FZ40" s="242">
        <f t="shared" si="11"/>
        <v>6.8015941384174106E-3</v>
      </c>
      <c r="GA40" s="242">
        <f t="shared" si="12"/>
        <v>0.11443433645408332</v>
      </c>
      <c r="GB40" s="242">
        <f t="shared" si="13"/>
        <v>2.0452114316006704E-2</v>
      </c>
      <c r="GC40" s="242">
        <f t="shared" si="14"/>
        <v>0.14168804490850745</v>
      </c>
      <c r="GD40" s="242">
        <f t="shared" si="15"/>
        <v>0.13488645077009004</v>
      </c>
      <c r="GE40" s="47"/>
      <c r="GF40" s="242">
        <f t="shared" si="16"/>
        <v>1.953125E-3</v>
      </c>
      <c r="GG40" s="242">
        <f t="shared" si="17"/>
        <v>5.6481186224489797E-2</v>
      </c>
      <c r="GH40" s="242">
        <f t="shared" si="18"/>
        <v>1.4748086734693877E-2</v>
      </c>
      <c r="GI40" s="242">
        <f t="shared" si="19"/>
        <v>7.3182397959183673E-2</v>
      </c>
      <c r="GJ40" s="242">
        <f t="shared" si="20"/>
        <v>7.1229272959183673E-2</v>
      </c>
    </row>
    <row r="41" spans="2:192" ht="15.75" customHeight="1" thickBot="1" x14ac:dyDescent="0.3">
      <c r="B41" s="167">
        <v>1980</v>
      </c>
      <c r="C41">
        <v>343</v>
      </c>
      <c r="D41">
        <v>12974</v>
      </c>
      <c r="E41">
        <f t="shared" si="0"/>
        <v>12.974</v>
      </c>
      <c r="F41">
        <f t="shared" si="1"/>
        <v>330.02600000000001</v>
      </c>
      <c r="T41" s="124">
        <f>SUM(T33:T40)</f>
        <v>203.67649810733576</v>
      </c>
      <c r="AN41" s="249">
        <v>1978</v>
      </c>
      <c r="AO41" s="252">
        <v>1711</v>
      </c>
      <c r="AP41" s="252">
        <v>3891</v>
      </c>
      <c r="AQ41" s="252">
        <v>5602</v>
      </c>
      <c r="AT41" s="1"/>
      <c r="EM41">
        <v>2017</v>
      </c>
      <c r="EN41">
        <v>505</v>
      </c>
      <c r="EO41">
        <v>11533</v>
      </c>
      <c r="EP41">
        <v>4536</v>
      </c>
      <c r="EQ41">
        <v>18981</v>
      </c>
      <c r="ER41">
        <v>79476</v>
      </c>
      <c r="ES41">
        <v>115031</v>
      </c>
      <c r="ET41">
        <v>1099</v>
      </c>
      <c r="EU41">
        <v>4435</v>
      </c>
      <c r="EV41">
        <v>2502</v>
      </c>
      <c r="EW41">
        <v>18964</v>
      </c>
      <c r="EX41">
        <v>18032</v>
      </c>
      <c r="EY41">
        <v>45032</v>
      </c>
      <c r="EZ41">
        <v>1604</v>
      </c>
      <c r="FA41">
        <v>15968</v>
      </c>
      <c r="FB41">
        <v>7038</v>
      </c>
      <c r="FC41">
        <v>37945</v>
      </c>
      <c r="FD41">
        <v>97508</v>
      </c>
      <c r="FE41">
        <v>160063</v>
      </c>
      <c r="FF41">
        <v>177909</v>
      </c>
      <c r="FG41">
        <v>108437</v>
      </c>
      <c r="FI41">
        <v>2017</v>
      </c>
      <c r="FJ41" s="47">
        <f t="shared" si="39"/>
        <v>2176</v>
      </c>
      <c r="FK41" s="47">
        <f t="shared" si="39"/>
        <v>36713</v>
      </c>
      <c r="FL41" s="47">
        <f t="shared" si="39"/>
        <v>9715</v>
      </c>
      <c r="FM41" s="47">
        <f t="shared" si="23"/>
        <v>48604</v>
      </c>
      <c r="FN41" s="47">
        <f t="shared" si="24"/>
        <v>46428</v>
      </c>
      <c r="FO41" s="47"/>
      <c r="FP41" s="47">
        <f t="shared" si="40"/>
        <v>37</v>
      </c>
      <c r="FQ41" s="47">
        <f t="shared" si="40"/>
        <v>1552</v>
      </c>
      <c r="FR41" s="47">
        <f t="shared" si="40"/>
        <v>689</v>
      </c>
      <c r="FS41" s="47">
        <f t="shared" si="25"/>
        <v>2278</v>
      </c>
      <c r="FT41" s="47">
        <f t="shared" si="26"/>
        <v>2241</v>
      </c>
      <c r="FU41" s="47"/>
      <c r="FV41" s="47">
        <f t="shared" si="41"/>
        <v>255124</v>
      </c>
      <c r="FW41" s="47">
        <f t="shared" si="42"/>
        <v>31222</v>
      </c>
      <c r="FX41" s="47">
        <f t="shared" si="27"/>
        <v>286346</v>
      </c>
      <c r="FZ41" s="242">
        <f t="shared" si="11"/>
        <v>8.5291858076856752E-3</v>
      </c>
      <c r="GA41" s="242">
        <f t="shared" si="12"/>
        <v>0.14390257286652766</v>
      </c>
      <c r="GB41" s="242">
        <f t="shared" si="13"/>
        <v>3.8079522114736364E-2</v>
      </c>
      <c r="GC41" s="242">
        <f t="shared" si="14"/>
        <v>0.19051128078894969</v>
      </c>
      <c r="GD41" s="242">
        <f t="shared" si="15"/>
        <v>0.18198209498126403</v>
      </c>
      <c r="GE41" s="47"/>
      <c r="GF41" s="242">
        <f t="shared" si="16"/>
        <v>1.1850618153865864E-3</v>
      </c>
      <c r="GG41" s="242">
        <f t="shared" si="17"/>
        <v>4.9708538850810328E-2</v>
      </c>
      <c r="GH41" s="242">
        <f t="shared" si="18"/>
        <v>2.2067772724361029E-2</v>
      </c>
      <c r="GI41" s="242">
        <f t="shared" si="19"/>
        <v>7.2961373390557943E-2</v>
      </c>
      <c r="GJ41" s="242">
        <f t="shared" si="20"/>
        <v>7.177631157517135E-2</v>
      </c>
    </row>
    <row r="42" spans="2:192" ht="15.75" thickBot="1" x14ac:dyDescent="0.3">
      <c r="B42" s="167">
        <v>1981</v>
      </c>
      <c r="C42">
        <v>208</v>
      </c>
      <c r="D42">
        <v>21935</v>
      </c>
      <c r="E42">
        <f t="shared" si="0"/>
        <v>21.934999999999999</v>
      </c>
      <c r="F42">
        <f t="shared" si="1"/>
        <v>186.065</v>
      </c>
      <c r="AN42" s="249">
        <v>1979</v>
      </c>
      <c r="AO42" s="252">
        <v>1788</v>
      </c>
      <c r="AP42" s="252">
        <v>1691</v>
      </c>
      <c r="AQ42" s="252">
        <v>3479</v>
      </c>
      <c r="AT42" s="712" t="s">
        <v>1116</v>
      </c>
      <c r="AU42" s="713"/>
      <c r="AV42" s="713"/>
      <c r="AW42" s="713"/>
      <c r="AX42" s="713"/>
      <c r="AY42" s="713"/>
      <c r="AZ42" s="713"/>
      <c r="BA42" s="713"/>
      <c r="BB42" s="713"/>
      <c r="BC42" s="713"/>
      <c r="BD42" s="713"/>
      <c r="BE42" s="713"/>
      <c r="BF42" s="713"/>
      <c r="BG42" s="713"/>
      <c r="BH42" s="713"/>
      <c r="BI42" s="713"/>
      <c r="BJ42" s="713"/>
      <c r="BK42" s="713"/>
      <c r="BL42" s="713"/>
      <c r="BM42" s="713"/>
      <c r="BN42" s="714"/>
    </row>
    <row r="43" spans="2:192" x14ac:dyDescent="0.25">
      <c r="B43" s="167">
        <v>1982</v>
      </c>
      <c r="C43">
        <v>518.6</v>
      </c>
      <c r="D43">
        <v>55816</v>
      </c>
      <c r="E43">
        <f t="shared" si="0"/>
        <v>55.816000000000003</v>
      </c>
      <c r="F43">
        <f t="shared" si="1"/>
        <v>462.78399999999999</v>
      </c>
      <c r="AN43" s="254">
        <v>1980</v>
      </c>
      <c r="AO43" s="255">
        <v>1276</v>
      </c>
      <c r="AP43" s="255">
        <v>1365</v>
      </c>
      <c r="AQ43" s="255">
        <v>2641</v>
      </c>
      <c r="AT43" s="2"/>
      <c r="AU43" s="641" t="s">
        <v>404</v>
      </c>
      <c r="AV43" s="641"/>
      <c r="AW43" s="641"/>
      <c r="AX43" t="s">
        <v>1105</v>
      </c>
      <c r="AY43" s="641" t="s">
        <v>803</v>
      </c>
      <c r="AZ43" s="641"/>
      <c r="BA43" s="641"/>
      <c r="BB43" s="224" t="s">
        <v>10</v>
      </c>
      <c r="BC43" s="224" t="s">
        <v>1127</v>
      </c>
      <c r="BD43" s="484" t="s">
        <v>1128</v>
      </c>
      <c r="BE43" s="641" t="s">
        <v>432</v>
      </c>
      <c r="BF43" s="641"/>
      <c r="BG43" s="641"/>
      <c r="BI43" s="641" t="s">
        <v>1142</v>
      </c>
      <c r="BJ43" s="641"/>
      <c r="BL43" s="641" t="s">
        <v>1144</v>
      </c>
      <c r="BM43" s="641"/>
      <c r="BN43" t="s">
        <v>1146</v>
      </c>
      <c r="BO43" s="224"/>
      <c r="EM43" s="384" t="s">
        <v>707</v>
      </c>
      <c r="EN43" s="705" t="s">
        <v>712</v>
      </c>
      <c r="EO43" s="706"/>
      <c r="EP43" s="706"/>
      <c r="EQ43" s="706"/>
      <c r="ER43" s="706"/>
      <c r="ES43" s="707"/>
      <c r="ET43" s="706" t="s">
        <v>713</v>
      </c>
      <c r="EU43" s="706"/>
      <c r="EV43" s="706"/>
      <c r="EW43" s="706"/>
      <c r="EX43" s="706"/>
      <c r="EY43" s="707"/>
      <c r="EZ43" s="705" t="s">
        <v>714</v>
      </c>
      <c r="FA43" s="706"/>
      <c r="FB43" s="706"/>
      <c r="FC43" s="706"/>
      <c r="FD43" s="706"/>
      <c r="FE43" s="707"/>
      <c r="FF43" s="385"/>
      <c r="FG43" s="385"/>
      <c r="FH43" s="715" t="s">
        <v>701</v>
      </c>
      <c r="FI43" s="715"/>
      <c r="FJ43" s="47">
        <f>AVERAGE(FJ32:FJ41)</f>
        <v>3369.7</v>
      </c>
      <c r="FK43" s="47"/>
      <c r="FL43" s="47"/>
      <c r="FM43" s="47"/>
      <c r="FN43" s="47">
        <f t="shared" ref="FN43" si="63">AVERAGE(FN32:FN41)</f>
        <v>89319.7</v>
      </c>
      <c r="FP43" s="47">
        <f>AVERAGE(FP32:FP41)</f>
        <v>40.9</v>
      </c>
      <c r="FQ43" s="47"/>
      <c r="FR43" s="47"/>
      <c r="FS43" s="47"/>
      <c r="FT43" s="47">
        <f>AVERAGE(FT32:FT41)</f>
        <v>3316.4</v>
      </c>
      <c r="FV43" s="47">
        <f>AVERAGE(FV32:FV41)</f>
        <v>476274.8</v>
      </c>
      <c r="FW43" s="47">
        <f>AVERAGE(FW32:FW41)</f>
        <v>38466.400000000001</v>
      </c>
      <c r="FX43" s="47"/>
      <c r="FZ43" s="242">
        <f>AVERAGE(FZ32:FZ41)</f>
        <v>7.0551221612177653E-3</v>
      </c>
      <c r="GA43" s="242"/>
      <c r="GB43" s="242"/>
      <c r="GC43" s="242">
        <f>AVERAGE(GC32:GC41)</f>
        <v>0.18690720822046988</v>
      </c>
      <c r="GD43" s="242">
        <f t="shared" ref="GD43" si="64">AVERAGE(GD32:GD41)</f>
        <v>0.17985208605925213</v>
      </c>
      <c r="GF43" s="242">
        <f>AVERAGE(GF32:GF41)</f>
        <v>1.1057431957964263E-3</v>
      </c>
      <c r="GG43" s="242"/>
      <c r="GH43" s="242"/>
      <c r="GI43" s="242"/>
      <c r="GJ43" s="242">
        <f t="shared" ref="GJ43" si="65">AVERAGE(GJ32:GJ41)</f>
        <v>8.5384863035382758E-2</v>
      </c>
    </row>
    <row r="44" spans="2:192" ht="15.75" thickBot="1" x14ac:dyDescent="0.3">
      <c r="B44" s="167">
        <v>1983</v>
      </c>
      <c r="C44">
        <v>143.4</v>
      </c>
      <c r="D44">
        <v>8401</v>
      </c>
      <c r="E44">
        <f t="shared" si="0"/>
        <v>8.4009999999999998</v>
      </c>
      <c r="F44">
        <f t="shared" si="1"/>
        <v>134.999</v>
      </c>
      <c r="AN44" s="257">
        <v>1981</v>
      </c>
      <c r="AO44" s="250">
        <v>1032</v>
      </c>
      <c r="AP44" s="250">
        <v>2417</v>
      </c>
      <c r="AQ44" s="250">
        <v>3449</v>
      </c>
      <c r="AT44" s="408" t="s">
        <v>387</v>
      </c>
      <c r="AU44" s="337" t="s">
        <v>1120</v>
      </c>
      <c r="AV44" s="337" t="s">
        <v>1123</v>
      </c>
      <c r="AW44" s="337" t="s">
        <v>44</v>
      </c>
      <c r="AX44" s="337" t="s">
        <v>1124</v>
      </c>
      <c r="AY44" s="337" t="s">
        <v>1122</v>
      </c>
      <c r="AZ44" s="337" t="s">
        <v>1121</v>
      </c>
      <c r="BA44" s="337" t="s">
        <v>10</v>
      </c>
      <c r="BB44" s="337" t="s">
        <v>353</v>
      </c>
      <c r="BC44" s="337" t="s">
        <v>475</v>
      </c>
      <c r="BD44" s="337" t="s">
        <v>42</v>
      </c>
      <c r="BE44" s="406" t="s">
        <v>353</v>
      </c>
      <c r="BF44" s="406" t="s">
        <v>475</v>
      </c>
      <c r="BG44" s="406" t="s">
        <v>1129</v>
      </c>
      <c r="BH44" s="25"/>
      <c r="BI44" s="337" t="s">
        <v>353</v>
      </c>
      <c r="BJ44" s="337" t="s">
        <v>475</v>
      </c>
      <c r="BK44" s="25"/>
      <c r="BL44" s="337" t="s">
        <v>353</v>
      </c>
      <c r="BM44" s="337" t="s">
        <v>475</v>
      </c>
      <c r="BN44" s="337" t="s">
        <v>1147</v>
      </c>
      <c r="BO44" s="224"/>
      <c r="EM44" s="386" t="s">
        <v>387</v>
      </c>
      <c r="EN44" s="382" t="s">
        <v>679</v>
      </c>
      <c r="EO44" s="387" t="s">
        <v>680</v>
      </c>
      <c r="EP44" s="387" t="s">
        <v>681</v>
      </c>
      <c r="EQ44" s="387" t="s">
        <v>710</v>
      </c>
      <c r="ER44" s="387" t="s">
        <v>711</v>
      </c>
      <c r="ES44" s="383" t="s">
        <v>10</v>
      </c>
      <c r="ET44" s="387" t="s">
        <v>679</v>
      </c>
      <c r="EU44" s="387" t="s">
        <v>680</v>
      </c>
      <c r="EV44" s="387" t="s">
        <v>681</v>
      </c>
      <c r="EW44" s="387" t="s">
        <v>710</v>
      </c>
      <c r="EX44" s="387" t="s">
        <v>711</v>
      </c>
      <c r="EY44" s="383" t="s">
        <v>10</v>
      </c>
      <c r="EZ44" s="382" t="s">
        <v>679</v>
      </c>
      <c r="FA44" s="387" t="s">
        <v>680</v>
      </c>
      <c r="FB44" s="387" t="s">
        <v>681</v>
      </c>
      <c r="FC44" s="387" t="s">
        <v>710</v>
      </c>
      <c r="FD44" s="387" t="s">
        <v>711</v>
      </c>
      <c r="FE44" s="383" t="s">
        <v>10</v>
      </c>
      <c r="FF44" s="381" t="s">
        <v>715</v>
      </c>
      <c r="FG44" s="381" t="s">
        <v>716</v>
      </c>
      <c r="FH44" s="381"/>
      <c r="FV44" s="224"/>
      <c r="FW44" s="224"/>
    </row>
    <row r="45" spans="2:192" x14ac:dyDescent="0.25">
      <c r="B45" s="167">
        <v>1984</v>
      </c>
      <c r="C45">
        <v>446.9</v>
      </c>
      <c r="D45">
        <v>16694</v>
      </c>
      <c r="E45">
        <f t="shared" si="0"/>
        <v>16.693999999999999</v>
      </c>
      <c r="F45">
        <f t="shared" si="1"/>
        <v>430.20599999999996</v>
      </c>
      <c r="AN45" s="249">
        <v>1982</v>
      </c>
      <c r="AO45" s="252">
        <v>1702</v>
      </c>
      <c r="AP45" s="252">
        <v>3517</v>
      </c>
      <c r="AQ45" s="252">
        <v>5219</v>
      </c>
      <c r="AT45" s="2">
        <v>2008</v>
      </c>
      <c r="AU45" s="47">
        <f>CR8+CS8</f>
        <v>135532</v>
      </c>
      <c r="AV45" s="47">
        <f>AX45+AZ45</f>
        <v>24382</v>
      </c>
      <c r="AW45" s="47">
        <f>AU45-AV45</f>
        <v>111150</v>
      </c>
      <c r="AX45" s="47">
        <f t="shared" ref="AX45:AX54" si="66">EK8</f>
        <v>21625</v>
      </c>
      <c r="AY45" s="47">
        <f>BC84</f>
        <v>3516.1128633968347</v>
      </c>
      <c r="AZ45" s="47">
        <f t="shared" ref="AZ45:AZ54" si="67">DO8+EC8</f>
        <v>2757</v>
      </c>
      <c r="BA45" s="47">
        <f>AZ45+AY45</f>
        <v>6273.1128633968347</v>
      </c>
      <c r="BB45" s="47">
        <f>BA45+AX45</f>
        <v>27898.112863396833</v>
      </c>
      <c r="BC45" s="242">
        <f>BB45/BD45</f>
        <v>0.20063640051558559</v>
      </c>
      <c r="BD45" s="47">
        <f t="shared" ref="BD45:BD54" si="68">BB45+AW45</f>
        <v>139048.11286339682</v>
      </c>
      <c r="BE45" s="47">
        <f>BH84</f>
        <v>11838.019149995911</v>
      </c>
      <c r="BF45" s="242">
        <f>BE45/BG45</f>
        <v>7.84566413893171E-2</v>
      </c>
      <c r="BG45" s="47">
        <f>BE45+BD45</f>
        <v>150886.13201339272</v>
      </c>
      <c r="BI45" s="130">
        <f>BP84</f>
        <v>729.96515477236028</v>
      </c>
      <c r="BJ45" s="370">
        <f>BI45/BG45</f>
        <v>4.8378545134125928E-3</v>
      </c>
      <c r="BL45" s="130">
        <f t="shared" ref="BL45:BL54" si="69">BT84</f>
        <v>11108.05399522355</v>
      </c>
      <c r="BM45" s="370">
        <f>BL45/BG45</f>
        <v>7.3618786875904507E-2</v>
      </c>
      <c r="BN45" s="242">
        <f>BB45/BG45</f>
        <v>0.18489514239069091</v>
      </c>
      <c r="EM45">
        <v>1986</v>
      </c>
      <c r="EN45">
        <v>421</v>
      </c>
      <c r="EO45">
        <v>910</v>
      </c>
      <c r="EP45">
        <v>5417</v>
      </c>
      <c r="EQ45">
        <v>11538</v>
      </c>
      <c r="ER45">
        <v>10123</v>
      </c>
      <c r="ES45">
        <v>28409</v>
      </c>
      <c r="ET45">
        <v>5803</v>
      </c>
      <c r="EU45">
        <v>24728</v>
      </c>
      <c r="EV45">
        <v>16900</v>
      </c>
      <c r="EW45">
        <v>76820</v>
      </c>
      <c r="EX45">
        <v>18800</v>
      </c>
      <c r="EY45">
        <v>143051</v>
      </c>
      <c r="EZ45">
        <v>247</v>
      </c>
      <c r="FA45">
        <v>530</v>
      </c>
      <c r="FB45">
        <v>3158</v>
      </c>
      <c r="FC45">
        <v>6701</v>
      </c>
      <c r="FD45">
        <v>5919</v>
      </c>
      <c r="FE45">
        <v>16555</v>
      </c>
      <c r="FF45">
        <v>0.53266238862471726</v>
      </c>
      <c r="FG45">
        <v>0.53098256735340732</v>
      </c>
      <c r="FJ45">
        <f t="shared" ref="FJ45:FJ75" si="70">FD45+FC45+EX45+EW45++ER45+EQ45</f>
        <v>129901</v>
      </c>
      <c r="FV45" s="224"/>
      <c r="FW45" s="224"/>
    </row>
    <row r="46" spans="2:192" x14ac:dyDescent="0.25">
      <c r="B46" s="167">
        <v>1985</v>
      </c>
      <c r="C46">
        <v>435.3</v>
      </c>
      <c r="D46">
        <v>38550</v>
      </c>
      <c r="E46">
        <f t="shared" si="0"/>
        <v>38.549999999999997</v>
      </c>
      <c r="F46">
        <f t="shared" si="1"/>
        <v>396.75</v>
      </c>
      <c r="AN46" s="249">
        <v>1983</v>
      </c>
      <c r="AO46" s="253">
        <v>949</v>
      </c>
      <c r="AP46" s="252">
        <v>2840</v>
      </c>
      <c r="AQ46" s="252">
        <v>3689</v>
      </c>
      <c r="AT46" s="2">
        <v>2009</v>
      </c>
      <c r="AU46" s="47">
        <f t="shared" ref="AU46:AU54" si="71">CS9+CT9</f>
        <v>224871</v>
      </c>
      <c r="AV46" s="47">
        <f t="shared" ref="AV46:AV54" si="72">AX46+AZ46</f>
        <v>14132</v>
      </c>
      <c r="AW46" s="47">
        <f t="shared" ref="AW46:AW54" si="73">AU46-AV46</f>
        <v>210739</v>
      </c>
      <c r="AX46" s="47">
        <f t="shared" si="66"/>
        <v>8901</v>
      </c>
      <c r="AY46" s="47">
        <f t="shared" ref="AY46:AY54" si="74">BC85</f>
        <v>22525.741490727643</v>
      </c>
      <c r="AZ46" s="47">
        <f t="shared" si="67"/>
        <v>5231</v>
      </c>
      <c r="BA46" s="47">
        <f t="shared" ref="BA46:BA54" si="75">AZ46+AY46</f>
        <v>27756.741490727643</v>
      </c>
      <c r="BB46" s="47">
        <f t="shared" ref="BB46:BB54" si="76">BA46+AX46</f>
        <v>36657.74149072764</v>
      </c>
      <c r="BC46" s="242">
        <f t="shared" ref="BC46:BC54" si="77">BB46/BD46</f>
        <v>0.14817390588833426</v>
      </c>
      <c r="BD46" s="47">
        <f t="shared" si="68"/>
        <v>247396.74149072764</v>
      </c>
      <c r="BE46" s="47">
        <f t="shared" ref="BE46:BE54" si="78">BH85</f>
        <v>95878.917966616616</v>
      </c>
      <c r="BF46" s="242">
        <f t="shared" ref="BF46:BF54" si="79">BE46/BG46</f>
        <v>0.2793059027784946</v>
      </c>
      <c r="BG46" s="47">
        <f t="shared" ref="BG46:BG54" si="80">BE46+BD46</f>
        <v>343275.65945734427</v>
      </c>
      <c r="BI46" s="130">
        <f t="shared" ref="BI46:BI54" si="81">BP85</f>
        <v>2237.9578251942989</v>
      </c>
      <c r="BJ46" s="370">
        <f t="shared" ref="BJ46:BJ54" si="82">BI46/BG46</f>
        <v>6.5194189087921317E-3</v>
      </c>
      <c r="BL46" s="130">
        <f t="shared" si="69"/>
        <v>93640.960141422314</v>
      </c>
      <c r="BM46" s="370">
        <f t="shared" ref="BM46:BM54" si="83">BL46/BG46</f>
        <v>0.27278648386970245</v>
      </c>
      <c r="BN46" s="242">
        <f t="shared" ref="BN46:BN54" si="84">BB46/BG46</f>
        <v>0.10678805933597736</v>
      </c>
      <c r="EM46">
        <v>1987</v>
      </c>
      <c r="EN46">
        <v>477</v>
      </c>
      <c r="EO46">
        <v>1099</v>
      </c>
      <c r="EP46">
        <v>6566</v>
      </c>
      <c r="EQ46">
        <v>3968</v>
      </c>
      <c r="ER46">
        <v>2696</v>
      </c>
      <c r="ES46">
        <v>14806</v>
      </c>
      <c r="ET46">
        <v>1251</v>
      </c>
      <c r="EU46">
        <v>7983</v>
      </c>
      <c r="EV46">
        <v>4433</v>
      </c>
      <c r="EW46">
        <v>10275</v>
      </c>
      <c r="EX46">
        <v>5007</v>
      </c>
      <c r="EY46">
        <v>28949</v>
      </c>
      <c r="EZ46">
        <v>468</v>
      </c>
      <c r="FA46">
        <v>1074</v>
      </c>
      <c r="FB46">
        <v>6417</v>
      </c>
      <c r="FC46">
        <v>3910</v>
      </c>
      <c r="FD46">
        <v>2607</v>
      </c>
      <c r="FE46">
        <v>14476</v>
      </c>
      <c r="FF46">
        <v>0.59543817527010801</v>
      </c>
      <c r="FG46">
        <v>0.59996931103268381</v>
      </c>
      <c r="FJ46">
        <f t="shared" si="70"/>
        <v>28463</v>
      </c>
      <c r="FV46" s="224"/>
      <c r="FW46" s="224"/>
      <c r="FX46" s="224"/>
    </row>
    <row r="47" spans="2:192" x14ac:dyDescent="0.25">
      <c r="B47" s="167">
        <v>1986</v>
      </c>
      <c r="C47">
        <v>1574.1</v>
      </c>
      <c r="D47">
        <v>108649</v>
      </c>
      <c r="E47">
        <f t="shared" si="0"/>
        <v>108.649</v>
      </c>
      <c r="F47">
        <f t="shared" si="1"/>
        <v>1465.451</v>
      </c>
      <c r="AN47" s="249">
        <v>1984</v>
      </c>
      <c r="AO47" s="252">
        <v>2735</v>
      </c>
      <c r="AP47" s="252">
        <v>2560</v>
      </c>
      <c r="AQ47" s="252">
        <v>5295</v>
      </c>
      <c r="AT47" s="2">
        <v>2010</v>
      </c>
      <c r="AU47" s="47">
        <f t="shared" si="71"/>
        <v>120673</v>
      </c>
      <c r="AV47" s="47">
        <f t="shared" si="72"/>
        <v>9956</v>
      </c>
      <c r="AW47" s="47">
        <f t="shared" si="73"/>
        <v>110717</v>
      </c>
      <c r="AX47" s="47">
        <f t="shared" si="66"/>
        <v>7103</v>
      </c>
      <c r="AY47" s="47">
        <f t="shared" si="74"/>
        <v>3486.3146428549853</v>
      </c>
      <c r="AZ47" s="47">
        <f t="shared" si="67"/>
        <v>2853</v>
      </c>
      <c r="BA47" s="47">
        <f t="shared" si="75"/>
        <v>6339.3146428549853</v>
      </c>
      <c r="BB47" s="47">
        <f t="shared" si="76"/>
        <v>13442.314642854984</v>
      </c>
      <c r="BC47" s="242">
        <f t="shared" si="77"/>
        <v>0.10826666272701234</v>
      </c>
      <c r="BD47" s="47">
        <f t="shared" si="68"/>
        <v>124159.31464285498</v>
      </c>
      <c r="BE47" s="47">
        <f t="shared" si="78"/>
        <v>17696.413459115291</v>
      </c>
      <c r="BF47" s="242">
        <f t="shared" si="79"/>
        <v>0.12474937526946082</v>
      </c>
      <c r="BG47" s="47">
        <f t="shared" si="80"/>
        <v>141855.72810197028</v>
      </c>
      <c r="BI47" s="130">
        <f t="shared" si="81"/>
        <v>457.50718284227531</v>
      </c>
      <c r="BJ47" s="370">
        <f t="shared" si="82"/>
        <v>3.2251583278569127E-3</v>
      </c>
      <c r="BL47" s="130">
        <f t="shared" si="69"/>
        <v>17238.906276273014</v>
      </c>
      <c r="BM47" s="370">
        <f t="shared" si="83"/>
        <v>0.12152421694160391</v>
      </c>
      <c r="BN47" s="242">
        <f t="shared" si="84"/>
        <v>9.4760464189308127E-2</v>
      </c>
      <c r="EM47">
        <v>1988</v>
      </c>
      <c r="EN47">
        <v>585</v>
      </c>
      <c r="EO47">
        <v>589</v>
      </c>
      <c r="EP47">
        <v>13506</v>
      </c>
      <c r="EQ47">
        <v>5478</v>
      </c>
      <c r="ER47">
        <v>5349</v>
      </c>
      <c r="ES47">
        <v>25507</v>
      </c>
      <c r="ET47">
        <v>2361</v>
      </c>
      <c r="EU47">
        <v>5186</v>
      </c>
      <c r="EV47">
        <v>25081</v>
      </c>
      <c r="EW47">
        <v>34486</v>
      </c>
      <c r="EX47">
        <v>9934</v>
      </c>
      <c r="EY47">
        <v>77048</v>
      </c>
      <c r="EZ47">
        <v>361</v>
      </c>
      <c r="FA47">
        <v>364</v>
      </c>
      <c r="FB47">
        <v>8349</v>
      </c>
      <c r="FC47">
        <v>3475</v>
      </c>
      <c r="FD47">
        <v>3220</v>
      </c>
      <c r="FE47">
        <v>15769</v>
      </c>
      <c r="FF47">
        <v>0.50595732889997225</v>
      </c>
      <c r="FG47">
        <v>0.5190440627333831</v>
      </c>
      <c r="FJ47">
        <f t="shared" si="70"/>
        <v>61942</v>
      </c>
      <c r="FV47" s="47"/>
      <c r="FW47" s="47"/>
      <c r="FZ47" s="715"/>
      <c r="GA47" s="716"/>
      <c r="GB47" s="716"/>
      <c r="GC47" s="716"/>
      <c r="GD47" s="364"/>
      <c r="GE47" s="2"/>
      <c r="GF47" s="715"/>
      <c r="GG47" s="716"/>
      <c r="GH47" s="716"/>
      <c r="GI47" s="716"/>
      <c r="GJ47" s="364"/>
    </row>
    <row r="48" spans="2:192" x14ac:dyDescent="0.25">
      <c r="B48" s="167">
        <v>1987</v>
      </c>
      <c r="C48">
        <v>388.7</v>
      </c>
      <c r="D48">
        <v>17922</v>
      </c>
      <c r="E48">
        <f t="shared" si="0"/>
        <v>17.922000000000001</v>
      </c>
      <c r="F48">
        <f t="shared" si="1"/>
        <v>370.77799999999996</v>
      </c>
      <c r="AN48" s="249">
        <v>1985</v>
      </c>
      <c r="AO48" s="252">
        <v>2788</v>
      </c>
      <c r="AP48" s="252">
        <v>2278</v>
      </c>
      <c r="AQ48" s="252">
        <v>5066</v>
      </c>
      <c r="AT48" s="2">
        <v>2011</v>
      </c>
      <c r="AU48" s="47">
        <f t="shared" si="71"/>
        <v>146494</v>
      </c>
      <c r="AV48" s="47">
        <f t="shared" si="72"/>
        <v>36315</v>
      </c>
      <c r="AW48" s="47">
        <f t="shared" si="73"/>
        <v>110179</v>
      </c>
      <c r="AX48" s="47">
        <f t="shared" si="66"/>
        <v>33259</v>
      </c>
      <c r="AY48" s="47">
        <f t="shared" si="74"/>
        <v>5067.2754628939447</v>
      </c>
      <c r="AZ48" s="47">
        <f t="shared" si="67"/>
        <v>3056</v>
      </c>
      <c r="BA48" s="47">
        <f t="shared" si="75"/>
        <v>8123.2754628939447</v>
      </c>
      <c r="BB48" s="47">
        <f t="shared" si="76"/>
        <v>41382.275462893944</v>
      </c>
      <c r="BC48" s="242">
        <f t="shared" si="77"/>
        <v>0.27303989977984433</v>
      </c>
      <c r="BD48" s="47">
        <f t="shared" si="68"/>
        <v>151561.27546289394</v>
      </c>
      <c r="BE48" s="47">
        <f t="shared" si="78"/>
        <v>26669.35666719656</v>
      </c>
      <c r="BF48" s="242">
        <f t="shared" si="79"/>
        <v>0.14963396778916546</v>
      </c>
      <c r="BG48" s="47">
        <f t="shared" si="80"/>
        <v>178230.6321300905</v>
      </c>
      <c r="BI48" s="130">
        <f t="shared" si="81"/>
        <v>2119.4659383264107</v>
      </c>
      <c r="BJ48" s="370">
        <f t="shared" si="82"/>
        <v>1.1891704097079188E-2</v>
      </c>
      <c r="BL48" s="130">
        <f t="shared" si="69"/>
        <v>24549.890728870148</v>
      </c>
      <c r="BM48" s="370">
        <f t="shared" si="83"/>
        <v>0.13774226369208628</v>
      </c>
      <c r="BN48" s="242">
        <f t="shared" si="84"/>
        <v>0.23218385621103016</v>
      </c>
      <c r="EM48">
        <v>1989</v>
      </c>
      <c r="EN48">
        <v>1688</v>
      </c>
      <c r="EO48">
        <v>4462</v>
      </c>
      <c r="EP48">
        <v>15363</v>
      </c>
      <c r="EQ48">
        <v>6995</v>
      </c>
      <c r="ER48">
        <v>6874</v>
      </c>
      <c r="ES48">
        <v>35382</v>
      </c>
      <c r="ET48">
        <v>7349</v>
      </c>
      <c r="EU48">
        <v>21199</v>
      </c>
      <c r="EV48">
        <v>24522</v>
      </c>
      <c r="EW48">
        <v>30510</v>
      </c>
      <c r="EX48">
        <v>12767</v>
      </c>
      <c r="EY48">
        <v>96347</v>
      </c>
      <c r="EZ48">
        <v>1147</v>
      </c>
      <c r="FA48">
        <v>3037</v>
      </c>
      <c r="FB48">
        <v>10447</v>
      </c>
      <c r="FC48">
        <v>4840</v>
      </c>
      <c r="FD48">
        <v>4595</v>
      </c>
      <c r="FE48">
        <v>24066</v>
      </c>
      <c r="FF48">
        <v>0.50436224673732788</v>
      </c>
      <c r="FG48">
        <v>0.51298357180710119</v>
      </c>
      <c r="FJ48">
        <f t="shared" si="70"/>
        <v>66581</v>
      </c>
      <c r="FV48" s="47"/>
      <c r="FW48" s="47"/>
      <c r="FZ48" s="364"/>
      <c r="GA48" s="364"/>
      <c r="GB48" s="364"/>
      <c r="GC48" s="364"/>
      <c r="GD48" s="364"/>
      <c r="GE48" s="224"/>
      <c r="GF48" s="364"/>
      <c r="GG48" s="364"/>
      <c r="GH48" s="364"/>
      <c r="GI48" s="364"/>
      <c r="GJ48" s="364"/>
    </row>
    <row r="49" spans="2:192" x14ac:dyDescent="0.25">
      <c r="B49" s="167">
        <v>1988</v>
      </c>
      <c r="C49">
        <v>726.6</v>
      </c>
      <c r="D49">
        <v>27054</v>
      </c>
      <c r="E49">
        <f t="shared" si="0"/>
        <v>27.053999999999998</v>
      </c>
      <c r="F49">
        <f t="shared" si="1"/>
        <v>699.54600000000005</v>
      </c>
      <c r="AN49" s="249">
        <v>1986</v>
      </c>
      <c r="AO49" s="252">
        <v>2930</v>
      </c>
      <c r="AP49" s="252">
        <v>2240</v>
      </c>
      <c r="AQ49" s="252">
        <v>5170</v>
      </c>
      <c r="AT49" s="2">
        <v>2012</v>
      </c>
      <c r="AU49" s="47">
        <f t="shared" si="71"/>
        <v>54963</v>
      </c>
      <c r="AV49" s="47">
        <f t="shared" si="72"/>
        <v>8343</v>
      </c>
      <c r="AW49" s="47">
        <f t="shared" si="73"/>
        <v>46620</v>
      </c>
      <c r="AX49" s="47">
        <f t="shared" si="66"/>
        <v>6372</v>
      </c>
      <c r="AY49" s="47">
        <f t="shared" si="74"/>
        <v>4562.3185267722702</v>
      </c>
      <c r="AZ49" s="47">
        <f t="shared" si="67"/>
        <v>1971</v>
      </c>
      <c r="BA49" s="47">
        <f t="shared" si="75"/>
        <v>6533.3185267722702</v>
      </c>
      <c r="BB49" s="47">
        <f t="shared" si="76"/>
        <v>12905.318526772269</v>
      </c>
      <c r="BC49" s="242">
        <f t="shared" si="77"/>
        <v>0.21680385500109398</v>
      </c>
      <c r="BD49" s="47">
        <f t="shared" si="68"/>
        <v>59525.318526772273</v>
      </c>
      <c r="BE49" s="47">
        <f t="shared" si="78"/>
        <v>11948.033751252728</v>
      </c>
      <c r="BF49" s="242">
        <f t="shared" si="79"/>
        <v>0.16716766977398703</v>
      </c>
      <c r="BG49" s="47">
        <f t="shared" si="80"/>
        <v>71473.352278025006</v>
      </c>
      <c r="BI49" s="130">
        <f t="shared" si="81"/>
        <v>169.04699375364487</v>
      </c>
      <c r="BJ49" s="370">
        <f t="shared" si="82"/>
        <v>2.3651751088443009E-3</v>
      </c>
      <c r="BL49" s="130">
        <f t="shared" si="69"/>
        <v>11778.986757499082</v>
      </c>
      <c r="BM49" s="370">
        <f t="shared" si="83"/>
        <v>0.16480249466514271</v>
      </c>
      <c r="BN49" s="242">
        <f t="shared" si="84"/>
        <v>0.18056125976254372</v>
      </c>
      <c r="EM49">
        <v>1990</v>
      </c>
      <c r="EN49">
        <v>783</v>
      </c>
      <c r="EO49">
        <v>5823</v>
      </c>
      <c r="EP49">
        <v>6705</v>
      </c>
      <c r="EQ49">
        <v>1350</v>
      </c>
      <c r="ER49">
        <v>3784</v>
      </c>
      <c r="ES49">
        <v>18445</v>
      </c>
      <c r="ET49">
        <v>1439</v>
      </c>
      <c r="EU49">
        <v>8282</v>
      </c>
      <c r="EV49">
        <v>2783</v>
      </c>
      <c r="EW49">
        <v>4478</v>
      </c>
      <c r="EX49">
        <v>7028</v>
      </c>
      <c r="EY49">
        <v>24010</v>
      </c>
      <c r="EZ49">
        <v>234</v>
      </c>
      <c r="FA49">
        <v>1736</v>
      </c>
      <c r="FB49">
        <v>1996</v>
      </c>
      <c r="FC49">
        <v>446</v>
      </c>
      <c r="FD49">
        <v>1085</v>
      </c>
      <c r="FE49">
        <v>5497</v>
      </c>
      <c r="FF49">
        <v>0.26295286326451112</v>
      </c>
      <c r="FG49">
        <v>0.29131286740692358</v>
      </c>
      <c r="FJ49">
        <f t="shared" si="70"/>
        <v>18171</v>
      </c>
      <c r="FV49" s="47"/>
      <c r="FW49" s="47"/>
      <c r="FZ49" s="242"/>
      <c r="GA49" s="242"/>
      <c r="GB49" s="242"/>
      <c r="GC49" s="242"/>
      <c r="GD49" s="242"/>
      <c r="GE49" s="242"/>
      <c r="GF49" s="242"/>
      <c r="GG49" s="242"/>
      <c r="GH49" s="242"/>
      <c r="GI49" s="242"/>
      <c r="GJ49" s="242"/>
    </row>
    <row r="50" spans="2:192" x14ac:dyDescent="0.25">
      <c r="B50" s="167">
        <v>1989</v>
      </c>
      <c r="C50">
        <v>752.4</v>
      </c>
      <c r="D50">
        <v>27402</v>
      </c>
      <c r="E50">
        <f t="shared" si="0"/>
        <v>27.402000000000001</v>
      </c>
      <c r="F50">
        <f t="shared" si="1"/>
        <v>724.99799999999993</v>
      </c>
      <c r="AN50" s="249">
        <v>1987</v>
      </c>
      <c r="AO50" s="252">
        <v>1589</v>
      </c>
      <c r="AP50" s="252">
        <v>3224</v>
      </c>
      <c r="AQ50" s="252">
        <v>4813</v>
      </c>
      <c r="AT50" s="2">
        <v>2013</v>
      </c>
      <c r="AU50" s="47">
        <f t="shared" si="71"/>
        <v>59610</v>
      </c>
      <c r="AV50" s="47">
        <f t="shared" si="72"/>
        <v>11300</v>
      </c>
      <c r="AW50" s="47">
        <f t="shared" si="73"/>
        <v>48310</v>
      </c>
      <c r="AX50" s="47">
        <f t="shared" si="66"/>
        <v>8800</v>
      </c>
      <c r="AY50" s="47">
        <f t="shared" si="74"/>
        <v>3398.799845638192</v>
      </c>
      <c r="AZ50" s="47">
        <f t="shared" si="67"/>
        <v>2500</v>
      </c>
      <c r="BA50" s="47">
        <f t="shared" si="75"/>
        <v>5898.799845638192</v>
      </c>
      <c r="BB50" s="47">
        <f t="shared" si="76"/>
        <v>14698.799845638192</v>
      </c>
      <c r="BC50" s="242">
        <f t="shared" si="77"/>
        <v>0.23328169845558044</v>
      </c>
      <c r="BD50" s="47">
        <f t="shared" si="68"/>
        <v>63008.79984563819</v>
      </c>
      <c r="BE50" s="47">
        <f t="shared" si="78"/>
        <v>17524.249197300589</v>
      </c>
      <c r="BF50" s="242">
        <f t="shared" si="79"/>
        <v>0.21760320024586396</v>
      </c>
      <c r="BG50" s="47">
        <f t="shared" si="80"/>
        <v>80533.049042938772</v>
      </c>
      <c r="BI50" s="130">
        <f t="shared" si="81"/>
        <v>845.38452783495768</v>
      </c>
      <c r="BJ50" s="370">
        <f t="shared" si="82"/>
        <v>1.0497361491730108E-2</v>
      </c>
      <c r="BL50" s="130">
        <f t="shared" si="69"/>
        <v>16678.864669465631</v>
      </c>
      <c r="BM50" s="370">
        <f t="shared" si="83"/>
        <v>0.20710583875413385</v>
      </c>
      <c r="BN50" s="242">
        <f t="shared" si="84"/>
        <v>0.18251885431285553</v>
      </c>
      <c r="EM50">
        <v>1991</v>
      </c>
      <c r="EN50">
        <v>320</v>
      </c>
      <c r="EO50">
        <v>1928</v>
      </c>
      <c r="EP50">
        <v>6799</v>
      </c>
      <c r="EQ50">
        <v>6849</v>
      </c>
      <c r="ER50">
        <v>9225</v>
      </c>
      <c r="ES50">
        <v>25121</v>
      </c>
      <c r="ET50">
        <v>3448</v>
      </c>
      <c r="EU50">
        <v>17922</v>
      </c>
      <c r="EV50">
        <v>21014</v>
      </c>
      <c r="EW50">
        <v>36129</v>
      </c>
      <c r="EX50">
        <v>17132</v>
      </c>
      <c r="EY50">
        <v>95645</v>
      </c>
      <c r="EZ50">
        <v>161</v>
      </c>
      <c r="FA50">
        <v>965</v>
      </c>
      <c r="FB50">
        <v>3399</v>
      </c>
      <c r="FC50">
        <v>3425</v>
      </c>
      <c r="FD50">
        <v>4614</v>
      </c>
      <c r="FE50">
        <v>12564</v>
      </c>
      <c r="FF50">
        <v>0.42609182530795076</v>
      </c>
      <c r="FG50">
        <v>0.4260480159223784</v>
      </c>
      <c r="FJ50">
        <f t="shared" si="70"/>
        <v>77374</v>
      </c>
      <c r="FV50" s="47"/>
      <c r="FW50" s="47"/>
      <c r="FZ50" s="242"/>
      <c r="GA50" s="242"/>
      <c r="GB50" s="242"/>
      <c r="GC50" s="242"/>
      <c r="GD50" s="242"/>
      <c r="GE50" s="242"/>
      <c r="GF50" s="242"/>
      <c r="GG50" s="242"/>
      <c r="GH50" s="242"/>
      <c r="GI50" s="242"/>
      <c r="GJ50" s="242"/>
    </row>
    <row r="51" spans="2:192" ht="15" customHeight="1" x14ac:dyDescent="0.25">
      <c r="B51" s="167">
        <v>1990</v>
      </c>
      <c r="C51">
        <v>262.10000000000002</v>
      </c>
      <c r="D51">
        <v>11627</v>
      </c>
      <c r="E51">
        <f t="shared" si="0"/>
        <v>11.627000000000001</v>
      </c>
      <c r="F51">
        <f t="shared" si="1"/>
        <v>250.47300000000001</v>
      </c>
      <c r="AN51" s="249">
        <v>1988</v>
      </c>
      <c r="AO51" s="252">
        <v>3707</v>
      </c>
      <c r="AP51" s="252">
        <v>4985</v>
      </c>
      <c r="AQ51" s="252">
        <v>8692</v>
      </c>
      <c r="AT51" s="2">
        <v>2014</v>
      </c>
      <c r="AU51" s="47">
        <f t="shared" si="71"/>
        <v>279733</v>
      </c>
      <c r="AV51" s="47">
        <f t="shared" si="72"/>
        <v>44470</v>
      </c>
      <c r="AW51" s="47">
        <f t="shared" si="73"/>
        <v>235263</v>
      </c>
      <c r="AX51" s="47">
        <f t="shared" si="66"/>
        <v>39239</v>
      </c>
      <c r="AY51" s="47">
        <f t="shared" si="74"/>
        <v>29008.810144338247</v>
      </c>
      <c r="AZ51" s="47">
        <f t="shared" si="67"/>
        <v>5231</v>
      </c>
      <c r="BA51" s="47">
        <f t="shared" si="75"/>
        <v>34239.810144338247</v>
      </c>
      <c r="BB51" s="47">
        <f t="shared" si="76"/>
        <v>73478.810144338247</v>
      </c>
      <c r="BC51" s="242">
        <f t="shared" si="77"/>
        <v>0.23799436205283167</v>
      </c>
      <c r="BD51" s="47">
        <f t="shared" si="68"/>
        <v>308741.81014433823</v>
      </c>
      <c r="BE51" s="47">
        <f t="shared" si="78"/>
        <v>84187.061545239558</v>
      </c>
      <c r="BF51" s="242">
        <f t="shared" si="79"/>
        <v>0.21425521922896298</v>
      </c>
      <c r="BG51" s="47">
        <f t="shared" si="80"/>
        <v>392928.87168957782</v>
      </c>
      <c r="BI51" s="130">
        <f t="shared" si="81"/>
        <v>3197.0449714639344</v>
      </c>
      <c r="BJ51" s="370">
        <f t="shared" si="82"/>
        <v>8.1364470819280197E-3</v>
      </c>
      <c r="BL51" s="130">
        <f t="shared" si="69"/>
        <v>80990.016573775618</v>
      </c>
      <c r="BM51" s="370">
        <f t="shared" si="83"/>
        <v>0.20611877214703495</v>
      </c>
      <c r="BN51" s="242">
        <f t="shared" si="84"/>
        <v>0.18700282783594502</v>
      </c>
      <c r="EM51">
        <v>1992</v>
      </c>
      <c r="EN51">
        <v>59</v>
      </c>
      <c r="EO51">
        <v>538</v>
      </c>
      <c r="EP51">
        <v>1902</v>
      </c>
      <c r="EQ51">
        <v>803</v>
      </c>
      <c r="ER51">
        <v>3279</v>
      </c>
      <c r="ES51">
        <v>6581</v>
      </c>
      <c r="ET51">
        <v>1269</v>
      </c>
      <c r="EU51">
        <v>6724</v>
      </c>
      <c r="EV51">
        <v>4455</v>
      </c>
      <c r="EW51">
        <v>5609</v>
      </c>
      <c r="EX51">
        <v>6089</v>
      </c>
      <c r="EY51">
        <v>24146</v>
      </c>
      <c r="EZ51">
        <v>77</v>
      </c>
      <c r="FA51">
        <v>697</v>
      </c>
      <c r="FB51">
        <v>2474</v>
      </c>
      <c r="FC51">
        <v>1045</v>
      </c>
      <c r="FD51">
        <v>4266</v>
      </c>
      <c r="FE51">
        <v>8559</v>
      </c>
      <c r="FF51">
        <v>0.1967172954434101</v>
      </c>
      <c r="FG51">
        <v>0.1967614385238185</v>
      </c>
      <c r="FJ51">
        <f t="shared" si="70"/>
        <v>21091</v>
      </c>
      <c r="FV51" s="47"/>
      <c r="FW51" s="47"/>
      <c r="FZ51" s="242"/>
      <c r="GA51" s="242"/>
      <c r="GB51" s="242"/>
      <c r="GC51" s="242"/>
      <c r="GD51" s="242"/>
      <c r="GE51" s="242"/>
      <c r="GF51" s="242"/>
      <c r="GG51" s="242"/>
      <c r="GH51" s="242"/>
      <c r="GI51" s="242"/>
      <c r="GJ51" s="242"/>
    </row>
    <row r="52" spans="2:192" ht="15" customHeight="1" x14ac:dyDescent="0.25">
      <c r="B52" s="167">
        <v>1991</v>
      </c>
      <c r="C52">
        <v>957.1</v>
      </c>
      <c r="D52">
        <v>58868</v>
      </c>
      <c r="E52">
        <f t="shared" si="0"/>
        <v>58.868000000000002</v>
      </c>
      <c r="F52">
        <f t="shared" si="1"/>
        <v>898.23199999999997</v>
      </c>
      <c r="AN52" s="249">
        <v>1989</v>
      </c>
      <c r="AO52" s="252">
        <v>1946</v>
      </c>
      <c r="AP52" s="252">
        <v>1741</v>
      </c>
      <c r="AQ52" s="252">
        <v>3687</v>
      </c>
      <c r="AT52" s="2">
        <v>2015</v>
      </c>
      <c r="AU52" s="47">
        <f t="shared" si="71"/>
        <v>37402</v>
      </c>
      <c r="AV52" s="47">
        <f t="shared" si="72"/>
        <v>2475</v>
      </c>
      <c r="AW52" s="47">
        <f t="shared" si="73"/>
        <v>34927</v>
      </c>
      <c r="AX52" s="47">
        <f t="shared" si="66"/>
        <v>2275</v>
      </c>
      <c r="AY52" s="47">
        <f t="shared" si="74"/>
        <v>16517.924218422406</v>
      </c>
      <c r="AZ52" s="47">
        <f t="shared" si="67"/>
        <v>200</v>
      </c>
      <c r="BA52" s="47">
        <f t="shared" si="75"/>
        <v>16717.924218422406</v>
      </c>
      <c r="BB52" s="47">
        <f t="shared" si="76"/>
        <v>18992.924218422406</v>
      </c>
      <c r="BC52" s="242">
        <f t="shared" si="77"/>
        <v>0.35224315489548186</v>
      </c>
      <c r="BD52" s="47">
        <f t="shared" si="68"/>
        <v>53919.924218422406</v>
      </c>
      <c r="BE52" s="47">
        <f t="shared" si="78"/>
        <v>28260.248642663857</v>
      </c>
      <c r="BF52" s="242">
        <f t="shared" si="79"/>
        <v>0.34388159161497184</v>
      </c>
      <c r="BG52" s="47">
        <f t="shared" si="80"/>
        <v>82180.172861086263</v>
      </c>
      <c r="BI52" s="130">
        <f t="shared" si="81"/>
        <v>753.68460179755721</v>
      </c>
      <c r="BJ52" s="370">
        <f t="shared" si="82"/>
        <v>9.1711245615356922E-3</v>
      </c>
      <c r="BL52" s="130">
        <f t="shared" si="69"/>
        <v>27506.564040866298</v>
      </c>
      <c r="BM52" s="370">
        <f t="shared" si="83"/>
        <v>0.3347104670534361</v>
      </c>
      <c r="BN52" s="242">
        <f t="shared" si="84"/>
        <v>0.2311132181545445</v>
      </c>
      <c r="EM52">
        <v>1993</v>
      </c>
      <c r="EN52">
        <v>40</v>
      </c>
      <c r="EO52">
        <v>448</v>
      </c>
      <c r="EP52">
        <v>262</v>
      </c>
      <c r="EQ52">
        <v>446</v>
      </c>
      <c r="ER52">
        <v>1301</v>
      </c>
      <c r="ES52">
        <v>2497</v>
      </c>
      <c r="ET52">
        <v>624</v>
      </c>
      <c r="EU52">
        <v>2296</v>
      </c>
      <c r="EV52">
        <v>674</v>
      </c>
      <c r="EW52">
        <v>1906</v>
      </c>
      <c r="EX52">
        <v>2418</v>
      </c>
      <c r="EY52">
        <v>7918</v>
      </c>
      <c r="EZ52">
        <v>10</v>
      </c>
      <c r="FA52">
        <v>120</v>
      </c>
      <c r="FB52">
        <v>70</v>
      </c>
      <c r="FC52">
        <v>122</v>
      </c>
      <c r="FD52">
        <v>360</v>
      </c>
      <c r="FE52">
        <v>682</v>
      </c>
      <c r="FF52">
        <v>0.25529479107040642</v>
      </c>
      <c r="FG52">
        <v>0.25311203319502074</v>
      </c>
      <c r="FJ52">
        <f t="shared" si="70"/>
        <v>6553</v>
      </c>
      <c r="FV52" s="47"/>
      <c r="FW52" s="47"/>
      <c r="FZ52" s="242"/>
      <c r="GA52" s="242"/>
      <c r="GB52" s="242"/>
      <c r="GC52" s="242"/>
      <c r="GD52" s="242"/>
      <c r="GE52" s="242"/>
      <c r="GF52" s="242"/>
      <c r="GG52" s="242"/>
      <c r="GH52" s="242"/>
      <c r="GI52" s="242"/>
      <c r="GJ52" s="242"/>
    </row>
    <row r="53" spans="2:192" x14ac:dyDescent="0.25">
      <c r="B53" s="167">
        <v>1992</v>
      </c>
      <c r="C53">
        <v>237</v>
      </c>
      <c r="D53">
        <v>14369</v>
      </c>
      <c r="E53">
        <f t="shared" si="0"/>
        <v>14.369</v>
      </c>
      <c r="F53">
        <f t="shared" si="1"/>
        <v>222.631</v>
      </c>
      <c r="AN53" s="254">
        <v>1990</v>
      </c>
      <c r="AO53" s="256">
        <v>901</v>
      </c>
      <c r="AP53" s="255">
        <v>1817</v>
      </c>
      <c r="AQ53" s="255">
        <v>2718</v>
      </c>
      <c r="AT53" s="2">
        <v>2016</v>
      </c>
      <c r="AU53" s="47">
        <f t="shared" si="71"/>
        <v>42020</v>
      </c>
      <c r="AV53" s="47">
        <f t="shared" si="72"/>
        <v>6317</v>
      </c>
      <c r="AW53" s="47">
        <f t="shared" si="73"/>
        <v>35703</v>
      </c>
      <c r="AX53" s="47">
        <f t="shared" si="66"/>
        <v>4992</v>
      </c>
      <c r="AY53" s="47">
        <f t="shared" si="74"/>
        <v>3277.240087094337</v>
      </c>
      <c r="AZ53" s="47">
        <f t="shared" si="67"/>
        <v>1325</v>
      </c>
      <c r="BA53" s="47">
        <f t="shared" si="75"/>
        <v>4602.2400870943366</v>
      </c>
      <c r="BB53" s="47">
        <f t="shared" si="76"/>
        <v>9594.2400870943366</v>
      </c>
      <c r="BC53" s="242">
        <f t="shared" si="77"/>
        <v>0.2118062837525467</v>
      </c>
      <c r="BD53" s="47">
        <f t="shared" si="68"/>
        <v>45297.240087094338</v>
      </c>
      <c r="BE53" s="47">
        <f t="shared" si="78"/>
        <v>7571.9256976371817</v>
      </c>
      <c r="BF53" s="242">
        <f t="shared" si="79"/>
        <v>0.14322007138277817</v>
      </c>
      <c r="BG53" s="47">
        <f t="shared" si="80"/>
        <v>52869.165784731522</v>
      </c>
      <c r="BI53" s="130">
        <f t="shared" si="81"/>
        <v>363.48278695522401</v>
      </c>
      <c r="BJ53" s="370">
        <f t="shared" si="82"/>
        <v>6.8751375505946965E-3</v>
      </c>
      <c r="BL53" s="130">
        <f t="shared" si="69"/>
        <v>7208.442910681958</v>
      </c>
      <c r="BM53" s="370">
        <f t="shared" si="83"/>
        <v>0.13634493383218349</v>
      </c>
      <c r="BN53" s="242">
        <f t="shared" si="84"/>
        <v>0.18147137267418598</v>
      </c>
      <c r="EM53">
        <v>1994</v>
      </c>
      <c r="EN53">
        <v>20</v>
      </c>
      <c r="EO53">
        <v>0</v>
      </c>
      <c r="EP53">
        <v>0</v>
      </c>
      <c r="EQ53">
        <v>82</v>
      </c>
      <c r="ER53">
        <v>1458</v>
      </c>
      <c r="ES53">
        <v>1560</v>
      </c>
      <c r="ET53">
        <v>534</v>
      </c>
      <c r="EU53">
        <v>16</v>
      </c>
      <c r="EV53">
        <v>0</v>
      </c>
      <c r="EW53">
        <v>286</v>
      </c>
      <c r="EX53">
        <v>2707</v>
      </c>
      <c r="EY53">
        <v>3543</v>
      </c>
      <c r="EZ53">
        <v>48</v>
      </c>
      <c r="FA53">
        <v>0</v>
      </c>
      <c r="FB53">
        <v>0</v>
      </c>
      <c r="FC53">
        <v>200</v>
      </c>
      <c r="FD53">
        <v>3473</v>
      </c>
      <c r="FE53">
        <v>3721</v>
      </c>
      <c r="FF53">
        <v>5.3246753246753244E-2</v>
      </c>
      <c r="FG53">
        <v>5.4451402123604685E-2</v>
      </c>
      <c r="FJ53">
        <f t="shared" si="70"/>
        <v>8206</v>
      </c>
      <c r="FV53" s="47"/>
      <c r="FW53" s="47"/>
      <c r="FZ53" s="242"/>
      <c r="GA53" s="242"/>
      <c r="GB53" s="242"/>
      <c r="GC53" s="242"/>
      <c r="GD53" s="242"/>
      <c r="GE53" s="242"/>
      <c r="GF53" s="242"/>
      <c r="GG53" s="242"/>
      <c r="GH53" s="242"/>
      <c r="GI53" s="242"/>
      <c r="GJ53" s="242"/>
    </row>
    <row r="54" spans="2:192" x14ac:dyDescent="0.25">
      <c r="B54" s="167">
        <v>1993</v>
      </c>
      <c r="C54">
        <v>118.2</v>
      </c>
      <c r="D54">
        <v>10642</v>
      </c>
      <c r="E54">
        <f t="shared" si="0"/>
        <v>10.641999999999999</v>
      </c>
      <c r="F54">
        <f t="shared" si="1"/>
        <v>107.55800000000001</v>
      </c>
      <c r="AN54" s="257">
        <v>1991</v>
      </c>
      <c r="AO54" s="251">
        <v>921</v>
      </c>
      <c r="AP54" s="251">
        <v>815</v>
      </c>
      <c r="AQ54" s="250">
        <v>1736</v>
      </c>
      <c r="AT54" s="2">
        <v>2017</v>
      </c>
      <c r="AU54" s="47">
        <f t="shared" si="71"/>
        <v>75936</v>
      </c>
      <c r="AV54" s="47">
        <f t="shared" si="72"/>
        <v>7575</v>
      </c>
      <c r="AW54" s="47">
        <f t="shared" si="73"/>
        <v>68361</v>
      </c>
      <c r="AX54" s="47">
        <f t="shared" si="66"/>
        <v>5869</v>
      </c>
      <c r="AY54" s="47">
        <f t="shared" si="74"/>
        <v>11222.766661099047</v>
      </c>
      <c r="AZ54" s="47">
        <f t="shared" si="67"/>
        <v>1706</v>
      </c>
      <c r="BA54" s="47">
        <f t="shared" si="75"/>
        <v>12928.766661099047</v>
      </c>
      <c r="BB54" s="47">
        <f t="shared" si="76"/>
        <v>18797.766661099049</v>
      </c>
      <c r="BC54" s="242">
        <f t="shared" si="77"/>
        <v>0.21567270145286399</v>
      </c>
      <c r="BD54" s="47">
        <f t="shared" si="68"/>
        <v>87158.766661099042</v>
      </c>
      <c r="BE54" s="47">
        <f t="shared" si="78"/>
        <v>20819.890180447717</v>
      </c>
      <c r="BF54" s="242">
        <f t="shared" si="79"/>
        <v>0.19281486535806661</v>
      </c>
      <c r="BG54" s="47">
        <f t="shared" si="80"/>
        <v>107978.65684154676</v>
      </c>
      <c r="BI54" s="130">
        <f t="shared" si="81"/>
        <v>932.10602075249426</v>
      </c>
      <c r="BJ54" s="370">
        <f t="shared" si="82"/>
        <v>8.6323172376584836E-3</v>
      </c>
      <c r="BL54" s="130">
        <f t="shared" si="69"/>
        <v>19887.784159695224</v>
      </c>
      <c r="BM54" s="370">
        <f t="shared" si="83"/>
        <v>0.18418254812040813</v>
      </c>
      <c r="BN54" s="242">
        <f t="shared" si="84"/>
        <v>0.17408779856081952</v>
      </c>
      <c r="EM54">
        <v>1995</v>
      </c>
      <c r="EN54">
        <v>32</v>
      </c>
      <c r="EO54">
        <v>172</v>
      </c>
      <c r="EP54">
        <v>0</v>
      </c>
      <c r="EQ54">
        <v>60</v>
      </c>
      <c r="ER54">
        <v>891</v>
      </c>
      <c r="ES54">
        <v>1155</v>
      </c>
      <c r="ET54">
        <v>338</v>
      </c>
      <c r="EU54">
        <v>452</v>
      </c>
      <c r="EV54">
        <v>4</v>
      </c>
      <c r="EW54">
        <v>60</v>
      </c>
      <c r="EX54">
        <v>1654</v>
      </c>
      <c r="EY54">
        <v>2508</v>
      </c>
      <c r="EZ54">
        <v>98</v>
      </c>
      <c r="FA54">
        <v>522</v>
      </c>
      <c r="FB54">
        <v>0</v>
      </c>
      <c r="FC54">
        <v>184</v>
      </c>
      <c r="FD54">
        <v>2733</v>
      </c>
      <c r="FE54">
        <v>3537</v>
      </c>
      <c r="FF54">
        <v>6.3091482649842268E-2</v>
      </c>
      <c r="FG54">
        <v>6.3078505313678437E-2</v>
      </c>
      <c r="FJ54">
        <f t="shared" si="70"/>
        <v>5582</v>
      </c>
      <c r="FV54" s="47"/>
      <c r="FW54" s="47"/>
      <c r="FZ54" s="242"/>
      <c r="GA54" s="242"/>
      <c r="GB54" s="242"/>
      <c r="GC54" s="242"/>
      <c r="GD54" s="242"/>
      <c r="GE54" s="242"/>
      <c r="GF54" s="242"/>
      <c r="GG54" s="242"/>
      <c r="GH54" s="242"/>
      <c r="GI54" s="242"/>
      <c r="GJ54" s="242"/>
    </row>
    <row r="55" spans="2:192" x14ac:dyDescent="0.25">
      <c r="B55" s="167">
        <v>1994</v>
      </c>
      <c r="C55">
        <v>178.2</v>
      </c>
      <c r="D55">
        <v>20291</v>
      </c>
      <c r="E55">
        <f t="shared" si="0"/>
        <v>20.291</v>
      </c>
      <c r="F55">
        <f t="shared" si="1"/>
        <v>157.90899999999999</v>
      </c>
      <c r="AN55" s="249">
        <v>1992</v>
      </c>
      <c r="AO55" s="253">
        <v>940</v>
      </c>
      <c r="AP55" s="253">
        <v>588</v>
      </c>
      <c r="AQ55" s="252">
        <v>1528</v>
      </c>
      <c r="EM55">
        <v>1996</v>
      </c>
      <c r="EN55">
        <v>14</v>
      </c>
      <c r="EO55">
        <v>84</v>
      </c>
      <c r="EP55">
        <v>2</v>
      </c>
      <c r="EQ55">
        <v>96</v>
      </c>
      <c r="ER55">
        <v>1443</v>
      </c>
      <c r="ES55">
        <v>1639</v>
      </c>
      <c r="ET55">
        <v>236</v>
      </c>
      <c r="EU55">
        <v>858</v>
      </c>
      <c r="EV55">
        <v>0</v>
      </c>
      <c r="EW55">
        <v>470</v>
      </c>
      <c r="EX55">
        <v>2680</v>
      </c>
      <c r="EY55">
        <v>4244</v>
      </c>
      <c r="EZ55">
        <v>2</v>
      </c>
      <c r="FA55">
        <v>12</v>
      </c>
      <c r="FB55">
        <v>0</v>
      </c>
      <c r="FC55">
        <v>18</v>
      </c>
      <c r="FD55">
        <v>268</v>
      </c>
      <c r="FE55">
        <v>300</v>
      </c>
      <c r="FF55">
        <v>6.2378167641325533E-2</v>
      </c>
      <c r="FG55">
        <v>6.2937062937062943E-2</v>
      </c>
      <c r="FJ55">
        <f t="shared" si="70"/>
        <v>4975</v>
      </c>
      <c r="FV55" s="47"/>
      <c r="FW55" s="47"/>
      <c r="FZ55" s="242"/>
      <c r="GA55" s="242"/>
      <c r="GB55" s="242"/>
      <c r="GC55" s="242"/>
      <c r="GD55" s="242"/>
      <c r="GE55" s="242"/>
      <c r="GF55" s="242"/>
      <c r="GG55" s="242"/>
      <c r="GH55" s="242"/>
      <c r="GI55" s="242"/>
      <c r="GJ55" s="242"/>
    </row>
    <row r="56" spans="2:192" x14ac:dyDescent="0.25">
      <c r="B56" s="167">
        <v>1995</v>
      </c>
      <c r="C56">
        <v>89.5</v>
      </c>
      <c r="D56">
        <v>10395</v>
      </c>
      <c r="E56">
        <f t="shared" si="0"/>
        <v>10.395</v>
      </c>
      <c r="F56">
        <f t="shared" si="1"/>
        <v>79.105000000000004</v>
      </c>
      <c r="AN56" s="249">
        <v>1993</v>
      </c>
      <c r="AO56" s="253">
        <v>427</v>
      </c>
      <c r="AP56" s="253">
        <v>236</v>
      </c>
      <c r="AQ56" s="253">
        <v>663</v>
      </c>
      <c r="AT56" s="462" t="s">
        <v>1038</v>
      </c>
      <c r="AU56" s="421">
        <f>AVERAGE(AU45:AU54)</f>
        <v>117723.4</v>
      </c>
      <c r="AV56" s="421"/>
      <c r="AW56" s="421"/>
      <c r="AX56" s="421"/>
      <c r="AY56" s="462"/>
      <c r="AZ56" s="421"/>
      <c r="BA56" s="462"/>
      <c r="BB56" s="421">
        <f t="shared" ref="BB56:BG56" si="85">AVERAGE(BB45:BB54)</f>
        <v>26784.830394323788</v>
      </c>
      <c r="BC56" s="463">
        <f t="shared" si="85"/>
        <v>0.21979189245211753</v>
      </c>
      <c r="BD56" s="421">
        <f t="shared" si="85"/>
        <v>127981.73039432378</v>
      </c>
      <c r="BE56" s="421">
        <f t="shared" si="85"/>
        <v>32239.411625746601</v>
      </c>
      <c r="BF56" s="463">
        <f t="shared" si="85"/>
        <v>0.19110885048310686</v>
      </c>
      <c r="BG56" s="421">
        <f t="shared" si="85"/>
        <v>160221.14202007037</v>
      </c>
      <c r="BH56" s="462"/>
      <c r="BI56" s="421">
        <f>AVERAGE(BI45:BI54)</f>
        <v>1180.5646003693157</v>
      </c>
      <c r="BJ56" s="463">
        <f>AVERAGE(BJ45:BJ54)</f>
        <v>7.2151698879432125E-3</v>
      </c>
      <c r="BK56" s="462"/>
      <c r="BL56" s="421">
        <f>AVERAGE(BL45:BL54)</f>
        <v>31058.847025377279</v>
      </c>
      <c r="BM56" s="463">
        <f>AVERAGE(BM45:BM54)</f>
        <v>0.18389368059516364</v>
      </c>
      <c r="BN56" s="463">
        <f>AVERAGE(BN45:BN54)</f>
        <v>0.17553828534279009</v>
      </c>
      <c r="BO56" s="17"/>
      <c r="EM56">
        <v>1997</v>
      </c>
      <c r="EN56">
        <v>0</v>
      </c>
      <c r="EO56">
        <v>38</v>
      </c>
      <c r="EP56">
        <v>0</v>
      </c>
      <c r="EQ56">
        <v>358</v>
      </c>
      <c r="ER56">
        <v>2471</v>
      </c>
      <c r="ES56">
        <v>2867</v>
      </c>
      <c r="ET56">
        <v>8</v>
      </c>
      <c r="EU56">
        <v>1354</v>
      </c>
      <c r="EV56">
        <v>0</v>
      </c>
      <c r="EW56">
        <v>996</v>
      </c>
      <c r="EX56">
        <v>4590</v>
      </c>
      <c r="EY56">
        <v>6948</v>
      </c>
      <c r="EZ56">
        <v>0</v>
      </c>
      <c r="FA56">
        <v>34</v>
      </c>
      <c r="FB56">
        <v>0</v>
      </c>
      <c r="FC56">
        <v>298</v>
      </c>
      <c r="FD56">
        <v>2051</v>
      </c>
      <c r="FE56">
        <v>2383</v>
      </c>
      <c r="FF56">
        <v>0.1265464828561329</v>
      </c>
      <c r="FG56">
        <v>0.12686249467858662</v>
      </c>
      <c r="FJ56">
        <f t="shared" si="70"/>
        <v>10764</v>
      </c>
      <c r="FV56" s="47"/>
      <c r="FW56" s="47"/>
      <c r="FZ56" s="242"/>
      <c r="GA56" s="242"/>
      <c r="GB56" s="242"/>
      <c r="GC56" s="242"/>
      <c r="GD56" s="242"/>
      <c r="GE56" s="242"/>
      <c r="GF56" s="242"/>
      <c r="GG56" s="242"/>
      <c r="GH56" s="242"/>
      <c r="GI56" s="242"/>
      <c r="GJ56" s="242"/>
    </row>
    <row r="57" spans="2:192" x14ac:dyDescent="0.25">
      <c r="B57" s="167">
        <v>1996</v>
      </c>
      <c r="C57">
        <v>129.80000000000001</v>
      </c>
      <c r="D57">
        <v>14954</v>
      </c>
      <c r="E57">
        <f t="shared" si="0"/>
        <v>14.954000000000001</v>
      </c>
      <c r="F57">
        <f t="shared" si="1"/>
        <v>114.846</v>
      </c>
      <c r="AN57" s="249">
        <v>1994</v>
      </c>
      <c r="AO57" s="253">
        <v>685</v>
      </c>
      <c r="AP57" s="253">
        <v>174</v>
      </c>
      <c r="AQ57" s="253">
        <v>859</v>
      </c>
      <c r="AT57" t="s">
        <v>1064</v>
      </c>
      <c r="AU57" s="312"/>
      <c r="AV57" s="312"/>
      <c r="AW57" s="17"/>
      <c r="AX57" s="17"/>
      <c r="AY57" s="17"/>
      <c r="AZ57" s="312"/>
      <c r="BA57" s="312"/>
      <c r="BB57" s="17"/>
      <c r="BC57" s="17"/>
      <c r="EM57">
        <v>1998</v>
      </c>
      <c r="EN57">
        <v>0</v>
      </c>
      <c r="EO57">
        <v>99</v>
      </c>
      <c r="EP57">
        <v>54</v>
      </c>
      <c r="EQ57">
        <v>346</v>
      </c>
      <c r="ER57">
        <v>2629</v>
      </c>
      <c r="ES57">
        <v>3128</v>
      </c>
      <c r="ET57">
        <v>0</v>
      </c>
      <c r="EU57">
        <v>271</v>
      </c>
      <c r="EV57">
        <v>46</v>
      </c>
      <c r="EW57">
        <v>451</v>
      </c>
      <c r="EX57">
        <v>4883</v>
      </c>
      <c r="EY57">
        <v>5651</v>
      </c>
      <c r="EZ57">
        <v>0</v>
      </c>
      <c r="FA57">
        <v>23</v>
      </c>
      <c r="FB57">
        <v>11</v>
      </c>
      <c r="FC57">
        <v>83</v>
      </c>
      <c r="FD57">
        <v>628</v>
      </c>
      <c r="FE57">
        <v>745</v>
      </c>
      <c r="FF57">
        <v>0.11630252100840337</v>
      </c>
      <c r="FG57">
        <v>0.11673699015471167</v>
      </c>
      <c r="FJ57">
        <f t="shared" si="70"/>
        <v>9020</v>
      </c>
      <c r="FZ57" s="242"/>
      <c r="GA57" s="242"/>
      <c r="GB57" s="242"/>
      <c r="GC57" s="242"/>
      <c r="GD57" s="242"/>
      <c r="GE57" s="242"/>
      <c r="GF57" s="242"/>
      <c r="GG57" s="242"/>
      <c r="GH57" s="242"/>
      <c r="GI57" s="242"/>
      <c r="GJ57" s="242"/>
    </row>
    <row r="58" spans="2:192" x14ac:dyDescent="0.25">
      <c r="B58" s="167">
        <v>1997</v>
      </c>
      <c r="C58">
        <v>157.30000000000001</v>
      </c>
      <c r="D58">
        <v>24061</v>
      </c>
      <c r="E58">
        <f t="shared" si="0"/>
        <v>24.061</v>
      </c>
      <c r="F58">
        <f t="shared" si="1"/>
        <v>133.239</v>
      </c>
      <c r="AN58" s="249">
        <v>1995</v>
      </c>
      <c r="AO58" s="253">
        <v>582</v>
      </c>
      <c r="AP58" s="253">
        <v>600</v>
      </c>
      <c r="AQ58" s="252">
        <v>1179</v>
      </c>
      <c r="AT58" t="s">
        <v>1100</v>
      </c>
      <c r="AU58" s="312"/>
      <c r="AV58" s="312"/>
      <c r="AW58" s="17"/>
      <c r="AX58" s="17"/>
      <c r="AY58" s="17"/>
      <c r="AZ58" s="312"/>
      <c r="BA58" s="312"/>
      <c r="BB58" s="17"/>
      <c r="BC58" s="17"/>
      <c r="EM58">
        <v>1999</v>
      </c>
      <c r="EN58">
        <v>3</v>
      </c>
      <c r="EO58">
        <v>181</v>
      </c>
      <c r="EP58">
        <v>181</v>
      </c>
      <c r="EQ58">
        <v>1609</v>
      </c>
      <c r="ER58">
        <v>5201</v>
      </c>
      <c r="ES58">
        <v>7175</v>
      </c>
      <c r="ET58">
        <v>3</v>
      </c>
      <c r="EU58">
        <v>661</v>
      </c>
      <c r="EV58">
        <v>201</v>
      </c>
      <c r="EW58">
        <v>5749</v>
      </c>
      <c r="EX58">
        <v>9660</v>
      </c>
      <c r="EY58">
        <v>16274</v>
      </c>
      <c r="EZ58">
        <v>0</v>
      </c>
      <c r="FA58">
        <v>11</v>
      </c>
      <c r="FB58">
        <v>12</v>
      </c>
      <c r="FC58">
        <v>123</v>
      </c>
      <c r="FD58">
        <v>400</v>
      </c>
      <c r="FE58">
        <v>546</v>
      </c>
      <c r="FF58">
        <v>0.23627019089574156</v>
      </c>
      <c r="FG58">
        <v>0.23518164435946462</v>
      </c>
      <c r="FJ58">
        <f t="shared" si="70"/>
        <v>22742</v>
      </c>
      <c r="FZ58" s="242"/>
      <c r="GA58" s="242"/>
      <c r="GB58" s="242"/>
      <c r="GC58" s="242"/>
      <c r="GD58" s="242"/>
      <c r="GE58" s="242"/>
      <c r="GF58" s="242"/>
      <c r="GG58" s="242"/>
      <c r="GH58" s="242"/>
      <c r="GI58" s="242"/>
      <c r="GJ58" s="242"/>
    </row>
    <row r="59" spans="2:192" x14ac:dyDescent="0.25">
      <c r="B59" s="167">
        <v>1998</v>
      </c>
      <c r="C59">
        <v>189.8</v>
      </c>
      <c r="D59">
        <v>46290</v>
      </c>
      <c r="E59">
        <f t="shared" si="0"/>
        <v>46.29</v>
      </c>
      <c r="F59">
        <f t="shared" si="1"/>
        <v>143.51000000000002</v>
      </c>
      <c r="AN59" s="249">
        <v>1996</v>
      </c>
      <c r="AO59" s="253">
        <v>315</v>
      </c>
      <c r="AP59" s="253">
        <v>976</v>
      </c>
      <c r="AQ59" s="252">
        <v>1291</v>
      </c>
      <c r="EM59">
        <v>2000</v>
      </c>
      <c r="EN59">
        <v>0</v>
      </c>
      <c r="EO59">
        <v>398</v>
      </c>
      <c r="EP59">
        <v>81</v>
      </c>
      <c r="EQ59">
        <v>1416</v>
      </c>
      <c r="ER59">
        <v>3486</v>
      </c>
      <c r="ES59">
        <v>5381</v>
      </c>
      <c r="ET59">
        <v>2</v>
      </c>
      <c r="EU59">
        <v>1924</v>
      </c>
      <c r="EV59">
        <v>114</v>
      </c>
      <c r="EW59">
        <v>4874</v>
      </c>
      <c r="EX59">
        <v>6473</v>
      </c>
      <c r="EY59">
        <v>13387</v>
      </c>
      <c r="EZ59">
        <v>1</v>
      </c>
      <c r="FA59">
        <v>445</v>
      </c>
      <c r="FB59">
        <v>91</v>
      </c>
      <c r="FC59">
        <v>1590</v>
      </c>
      <c r="FD59">
        <v>3916</v>
      </c>
      <c r="FE59">
        <v>6043</v>
      </c>
      <c r="FF59">
        <v>0.28886168910648713</v>
      </c>
      <c r="FG59">
        <v>0.28877588085724665</v>
      </c>
      <c r="FJ59">
        <f t="shared" si="70"/>
        <v>21755</v>
      </c>
      <c r="FZ59" s="242"/>
      <c r="GA59" s="242"/>
      <c r="GB59" s="242"/>
      <c r="GC59" s="242"/>
      <c r="GD59" s="242"/>
      <c r="GE59" s="242"/>
      <c r="GF59" s="242"/>
      <c r="GG59" s="242"/>
      <c r="GH59" s="242"/>
      <c r="GI59" s="242"/>
      <c r="GJ59" s="242"/>
    </row>
    <row r="60" spans="2:192" ht="15" customHeight="1" thickBot="1" x14ac:dyDescent="0.3">
      <c r="B60" s="167">
        <v>1999</v>
      </c>
      <c r="C60">
        <v>303.2</v>
      </c>
      <c r="D60">
        <v>40684</v>
      </c>
      <c r="E60">
        <f t="shared" si="0"/>
        <v>40.683999999999997</v>
      </c>
      <c r="F60">
        <f t="shared" si="1"/>
        <v>262.51599999999996</v>
      </c>
      <c r="AN60" s="249">
        <v>1997</v>
      </c>
      <c r="AO60" s="252">
        <v>1407</v>
      </c>
      <c r="AP60" s="253">
        <v>428</v>
      </c>
      <c r="AQ60" s="252">
        <v>1835</v>
      </c>
      <c r="AT60" s="1"/>
      <c r="EM60">
        <v>2001</v>
      </c>
      <c r="EN60">
        <v>10</v>
      </c>
      <c r="EO60">
        <v>331</v>
      </c>
      <c r="EP60">
        <v>145</v>
      </c>
      <c r="EQ60">
        <v>2541</v>
      </c>
      <c r="ER60">
        <v>7121</v>
      </c>
      <c r="ES60">
        <v>10148</v>
      </c>
      <c r="ET60">
        <v>14</v>
      </c>
      <c r="EU60">
        <v>1369</v>
      </c>
      <c r="EV60">
        <v>205</v>
      </c>
      <c r="EW60">
        <v>9093</v>
      </c>
      <c r="EX60">
        <v>13225</v>
      </c>
      <c r="EY60">
        <v>23906</v>
      </c>
      <c r="EZ60">
        <v>10</v>
      </c>
      <c r="FA60">
        <v>345</v>
      </c>
      <c r="FB60">
        <v>152</v>
      </c>
      <c r="FC60">
        <v>2637</v>
      </c>
      <c r="FD60">
        <v>7394</v>
      </c>
      <c r="FE60">
        <v>10538</v>
      </c>
      <c r="FF60">
        <v>0.26298902918650385</v>
      </c>
      <c r="FG60">
        <v>0.26288505632539128</v>
      </c>
      <c r="FJ60">
        <f t="shared" si="70"/>
        <v>42011</v>
      </c>
      <c r="FZ60" s="242"/>
      <c r="GA60" s="242"/>
      <c r="GB60" s="242"/>
      <c r="GC60" s="242"/>
      <c r="GD60" s="242"/>
      <c r="GE60" s="242"/>
      <c r="GF60" s="242"/>
      <c r="GG60" s="242"/>
      <c r="GH60" s="242"/>
      <c r="GI60" s="242"/>
      <c r="GJ60" s="242"/>
    </row>
    <row r="61" spans="2:192" ht="15.75" thickBot="1" x14ac:dyDescent="0.3">
      <c r="B61" s="167">
        <v>2000</v>
      </c>
      <c r="C61">
        <v>628.5</v>
      </c>
      <c r="D61">
        <v>85649</v>
      </c>
      <c r="E61">
        <f t="shared" si="0"/>
        <v>85.649000000000001</v>
      </c>
      <c r="F61">
        <f t="shared" si="1"/>
        <v>542.851</v>
      </c>
      <c r="AN61" s="258" t="s">
        <v>380</v>
      </c>
      <c r="AO61" s="253">
        <v>373</v>
      </c>
      <c r="AP61" s="253">
        <v>386</v>
      </c>
      <c r="AQ61" s="253">
        <v>759</v>
      </c>
      <c r="AT61" s="712" t="s">
        <v>1117</v>
      </c>
      <c r="AU61" s="713"/>
      <c r="AV61" s="713"/>
      <c r="AW61" s="713"/>
      <c r="AX61" s="713"/>
      <c r="AY61" s="713"/>
      <c r="AZ61" s="713"/>
      <c r="BA61" s="713"/>
      <c r="BB61" s="713"/>
      <c r="BC61" s="713"/>
      <c r="BD61" s="713"/>
      <c r="BE61" s="713"/>
      <c r="BF61" s="713"/>
      <c r="BG61" s="713"/>
      <c r="BH61" s="714"/>
      <c r="EM61">
        <v>2002</v>
      </c>
      <c r="EN61">
        <v>3</v>
      </c>
      <c r="EO61">
        <v>568</v>
      </c>
      <c r="EP61">
        <v>300</v>
      </c>
      <c r="EQ61">
        <v>1850</v>
      </c>
      <c r="ER61">
        <v>12411</v>
      </c>
      <c r="ES61">
        <v>15132</v>
      </c>
      <c r="ET61">
        <v>34</v>
      </c>
      <c r="EU61">
        <v>2435</v>
      </c>
      <c r="EV61">
        <v>408</v>
      </c>
      <c r="EW61">
        <v>11959</v>
      </c>
      <c r="EX61">
        <v>23050</v>
      </c>
      <c r="EY61">
        <v>37886</v>
      </c>
      <c r="EZ61">
        <v>1</v>
      </c>
      <c r="FA61">
        <v>102</v>
      </c>
      <c r="FB61">
        <v>55</v>
      </c>
      <c r="FC61">
        <v>337</v>
      </c>
      <c r="FD61">
        <v>2261</v>
      </c>
      <c r="FE61">
        <v>2756</v>
      </c>
      <c r="FF61">
        <v>0.12972442325222636</v>
      </c>
      <c r="FG61">
        <v>0.12971516551193227</v>
      </c>
      <c r="FJ61">
        <f t="shared" si="70"/>
        <v>51868</v>
      </c>
      <c r="FZ61" s="242"/>
      <c r="GA61" s="242"/>
      <c r="GB61" s="242"/>
      <c r="GC61" s="242"/>
      <c r="GD61" s="242"/>
      <c r="GE61" s="242"/>
      <c r="GF61" s="242"/>
      <c r="GG61" s="242"/>
      <c r="GH61" s="242"/>
      <c r="GI61" s="242"/>
      <c r="GJ61" s="242"/>
    </row>
    <row r="62" spans="2:192" x14ac:dyDescent="0.25">
      <c r="B62" s="167">
        <v>2001</v>
      </c>
      <c r="C62">
        <v>1132.7</v>
      </c>
      <c r="D62">
        <v>259533</v>
      </c>
      <c r="E62">
        <f t="shared" si="0"/>
        <v>259.53300000000002</v>
      </c>
      <c r="F62">
        <f t="shared" si="1"/>
        <v>873.16700000000003</v>
      </c>
      <c r="AN62" s="258" t="s">
        <v>381</v>
      </c>
      <c r="AO62" s="253">
        <v>635</v>
      </c>
      <c r="AP62" s="253">
        <v>623</v>
      </c>
      <c r="AQ62" s="252">
        <v>1258</v>
      </c>
      <c r="AT62" s="2"/>
      <c r="AU62" s="224" t="s">
        <v>44</v>
      </c>
      <c r="AV62" s="224" t="s">
        <v>1036</v>
      </c>
      <c r="AW62" s="224" t="s">
        <v>1127</v>
      </c>
      <c r="AX62" s="224" t="s">
        <v>1036</v>
      </c>
      <c r="AY62" s="641" t="s">
        <v>432</v>
      </c>
      <c r="AZ62" s="641"/>
      <c r="BA62" s="641"/>
      <c r="BC62" s="641" t="s">
        <v>1142</v>
      </c>
      <c r="BD62" s="641"/>
      <c r="BF62" s="641" t="s">
        <v>1144</v>
      </c>
      <c r="BG62" s="641"/>
      <c r="BH62" t="s">
        <v>1146</v>
      </c>
      <c r="EM62">
        <v>2003</v>
      </c>
      <c r="EN62">
        <v>7</v>
      </c>
      <c r="EO62">
        <v>647</v>
      </c>
      <c r="EP62">
        <v>585</v>
      </c>
      <c r="EQ62">
        <v>2701</v>
      </c>
      <c r="ER62">
        <v>11846</v>
      </c>
      <c r="ES62">
        <v>15786</v>
      </c>
      <c r="ET62">
        <v>31</v>
      </c>
      <c r="EU62">
        <v>3410</v>
      </c>
      <c r="EV62">
        <v>981</v>
      </c>
      <c r="EW62">
        <v>20791</v>
      </c>
      <c r="EX62">
        <v>21955</v>
      </c>
      <c r="EY62">
        <v>47168</v>
      </c>
      <c r="EZ62">
        <v>2</v>
      </c>
      <c r="FA62">
        <v>263</v>
      </c>
      <c r="FB62">
        <v>240</v>
      </c>
      <c r="FC62">
        <v>1100</v>
      </c>
      <c r="FD62">
        <v>4825</v>
      </c>
      <c r="FE62">
        <v>6430</v>
      </c>
      <c r="FF62">
        <v>0.18567402213514814</v>
      </c>
      <c r="FG62">
        <v>0.18565400843881857</v>
      </c>
      <c r="FJ62">
        <f t="shared" si="70"/>
        <v>63218</v>
      </c>
      <c r="FZ62" s="242"/>
      <c r="GA62" s="242"/>
      <c r="GB62" s="242"/>
      <c r="GC62" s="242"/>
      <c r="GD62" s="242"/>
      <c r="GE62" s="242"/>
      <c r="GF62" s="242"/>
      <c r="GG62" s="242"/>
      <c r="GH62" s="242"/>
      <c r="GI62" s="242"/>
      <c r="GJ62" s="242"/>
    </row>
    <row r="63" spans="2:192" x14ac:dyDescent="0.25">
      <c r="B63" s="168">
        <v>2002</v>
      </c>
      <c r="C63">
        <v>557.6</v>
      </c>
      <c r="D63">
        <v>88570</v>
      </c>
      <c r="E63">
        <f t="shared" si="0"/>
        <v>88.57</v>
      </c>
      <c r="F63">
        <f t="shared" si="1"/>
        <v>469.03000000000003</v>
      </c>
      <c r="AN63" s="254">
        <v>2000</v>
      </c>
      <c r="AO63" s="255">
        <v>2839</v>
      </c>
      <c r="AP63" s="256">
        <v>773</v>
      </c>
      <c r="AQ63" s="255">
        <v>3612</v>
      </c>
      <c r="AT63" s="408" t="s">
        <v>387</v>
      </c>
      <c r="AU63" s="337" t="s">
        <v>404</v>
      </c>
      <c r="AV63" s="337" t="s">
        <v>1118</v>
      </c>
      <c r="AW63" s="337" t="s">
        <v>828</v>
      </c>
      <c r="AX63" s="337" t="s">
        <v>1037</v>
      </c>
      <c r="AY63" s="406" t="s">
        <v>353</v>
      </c>
      <c r="AZ63" s="406" t="s">
        <v>475</v>
      </c>
      <c r="BA63" s="406" t="s">
        <v>1129</v>
      </c>
      <c r="BB63" s="337"/>
      <c r="BC63" s="337" t="s">
        <v>353</v>
      </c>
      <c r="BD63" s="337" t="s">
        <v>475</v>
      </c>
      <c r="BE63" s="25"/>
      <c r="BF63" s="337" t="s">
        <v>353</v>
      </c>
      <c r="BG63" s="337" t="s">
        <v>475</v>
      </c>
      <c r="BH63" s="337" t="s">
        <v>1147</v>
      </c>
      <c r="EM63">
        <v>2004</v>
      </c>
      <c r="EN63">
        <v>2</v>
      </c>
      <c r="EO63">
        <v>488</v>
      </c>
      <c r="EP63">
        <v>317</v>
      </c>
      <c r="EQ63">
        <v>899</v>
      </c>
      <c r="ER63">
        <v>6809</v>
      </c>
      <c r="ES63">
        <v>8515</v>
      </c>
      <c r="ET63">
        <v>18</v>
      </c>
      <c r="EU63">
        <v>1787</v>
      </c>
      <c r="EV63">
        <v>473</v>
      </c>
      <c r="EW63">
        <v>6326</v>
      </c>
      <c r="EX63">
        <v>12669</v>
      </c>
      <c r="EY63">
        <v>21273</v>
      </c>
      <c r="EZ63">
        <v>1</v>
      </c>
      <c r="FA63">
        <v>327</v>
      </c>
      <c r="FB63">
        <v>211</v>
      </c>
      <c r="FC63">
        <v>600</v>
      </c>
      <c r="FD63">
        <v>4540</v>
      </c>
      <c r="FE63">
        <v>5679</v>
      </c>
      <c r="FF63">
        <v>0.11663207057602491</v>
      </c>
      <c r="FG63">
        <v>0.11673151750972763</v>
      </c>
      <c r="FJ63">
        <f t="shared" si="70"/>
        <v>31843</v>
      </c>
      <c r="FZ63" s="242"/>
      <c r="GA63" s="242"/>
      <c r="GB63" s="242"/>
      <c r="GC63" s="242"/>
      <c r="GD63" s="242"/>
      <c r="GE63" s="242"/>
      <c r="GF63" s="242"/>
      <c r="GG63" s="242"/>
      <c r="GH63" s="242"/>
      <c r="GI63" s="242"/>
      <c r="GJ63" s="242"/>
    </row>
    <row r="64" spans="2:192" x14ac:dyDescent="0.25">
      <c r="B64" s="167">
        <v>2003</v>
      </c>
      <c r="C64">
        <v>713.2</v>
      </c>
      <c r="D64">
        <v>125746</v>
      </c>
      <c r="E64">
        <f t="shared" ref="E64:E78" si="86">D64/1000</f>
        <v>125.746</v>
      </c>
      <c r="F64">
        <f t="shared" ref="F64:F78" si="87">C64-E64</f>
        <v>587.45400000000006</v>
      </c>
      <c r="AN64" s="257">
        <v>2001</v>
      </c>
      <c r="AO64" s="250">
        <v>1736</v>
      </c>
      <c r="AP64" s="251">
        <v>402</v>
      </c>
      <c r="AQ64" s="250">
        <v>2138</v>
      </c>
      <c r="AT64" s="2">
        <v>2008</v>
      </c>
      <c r="AU64" s="47">
        <f>AW45+AU28</f>
        <v>352035</v>
      </c>
      <c r="AV64" s="47">
        <f t="shared" ref="AV64:AV73" si="88">BB45+AZ28</f>
        <v>136371</v>
      </c>
      <c r="AW64" s="242">
        <f>AV64/AX64</f>
        <v>0.27921647154211865</v>
      </c>
      <c r="AX64" s="47">
        <f>BZ8+CA8+CB8-CJ8</f>
        <v>488406</v>
      </c>
      <c r="AY64" s="47">
        <f>BF84</f>
        <v>41581</v>
      </c>
      <c r="AZ64" s="242">
        <f>AY64/BA64</f>
        <v>7.84566413893171E-2</v>
      </c>
      <c r="BA64" s="47">
        <f>AY64+AX64</f>
        <v>529987</v>
      </c>
      <c r="BC64" s="47">
        <f t="shared" ref="BC64:BC73" si="89">BI45+BG28</f>
        <v>2564</v>
      </c>
      <c r="BD64" s="242">
        <f>BC64/BA64</f>
        <v>4.8378545134125928E-3</v>
      </c>
      <c r="BF64" s="47">
        <f t="shared" ref="BF64:BF73" si="90">BL45+BJ28</f>
        <v>39017</v>
      </c>
      <c r="BG64" s="242">
        <f>BF64/BA64</f>
        <v>7.3618786875904507E-2</v>
      </c>
      <c r="BH64" s="242">
        <f>AV64/BA64</f>
        <v>0.25731008496434821</v>
      </c>
      <c r="BQ64" s="47"/>
      <c r="BR64" s="47"/>
      <c r="BS64" s="47"/>
      <c r="EM64">
        <v>2005</v>
      </c>
      <c r="EN64">
        <v>5</v>
      </c>
      <c r="EO64">
        <v>157</v>
      </c>
      <c r="EP64">
        <v>51</v>
      </c>
      <c r="EQ64">
        <v>198</v>
      </c>
      <c r="ER64">
        <v>4570</v>
      </c>
      <c r="ES64">
        <v>4981</v>
      </c>
      <c r="ET64">
        <v>21</v>
      </c>
      <c r="EU64">
        <v>895</v>
      </c>
      <c r="EV64">
        <v>106</v>
      </c>
      <c r="EW64">
        <v>3350</v>
      </c>
      <c r="EX64">
        <v>11856</v>
      </c>
      <c r="EY64">
        <v>16228</v>
      </c>
      <c r="EZ64">
        <v>3</v>
      </c>
      <c r="FA64">
        <v>107</v>
      </c>
      <c r="FB64">
        <v>35</v>
      </c>
      <c r="FC64">
        <v>133</v>
      </c>
      <c r="FD64">
        <v>3076</v>
      </c>
      <c r="FE64">
        <v>3354</v>
      </c>
      <c r="FF64">
        <v>4.1526845637583895E-2</v>
      </c>
      <c r="FG64">
        <v>4.1445933312558428E-2</v>
      </c>
      <c r="FJ64">
        <f t="shared" si="70"/>
        <v>23183</v>
      </c>
      <c r="FZ64" s="242"/>
      <c r="GA64" s="242"/>
      <c r="GB64" s="242"/>
      <c r="GC64" s="242"/>
      <c r="GD64" s="242"/>
      <c r="GE64" s="242"/>
      <c r="GF64" s="242"/>
      <c r="GG64" s="242"/>
      <c r="GH64" s="242"/>
      <c r="GI64" s="242"/>
      <c r="GJ64" s="242"/>
    </row>
    <row r="65" spans="2:192" x14ac:dyDescent="0.25">
      <c r="B65" s="2">
        <v>2004</v>
      </c>
      <c r="C65">
        <v>463.5</v>
      </c>
      <c r="D65">
        <v>114941</v>
      </c>
      <c r="E65">
        <f t="shared" si="86"/>
        <v>114.941</v>
      </c>
      <c r="F65">
        <f t="shared" si="87"/>
        <v>348.55899999999997</v>
      </c>
      <c r="AN65" s="249">
        <v>2002</v>
      </c>
      <c r="AO65" s="252">
        <v>2337</v>
      </c>
      <c r="AP65" s="252">
        <v>2417</v>
      </c>
      <c r="AQ65" s="252">
        <v>4747</v>
      </c>
      <c r="AS65" s="47"/>
      <c r="AT65" s="2">
        <v>2009</v>
      </c>
      <c r="AU65" s="47">
        <f t="shared" ref="AU65:AU73" si="91">AW46+AU29</f>
        <v>471186</v>
      </c>
      <c r="AV65" s="47">
        <f t="shared" si="88"/>
        <v>227021</v>
      </c>
      <c r="AW65" s="242">
        <f t="shared" ref="AW65:AW73" si="92">AV65/AX65</f>
        <v>0.32514855909493889</v>
      </c>
      <c r="AX65" s="47">
        <f t="shared" ref="AX65:AX73" si="93">CA9+CB9+CC9-CK9</f>
        <v>698207</v>
      </c>
      <c r="AY65" s="47">
        <f t="shared" ref="AY65:AY73" si="94">BF85</f>
        <v>270591</v>
      </c>
      <c r="AZ65" s="242">
        <f t="shared" ref="AZ65:AZ73" si="95">AY65/BA65</f>
        <v>0.2793059027784946</v>
      </c>
      <c r="BA65" s="47">
        <f t="shared" ref="BA65:BA73" si="96">AY65+AX65</f>
        <v>968798</v>
      </c>
      <c r="BC65" s="47">
        <f t="shared" si="89"/>
        <v>6316</v>
      </c>
      <c r="BD65" s="242">
        <f t="shared" ref="BD65:BD73" si="97">BC65/BA65</f>
        <v>6.5194189087921317E-3</v>
      </c>
      <c r="BF65" s="47">
        <f t="shared" si="90"/>
        <v>264275</v>
      </c>
      <c r="BG65" s="242">
        <f t="shared" ref="BG65:BG73" si="98">BF65/BA65</f>
        <v>0.27278648386970245</v>
      </c>
      <c r="BH65" s="242">
        <f t="shared" ref="BH65:BH73" si="99">AV65/BA65</f>
        <v>0.2343326472598003</v>
      </c>
      <c r="EM65">
        <v>2006</v>
      </c>
      <c r="EN65">
        <v>7</v>
      </c>
      <c r="EO65">
        <v>334</v>
      </c>
      <c r="EP65">
        <v>162</v>
      </c>
      <c r="EQ65">
        <v>714</v>
      </c>
      <c r="ER65">
        <v>7179</v>
      </c>
      <c r="ES65">
        <v>8396</v>
      </c>
      <c r="ET65">
        <v>20</v>
      </c>
      <c r="EU65">
        <v>910</v>
      </c>
      <c r="EV65">
        <v>153</v>
      </c>
      <c r="EW65">
        <v>840</v>
      </c>
      <c r="EX65">
        <v>11887</v>
      </c>
      <c r="EY65">
        <v>13810</v>
      </c>
      <c r="EZ65">
        <v>7</v>
      </c>
      <c r="FA65">
        <v>301</v>
      </c>
      <c r="FB65">
        <v>148</v>
      </c>
      <c r="FC65">
        <v>644</v>
      </c>
      <c r="FD65">
        <v>6481</v>
      </c>
      <c r="FE65">
        <v>7581</v>
      </c>
      <c r="FF65">
        <v>9.0459901178259222E-2</v>
      </c>
      <c r="FG65">
        <v>9.0385964912280709E-2</v>
      </c>
      <c r="FJ65">
        <f t="shared" si="70"/>
        <v>27745</v>
      </c>
      <c r="FZ65" s="242"/>
      <c r="GA65" s="242"/>
      <c r="GB65" s="242"/>
      <c r="GC65" s="242"/>
      <c r="GD65" s="242"/>
      <c r="GE65" s="242"/>
      <c r="GF65" s="242"/>
      <c r="GG65" s="242"/>
      <c r="GH65" s="242"/>
      <c r="GI65" s="242"/>
      <c r="GJ65" s="242"/>
    </row>
    <row r="66" spans="2:192" x14ac:dyDescent="0.25">
      <c r="B66" s="2">
        <v>2005</v>
      </c>
      <c r="C66">
        <v>354.7</v>
      </c>
      <c r="D66">
        <v>83305</v>
      </c>
      <c r="E66">
        <f t="shared" si="86"/>
        <v>83.305000000000007</v>
      </c>
      <c r="F66">
        <f t="shared" si="87"/>
        <v>271.39499999999998</v>
      </c>
      <c r="AN66" s="249">
        <v>2003</v>
      </c>
      <c r="AO66" s="252">
        <v>7908</v>
      </c>
      <c r="AP66" s="252">
        <v>1869</v>
      </c>
      <c r="AQ66" s="252">
        <v>9717</v>
      </c>
      <c r="AS66" s="47"/>
      <c r="AT66" s="2">
        <v>2010</v>
      </c>
      <c r="AU66" s="47">
        <f t="shared" si="91"/>
        <v>299977</v>
      </c>
      <c r="AV66" s="47">
        <f t="shared" si="88"/>
        <v>118223</v>
      </c>
      <c r="AW66" s="242">
        <f t="shared" si="92"/>
        <v>0.28269488283118127</v>
      </c>
      <c r="AX66" s="47">
        <f t="shared" si="93"/>
        <v>418200</v>
      </c>
      <c r="AY66" s="47">
        <f t="shared" si="94"/>
        <v>59606</v>
      </c>
      <c r="AZ66" s="242">
        <f t="shared" si="95"/>
        <v>0.12474937526946082</v>
      </c>
      <c r="BA66" s="47">
        <f t="shared" si="96"/>
        <v>477806</v>
      </c>
      <c r="BC66" s="47">
        <f t="shared" si="89"/>
        <v>1541</v>
      </c>
      <c r="BD66" s="242">
        <f t="shared" si="97"/>
        <v>3.2251583278569127E-3</v>
      </c>
      <c r="BF66" s="47">
        <f t="shared" si="90"/>
        <v>58065</v>
      </c>
      <c r="BG66" s="242">
        <f t="shared" si="98"/>
        <v>0.12152421694160391</v>
      </c>
      <c r="BH66" s="242">
        <f t="shared" si="99"/>
        <v>0.24742887280611797</v>
      </c>
      <c r="EM66">
        <v>2007</v>
      </c>
      <c r="EN66">
        <v>5</v>
      </c>
      <c r="EO66">
        <v>317</v>
      </c>
      <c r="EP66">
        <v>233</v>
      </c>
      <c r="EQ66">
        <v>398</v>
      </c>
      <c r="ER66">
        <v>4672</v>
      </c>
      <c r="ES66">
        <v>5625</v>
      </c>
      <c r="ET66">
        <v>19</v>
      </c>
      <c r="EU66">
        <v>915</v>
      </c>
      <c r="EV66">
        <v>210</v>
      </c>
      <c r="EW66">
        <v>810</v>
      </c>
      <c r="EX66">
        <v>7455</v>
      </c>
      <c r="EY66">
        <v>9409</v>
      </c>
      <c r="EZ66">
        <v>5</v>
      </c>
      <c r="FA66">
        <v>306</v>
      </c>
      <c r="FB66">
        <v>227</v>
      </c>
      <c r="FC66">
        <v>383</v>
      </c>
      <c r="FD66">
        <v>4544</v>
      </c>
      <c r="FE66">
        <v>5465</v>
      </c>
      <c r="FF66">
        <v>7.850098619329389E-2</v>
      </c>
      <c r="FG66">
        <v>7.7734929977674047E-2</v>
      </c>
      <c r="FJ66">
        <f t="shared" si="70"/>
        <v>18262</v>
      </c>
      <c r="FZ66" s="242"/>
      <c r="GA66" s="242"/>
      <c r="GB66" s="242"/>
      <c r="GC66" s="242"/>
      <c r="GD66" s="242"/>
      <c r="GE66" s="242"/>
      <c r="GF66" s="242"/>
      <c r="GG66" s="242"/>
      <c r="GH66" s="242"/>
      <c r="GI66" s="242"/>
      <c r="GJ66" s="242"/>
    </row>
    <row r="67" spans="2:192" x14ac:dyDescent="0.25">
      <c r="B67" s="2">
        <v>2006</v>
      </c>
      <c r="C67">
        <v>409.7</v>
      </c>
      <c r="D67">
        <v>102111</v>
      </c>
      <c r="E67">
        <f t="shared" si="86"/>
        <v>102.111</v>
      </c>
      <c r="F67">
        <f t="shared" si="87"/>
        <v>307.589</v>
      </c>
      <c r="AN67" s="249">
        <v>2004</v>
      </c>
      <c r="AO67" s="252">
        <v>2849</v>
      </c>
      <c r="AP67" s="253">
        <v>524</v>
      </c>
      <c r="AQ67" s="252">
        <v>3373</v>
      </c>
      <c r="AS67" s="47"/>
      <c r="AT67" s="2">
        <v>2011</v>
      </c>
      <c r="AU67" s="47">
        <f t="shared" si="91"/>
        <v>218449</v>
      </c>
      <c r="AV67" s="47">
        <f t="shared" si="88"/>
        <v>124223</v>
      </c>
      <c r="AW67" s="242">
        <f t="shared" si="92"/>
        <v>0.36251284026707753</v>
      </c>
      <c r="AX67" s="47">
        <f t="shared" si="93"/>
        <v>342672</v>
      </c>
      <c r="AY67" s="47">
        <f t="shared" si="94"/>
        <v>60298</v>
      </c>
      <c r="AZ67" s="242">
        <f t="shared" si="95"/>
        <v>0.14963396778916543</v>
      </c>
      <c r="BA67" s="47">
        <f t="shared" si="96"/>
        <v>402970</v>
      </c>
      <c r="BC67" s="47">
        <f t="shared" si="89"/>
        <v>4792</v>
      </c>
      <c r="BD67" s="242">
        <f t="shared" si="97"/>
        <v>1.1891704097079186E-2</v>
      </c>
      <c r="BF67" s="47">
        <f t="shared" si="90"/>
        <v>55506</v>
      </c>
      <c r="BG67" s="242">
        <f t="shared" si="98"/>
        <v>0.13774226369208625</v>
      </c>
      <c r="BH67" s="242">
        <f t="shared" si="99"/>
        <v>0.30826860560339481</v>
      </c>
      <c r="EM67">
        <v>2008</v>
      </c>
      <c r="EN67">
        <v>1</v>
      </c>
      <c r="EO67">
        <v>202</v>
      </c>
      <c r="EP67">
        <v>42</v>
      </c>
      <c r="EQ67">
        <v>47</v>
      </c>
      <c r="ER67">
        <v>8749</v>
      </c>
      <c r="ES67">
        <v>9041</v>
      </c>
      <c r="ET67">
        <v>23</v>
      </c>
      <c r="EU67">
        <v>590</v>
      </c>
      <c r="EV67">
        <v>41</v>
      </c>
      <c r="EW67">
        <v>30</v>
      </c>
      <c r="EX67">
        <v>17021</v>
      </c>
      <c r="EY67">
        <v>17705</v>
      </c>
      <c r="EZ67">
        <v>0</v>
      </c>
      <c r="FA67">
        <v>43</v>
      </c>
      <c r="FB67">
        <v>10</v>
      </c>
      <c r="FC67">
        <v>10</v>
      </c>
      <c r="FD67">
        <v>1891</v>
      </c>
      <c r="FE67">
        <v>1954</v>
      </c>
      <c r="FF67">
        <v>5.3433378808549342E-3</v>
      </c>
      <c r="FG67">
        <v>5.2603892688058915E-3</v>
      </c>
      <c r="FJ67">
        <f t="shared" si="70"/>
        <v>27748</v>
      </c>
      <c r="FZ67" s="242"/>
      <c r="GA67" s="242"/>
      <c r="GB67" s="242"/>
      <c r="GC67" s="242"/>
      <c r="GD67" s="242"/>
      <c r="GE67" s="242"/>
      <c r="GF67" s="242"/>
      <c r="GG67" s="242"/>
      <c r="GH67" s="242"/>
      <c r="GI67" s="242"/>
      <c r="GJ67" s="242"/>
    </row>
    <row r="68" spans="2:192" x14ac:dyDescent="0.25">
      <c r="B68" s="2">
        <v>2007</v>
      </c>
      <c r="C68">
        <v>349</v>
      </c>
      <c r="D68">
        <v>96376</v>
      </c>
      <c r="E68">
        <f t="shared" si="86"/>
        <v>96.376000000000005</v>
      </c>
      <c r="F68">
        <f t="shared" si="87"/>
        <v>252.624</v>
      </c>
      <c r="AN68" s="249">
        <v>2005</v>
      </c>
      <c r="AO68" s="252">
        <v>1322</v>
      </c>
      <c r="AP68" s="253">
        <v>271</v>
      </c>
      <c r="AQ68" s="252">
        <v>1593</v>
      </c>
      <c r="AS68" s="47"/>
      <c r="AT68" s="2">
        <v>2012</v>
      </c>
      <c r="AU68" s="47">
        <f t="shared" si="91"/>
        <v>88562</v>
      </c>
      <c r="AV68" s="47">
        <f t="shared" si="88"/>
        <v>37498</v>
      </c>
      <c r="AW68" s="242">
        <f t="shared" si="92"/>
        <v>0.29746152625733779</v>
      </c>
      <c r="AX68" s="47">
        <f t="shared" si="93"/>
        <v>126060</v>
      </c>
      <c r="AY68" s="47">
        <f t="shared" si="94"/>
        <v>25303</v>
      </c>
      <c r="AZ68" s="242">
        <f t="shared" si="95"/>
        <v>0.16716766977398703</v>
      </c>
      <c r="BA68" s="47">
        <f t="shared" si="96"/>
        <v>151363</v>
      </c>
      <c r="BC68" s="47">
        <f t="shared" si="89"/>
        <v>358</v>
      </c>
      <c r="BD68" s="242">
        <f t="shared" si="97"/>
        <v>2.3651751088443014E-3</v>
      </c>
      <c r="BF68" s="47">
        <f t="shared" si="90"/>
        <v>24945</v>
      </c>
      <c r="BG68" s="242">
        <f t="shared" si="98"/>
        <v>0.16480249466514274</v>
      </c>
      <c r="BH68" s="242">
        <f t="shared" si="99"/>
        <v>0.24773557606548496</v>
      </c>
      <c r="EM68">
        <v>2009</v>
      </c>
      <c r="EN68">
        <v>6</v>
      </c>
      <c r="EO68">
        <v>550</v>
      </c>
      <c r="EP68">
        <v>280</v>
      </c>
      <c r="EQ68">
        <v>174</v>
      </c>
      <c r="ER68">
        <v>6950</v>
      </c>
      <c r="ES68">
        <v>7960</v>
      </c>
      <c r="ET68">
        <v>19</v>
      </c>
      <c r="EU68">
        <v>1793</v>
      </c>
      <c r="EV68">
        <v>297</v>
      </c>
      <c r="EW68">
        <v>197</v>
      </c>
      <c r="EX68">
        <v>9356</v>
      </c>
      <c r="EY68">
        <v>11662</v>
      </c>
      <c r="EZ68">
        <v>5</v>
      </c>
      <c r="FA68">
        <v>406</v>
      </c>
      <c r="FB68">
        <v>207</v>
      </c>
      <c r="FC68">
        <v>129</v>
      </c>
      <c r="FD68">
        <v>17269</v>
      </c>
      <c r="FE68">
        <v>18016</v>
      </c>
      <c r="FF68">
        <v>2.4424480628860192E-2</v>
      </c>
      <c r="FG68">
        <v>7.4146453615358083E-3</v>
      </c>
      <c r="FJ68">
        <f t="shared" si="70"/>
        <v>34075</v>
      </c>
      <c r="FZ68" s="242"/>
      <c r="GA68" s="242"/>
      <c r="GB68" s="242"/>
      <c r="GC68" s="242"/>
      <c r="GD68" s="242"/>
      <c r="GE68" s="242"/>
      <c r="GF68" s="242"/>
      <c r="GG68" s="242"/>
      <c r="GH68" s="242"/>
      <c r="GI68" s="242"/>
      <c r="GJ68" s="242"/>
    </row>
    <row r="69" spans="2:192" x14ac:dyDescent="0.25">
      <c r="B69" s="2">
        <v>2008</v>
      </c>
      <c r="C69">
        <v>520.79999999999995</v>
      </c>
      <c r="D69">
        <v>135535</v>
      </c>
      <c r="E69">
        <f t="shared" si="86"/>
        <v>135.535</v>
      </c>
      <c r="F69">
        <f t="shared" si="87"/>
        <v>385.26499999999999</v>
      </c>
      <c r="AN69" s="249">
        <v>2006</v>
      </c>
      <c r="AO69" s="252">
        <v>6188</v>
      </c>
      <c r="AP69" s="252">
        <v>1614</v>
      </c>
      <c r="AQ69" s="252">
        <v>7802</v>
      </c>
      <c r="AS69" s="47"/>
      <c r="AT69" s="2">
        <v>2013</v>
      </c>
      <c r="AU69" s="47">
        <f t="shared" si="91"/>
        <v>130193.85901027077</v>
      </c>
      <c r="AV69" s="47">
        <f t="shared" si="88"/>
        <v>77976</v>
      </c>
      <c r="AW69" s="242">
        <f t="shared" si="92"/>
        <v>0.37457872321541413</v>
      </c>
      <c r="AX69" s="47">
        <f t="shared" si="93"/>
        <v>208169.85901027077</v>
      </c>
      <c r="AY69" s="47">
        <f t="shared" si="94"/>
        <v>57897</v>
      </c>
      <c r="AZ69" s="242">
        <f t="shared" si="95"/>
        <v>0.21760320024586394</v>
      </c>
      <c r="BA69" s="47">
        <f t="shared" si="96"/>
        <v>266066.8590102708</v>
      </c>
      <c r="BC69" s="47">
        <f t="shared" si="89"/>
        <v>2793</v>
      </c>
      <c r="BD69" s="242">
        <f t="shared" si="97"/>
        <v>1.0497361491730106E-2</v>
      </c>
      <c r="BF69" s="47">
        <f t="shared" si="90"/>
        <v>55104</v>
      </c>
      <c r="BG69" s="242">
        <f t="shared" si="98"/>
        <v>0.20710583875413383</v>
      </c>
      <c r="BH69" s="242">
        <f t="shared" si="99"/>
        <v>0.29306919429973033</v>
      </c>
      <c r="EM69">
        <v>2010</v>
      </c>
      <c r="EN69">
        <v>1</v>
      </c>
      <c r="EO69">
        <v>233</v>
      </c>
      <c r="EP69">
        <v>116</v>
      </c>
      <c r="EQ69">
        <v>222</v>
      </c>
      <c r="ER69">
        <v>9052</v>
      </c>
      <c r="ES69">
        <v>9624</v>
      </c>
      <c r="ET69">
        <v>11</v>
      </c>
      <c r="EU69">
        <v>798</v>
      </c>
      <c r="EV69">
        <v>127</v>
      </c>
      <c r="EW69">
        <v>1419</v>
      </c>
      <c r="EX69">
        <v>15600</v>
      </c>
      <c r="EY69">
        <v>17955</v>
      </c>
      <c r="EZ69">
        <v>5</v>
      </c>
      <c r="FA69">
        <v>623</v>
      </c>
      <c r="FB69">
        <v>305</v>
      </c>
      <c r="FC69">
        <v>2348</v>
      </c>
      <c r="FD69">
        <v>22302</v>
      </c>
      <c r="FE69">
        <v>25583</v>
      </c>
      <c r="FF69">
        <v>2.3937890877722665E-2</v>
      </c>
      <c r="FG69">
        <v>9.5253549695740361E-2</v>
      </c>
      <c r="FJ69">
        <f t="shared" si="70"/>
        <v>50943</v>
      </c>
      <c r="FZ69" s="242"/>
      <c r="GA69" s="242"/>
      <c r="GB69" s="242"/>
      <c r="GC69" s="242"/>
      <c r="GD69" s="242"/>
      <c r="GE69" s="242"/>
      <c r="GF69" s="242"/>
      <c r="GG69" s="242"/>
      <c r="GH69" s="242"/>
      <c r="GI69" s="242"/>
      <c r="GJ69" s="242"/>
    </row>
    <row r="70" spans="2:192" x14ac:dyDescent="0.25">
      <c r="B70" s="2">
        <v>2009</v>
      </c>
      <c r="C70">
        <v>760.2</v>
      </c>
      <c r="D70">
        <v>224893</v>
      </c>
      <c r="E70">
        <f t="shared" si="86"/>
        <v>224.893</v>
      </c>
      <c r="F70">
        <f t="shared" si="87"/>
        <v>535.30700000000002</v>
      </c>
      <c r="AN70" s="249">
        <v>2007</v>
      </c>
      <c r="AO70" s="252">
        <v>6678</v>
      </c>
      <c r="AP70" s="253">
        <v>924</v>
      </c>
      <c r="AQ70" s="252">
        <v>7602</v>
      </c>
      <c r="AS70" s="47"/>
      <c r="AT70" s="2">
        <v>2014</v>
      </c>
      <c r="AU70" s="47">
        <f t="shared" si="91"/>
        <v>528507</v>
      </c>
      <c r="AV70" s="47">
        <f t="shared" si="88"/>
        <v>391718</v>
      </c>
      <c r="AW70" s="242">
        <f t="shared" si="92"/>
        <v>0.42567632915862968</v>
      </c>
      <c r="AX70" s="47">
        <f t="shared" si="93"/>
        <v>920225</v>
      </c>
      <c r="AY70" s="47">
        <f t="shared" si="94"/>
        <v>250925</v>
      </c>
      <c r="AZ70" s="242">
        <f t="shared" si="95"/>
        <v>0.21425521922896298</v>
      </c>
      <c r="BA70" s="47">
        <f t="shared" si="96"/>
        <v>1171150</v>
      </c>
      <c r="BC70" s="47">
        <f t="shared" si="89"/>
        <v>9529</v>
      </c>
      <c r="BD70" s="242">
        <f t="shared" si="97"/>
        <v>8.1364470819280197E-3</v>
      </c>
      <c r="BF70" s="47">
        <f t="shared" si="90"/>
        <v>241395.99999999997</v>
      </c>
      <c r="BG70" s="242">
        <f t="shared" si="98"/>
        <v>0.20611877214703495</v>
      </c>
      <c r="BH70" s="242">
        <f t="shared" si="99"/>
        <v>0.33447295393416726</v>
      </c>
      <c r="EM70">
        <v>2011</v>
      </c>
      <c r="EN70">
        <v>5</v>
      </c>
      <c r="EO70">
        <v>175</v>
      </c>
      <c r="EP70">
        <v>59</v>
      </c>
      <c r="EQ70">
        <v>249</v>
      </c>
      <c r="ER70">
        <v>4831</v>
      </c>
      <c r="ES70">
        <v>5319</v>
      </c>
      <c r="ET70">
        <v>27</v>
      </c>
      <c r="EU70">
        <v>987</v>
      </c>
      <c r="EV70">
        <v>129</v>
      </c>
      <c r="EW70">
        <v>971</v>
      </c>
      <c r="EX70">
        <v>14284</v>
      </c>
      <c r="EY70">
        <v>16398</v>
      </c>
      <c r="EZ70">
        <v>7</v>
      </c>
      <c r="FA70">
        <v>260</v>
      </c>
      <c r="FB70">
        <v>87</v>
      </c>
      <c r="FC70">
        <v>364</v>
      </c>
      <c r="FD70">
        <v>7067</v>
      </c>
      <c r="FE70">
        <v>7785</v>
      </c>
      <c r="FF70">
        <v>4.9015748031496061E-2</v>
      </c>
      <c r="FG70">
        <v>4.8983986004575431E-2</v>
      </c>
      <c r="FJ70">
        <f t="shared" si="70"/>
        <v>27766</v>
      </c>
      <c r="FZ70" s="242"/>
      <c r="GA70" s="242"/>
      <c r="GB70" s="242"/>
      <c r="GC70" s="242"/>
      <c r="GD70" s="242"/>
      <c r="GE70" s="242"/>
      <c r="GF70" s="242"/>
      <c r="GG70" s="242"/>
      <c r="GH70" s="242"/>
      <c r="GI70" s="242"/>
      <c r="GJ70" s="242"/>
    </row>
    <row r="71" spans="2:192" x14ac:dyDescent="0.25">
      <c r="B71" s="2">
        <v>2010</v>
      </c>
      <c r="C71">
        <v>471.3</v>
      </c>
      <c r="D71">
        <v>120915</v>
      </c>
      <c r="E71">
        <f t="shared" si="86"/>
        <v>120.91500000000001</v>
      </c>
      <c r="F71">
        <f t="shared" si="87"/>
        <v>350.38499999999999</v>
      </c>
      <c r="AN71" s="249">
        <v>2008</v>
      </c>
      <c r="AO71" s="252">
        <v>4048</v>
      </c>
      <c r="AP71" s="252">
        <v>2962</v>
      </c>
      <c r="AQ71" s="252">
        <v>7010</v>
      </c>
      <c r="AS71" s="47"/>
      <c r="AT71" s="2">
        <v>2015</v>
      </c>
      <c r="AU71" s="47">
        <f t="shared" si="91"/>
        <v>78418</v>
      </c>
      <c r="AV71" s="47">
        <f t="shared" si="88"/>
        <v>78330</v>
      </c>
      <c r="AW71" s="242">
        <f t="shared" si="92"/>
        <v>0.49971929466404674</v>
      </c>
      <c r="AX71" s="47">
        <f t="shared" si="93"/>
        <v>156748</v>
      </c>
      <c r="AY71" s="47">
        <f t="shared" si="94"/>
        <v>82154</v>
      </c>
      <c r="AZ71" s="242">
        <f t="shared" si="95"/>
        <v>0.34388159161497184</v>
      </c>
      <c r="BA71" s="47">
        <f t="shared" si="96"/>
        <v>238902</v>
      </c>
      <c r="BC71" s="47">
        <f t="shared" si="89"/>
        <v>2191</v>
      </c>
      <c r="BD71" s="242">
        <f t="shared" si="97"/>
        <v>9.1711245615356922E-3</v>
      </c>
      <c r="BF71" s="47">
        <f t="shared" si="90"/>
        <v>79963</v>
      </c>
      <c r="BG71" s="242">
        <f t="shared" si="98"/>
        <v>0.33471046705343616</v>
      </c>
      <c r="BH71" s="242">
        <f t="shared" si="99"/>
        <v>0.32787502825426323</v>
      </c>
      <c r="EM71">
        <v>2012</v>
      </c>
      <c r="EN71">
        <v>0</v>
      </c>
      <c r="EO71">
        <v>172</v>
      </c>
      <c r="EP71">
        <v>90</v>
      </c>
      <c r="EQ71">
        <v>220</v>
      </c>
      <c r="ER71">
        <v>2412</v>
      </c>
      <c r="ES71">
        <v>2894</v>
      </c>
      <c r="ET71">
        <v>3</v>
      </c>
      <c r="EU71">
        <v>548</v>
      </c>
      <c r="EV71">
        <v>107</v>
      </c>
      <c r="EW71">
        <v>585</v>
      </c>
      <c r="EX71">
        <v>4263</v>
      </c>
      <c r="EY71">
        <v>5506</v>
      </c>
      <c r="EZ71">
        <v>0</v>
      </c>
      <c r="FA71">
        <v>272</v>
      </c>
      <c r="FB71">
        <v>140</v>
      </c>
      <c r="FC71">
        <v>344</v>
      </c>
      <c r="FD71">
        <v>3784</v>
      </c>
      <c r="FE71">
        <v>4540</v>
      </c>
      <c r="FF71">
        <v>8.3586626139817627E-2</v>
      </c>
      <c r="FG71">
        <v>8.3333333333333329E-2</v>
      </c>
      <c r="FJ71">
        <f t="shared" si="70"/>
        <v>11608</v>
      </c>
      <c r="FZ71" s="242"/>
      <c r="GA71" s="242"/>
      <c r="GB71" s="242"/>
      <c r="GC71" s="242"/>
      <c r="GD71" s="242"/>
      <c r="GE71" s="242"/>
      <c r="GF71" s="242"/>
      <c r="GG71" s="242"/>
      <c r="GH71" s="242"/>
      <c r="GI71" s="242"/>
      <c r="GJ71" s="242"/>
    </row>
    <row r="72" spans="2:192" x14ac:dyDescent="0.25">
      <c r="B72" s="2">
        <v>2011</v>
      </c>
      <c r="C72">
        <v>376.5</v>
      </c>
      <c r="D72">
        <v>145299</v>
      </c>
      <c r="E72">
        <f t="shared" si="86"/>
        <v>145.29900000000001</v>
      </c>
      <c r="F72">
        <f t="shared" si="87"/>
        <v>231.20099999999999</v>
      </c>
      <c r="AN72" s="249">
        <v>2009</v>
      </c>
      <c r="AO72" s="252">
        <v>25298</v>
      </c>
      <c r="AP72" s="252">
        <v>2094</v>
      </c>
      <c r="AQ72" s="252">
        <v>27392</v>
      </c>
      <c r="AS72" s="47"/>
      <c r="AT72" s="2">
        <v>2016</v>
      </c>
      <c r="AU72" s="47">
        <f t="shared" si="91"/>
        <v>119805</v>
      </c>
      <c r="AV72" s="47">
        <f t="shared" si="88"/>
        <v>59274</v>
      </c>
      <c r="AW72" s="242">
        <f t="shared" si="92"/>
        <v>0.33099358383730088</v>
      </c>
      <c r="AX72" s="47">
        <f t="shared" si="93"/>
        <v>179079</v>
      </c>
      <c r="AY72" s="47">
        <f t="shared" si="94"/>
        <v>29935</v>
      </c>
      <c r="AZ72" s="242">
        <f t="shared" si="95"/>
        <v>0.14322007138277817</v>
      </c>
      <c r="BA72" s="47">
        <f t="shared" si="96"/>
        <v>209014</v>
      </c>
      <c r="BC72" s="47">
        <f t="shared" si="89"/>
        <v>1437</v>
      </c>
      <c r="BD72" s="242">
        <f t="shared" si="97"/>
        <v>6.8751375505946974E-3</v>
      </c>
      <c r="BF72" s="47">
        <f t="shared" si="90"/>
        <v>28498</v>
      </c>
      <c r="BG72" s="242">
        <f t="shared" si="98"/>
        <v>0.13634493383218349</v>
      </c>
      <c r="BH72" s="242">
        <f t="shared" si="99"/>
        <v>0.28358865913288106</v>
      </c>
      <c r="EM72">
        <v>2013</v>
      </c>
      <c r="EN72">
        <v>14</v>
      </c>
      <c r="EO72">
        <v>612</v>
      </c>
      <c r="EP72">
        <v>277</v>
      </c>
      <c r="EQ72">
        <v>103</v>
      </c>
      <c r="ER72">
        <v>9575</v>
      </c>
      <c r="ES72">
        <v>10581</v>
      </c>
      <c r="ET72">
        <v>32</v>
      </c>
      <c r="EU72">
        <v>2020</v>
      </c>
      <c r="EV72">
        <v>310</v>
      </c>
      <c r="EW72">
        <v>63</v>
      </c>
      <c r="EX72">
        <v>18143</v>
      </c>
      <c r="EY72">
        <v>20568</v>
      </c>
      <c r="EZ72">
        <v>6</v>
      </c>
      <c r="FA72">
        <v>325</v>
      </c>
      <c r="FB72">
        <v>150</v>
      </c>
      <c r="FC72">
        <v>55</v>
      </c>
      <c r="FD72">
        <v>5117</v>
      </c>
      <c r="FE72">
        <v>5653</v>
      </c>
      <c r="FF72">
        <v>1.0642694771647034E-2</v>
      </c>
      <c r="FG72">
        <v>1.0634184068058779E-2</v>
      </c>
      <c r="FJ72">
        <f t="shared" si="70"/>
        <v>33056</v>
      </c>
      <c r="FZ72" s="242"/>
      <c r="GA72" s="242"/>
      <c r="GB72" s="242"/>
      <c r="GC72" s="242"/>
      <c r="GD72" s="242"/>
      <c r="GE72" s="242"/>
      <c r="GF72" s="242"/>
      <c r="GG72" s="242"/>
      <c r="GH72" s="242"/>
      <c r="GI72" s="242"/>
      <c r="GJ72" s="242"/>
    </row>
    <row r="73" spans="2:192" x14ac:dyDescent="0.25">
      <c r="B73" s="2">
        <v>2012</v>
      </c>
      <c r="C73">
        <v>143.9</v>
      </c>
      <c r="D73">
        <v>54968</v>
      </c>
      <c r="E73">
        <f t="shared" si="86"/>
        <v>54.968000000000004</v>
      </c>
      <c r="F73">
        <f t="shared" si="87"/>
        <v>88.932000000000002</v>
      </c>
      <c r="AN73" s="254">
        <v>2010</v>
      </c>
      <c r="AO73" s="255">
        <v>20021</v>
      </c>
      <c r="AP73" s="255">
        <v>1987</v>
      </c>
      <c r="AQ73" s="255">
        <v>22008</v>
      </c>
      <c r="AS73" s="47"/>
      <c r="AT73" s="2">
        <v>2017</v>
      </c>
      <c r="AU73" s="47">
        <f t="shared" si="91"/>
        <v>129506</v>
      </c>
      <c r="AV73" s="47">
        <f t="shared" si="88"/>
        <v>73966</v>
      </c>
      <c r="AW73" s="242">
        <f t="shared" si="92"/>
        <v>0.36351930486750017</v>
      </c>
      <c r="AX73" s="47">
        <f t="shared" si="93"/>
        <v>203472</v>
      </c>
      <c r="AY73" s="47">
        <f t="shared" si="94"/>
        <v>48604</v>
      </c>
      <c r="AZ73" s="242">
        <f t="shared" si="95"/>
        <v>0.19281486535806661</v>
      </c>
      <c r="BA73" s="47">
        <f t="shared" si="96"/>
        <v>252076</v>
      </c>
      <c r="BC73" s="47">
        <f t="shared" si="89"/>
        <v>2176</v>
      </c>
      <c r="BD73" s="242">
        <f t="shared" si="97"/>
        <v>8.6323172376584836E-3</v>
      </c>
      <c r="BF73" s="47">
        <f t="shared" si="90"/>
        <v>46428</v>
      </c>
      <c r="BG73" s="242">
        <f t="shared" si="98"/>
        <v>0.18418254812040813</v>
      </c>
      <c r="BH73" s="242">
        <f t="shared" si="99"/>
        <v>0.29342737904441518</v>
      </c>
      <c r="EM73">
        <v>2014</v>
      </c>
      <c r="EN73">
        <v>30</v>
      </c>
      <c r="EO73">
        <v>2133</v>
      </c>
      <c r="EP73">
        <v>1049</v>
      </c>
      <c r="EQ73">
        <v>2109</v>
      </c>
      <c r="ER73">
        <v>23758</v>
      </c>
      <c r="ES73">
        <v>29079</v>
      </c>
      <c r="ET73">
        <v>67</v>
      </c>
      <c r="EU73">
        <v>5112</v>
      </c>
      <c r="EV73">
        <v>1322</v>
      </c>
      <c r="EW73">
        <v>5845</v>
      </c>
      <c r="EX73">
        <v>43744</v>
      </c>
      <c r="EY73">
        <v>56090</v>
      </c>
      <c r="EZ73">
        <v>21</v>
      </c>
      <c r="FA73">
        <v>1727</v>
      </c>
      <c r="FB73">
        <v>847</v>
      </c>
      <c r="FC73">
        <v>1730</v>
      </c>
      <c r="FD73">
        <v>19217</v>
      </c>
      <c r="FE73">
        <v>23542</v>
      </c>
      <c r="FF73">
        <v>8.1532454478679392E-2</v>
      </c>
      <c r="FG73">
        <v>8.2589392275743537E-2</v>
      </c>
      <c r="FJ73">
        <f t="shared" si="70"/>
        <v>96403</v>
      </c>
      <c r="FZ73" s="242"/>
      <c r="GA73" s="242"/>
      <c r="GB73" s="242"/>
      <c r="GC73" s="242"/>
      <c r="GD73" s="242"/>
      <c r="GE73" s="242"/>
      <c r="GF73" s="242"/>
      <c r="GG73" s="242"/>
      <c r="GH73" s="242"/>
      <c r="GI73" s="242"/>
      <c r="GJ73" s="242"/>
    </row>
    <row r="74" spans="2:192" x14ac:dyDescent="0.25">
      <c r="B74" s="2">
        <v>2013</v>
      </c>
      <c r="C74">
        <v>241</v>
      </c>
      <c r="D74">
        <v>59610</v>
      </c>
      <c r="E74">
        <f t="shared" si="86"/>
        <v>59.61</v>
      </c>
      <c r="F74">
        <f t="shared" si="87"/>
        <v>181.39</v>
      </c>
      <c r="AN74" s="257">
        <v>2011</v>
      </c>
      <c r="AO74" s="250">
        <v>3393</v>
      </c>
      <c r="AP74" s="250">
        <v>1969</v>
      </c>
      <c r="AQ74" s="250">
        <v>5362</v>
      </c>
      <c r="AS74" s="47"/>
      <c r="EM74">
        <v>2015</v>
      </c>
      <c r="EN74">
        <v>9</v>
      </c>
      <c r="EO74">
        <v>608</v>
      </c>
      <c r="EP74">
        <v>247</v>
      </c>
      <c r="EQ74">
        <v>593</v>
      </c>
      <c r="ER74">
        <v>4475</v>
      </c>
      <c r="ES74">
        <v>5932</v>
      </c>
      <c r="ET74">
        <v>26</v>
      </c>
      <c r="EU74">
        <v>1928</v>
      </c>
      <c r="EV74">
        <v>257</v>
      </c>
      <c r="EW74">
        <v>720</v>
      </c>
      <c r="EX74">
        <v>8427</v>
      </c>
      <c r="EY74">
        <v>11358</v>
      </c>
      <c r="EZ74">
        <v>5</v>
      </c>
      <c r="FA74">
        <v>372</v>
      </c>
      <c r="FB74">
        <v>151</v>
      </c>
      <c r="FC74">
        <v>360</v>
      </c>
      <c r="FD74">
        <v>2721</v>
      </c>
      <c r="FE74">
        <v>3609</v>
      </c>
      <c r="FF74">
        <v>0.117008681925809</v>
      </c>
      <c r="FG74">
        <v>0.11684518013631938</v>
      </c>
      <c r="FJ74">
        <f t="shared" si="70"/>
        <v>17296</v>
      </c>
      <c r="FZ74" s="242"/>
      <c r="GA74" s="242"/>
      <c r="GB74" s="242"/>
      <c r="GC74" s="242"/>
      <c r="GD74" s="242"/>
      <c r="GE74" s="242"/>
      <c r="GF74" s="242"/>
      <c r="GG74" s="242"/>
      <c r="GH74" s="242"/>
      <c r="GI74" s="242"/>
      <c r="GJ74" s="242"/>
    </row>
    <row r="75" spans="2:192" ht="15" customHeight="1" x14ac:dyDescent="0.25">
      <c r="B75" s="2">
        <v>2014</v>
      </c>
      <c r="C75">
        <v>970</v>
      </c>
      <c r="D75">
        <v>279717</v>
      </c>
      <c r="E75">
        <f t="shared" si="86"/>
        <v>279.71699999999998</v>
      </c>
      <c r="F75">
        <f t="shared" si="87"/>
        <v>690.28300000000002</v>
      </c>
      <c r="AN75" s="249">
        <v>2012</v>
      </c>
      <c r="AO75" s="252">
        <v>6571</v>
      </c>
      <c r="AP75" s="252">
        <v>6370</v>
      </c>
      <c r="AQ75" s="252">
        <v>12941</v>
      </c>
      <c r="AS75" s="47"/>
      <c r="AT75" s="462" t="s">
        <v>1038</v>
      </c>
      <c r="AU75" s="421">
        <f>AVERAGE(AU64:AU74)</f>
        <v>241663.88590102707</v>
      </c>
      <c r="AV75" s="421">
        <f>AVERAGE(AV64:AV73)</f>
        <v>132460</v>
      </c>
      <c r="AW75" s="482">
        <f>AVERAGE(AW64:AW73)</f>
        <v>0.35415215157355462</v>
      </c>
      <c r="AX75" s="421">
        <f>AVERAGE(AX64:AX73)</f>
        <v>374123.88590102707</v>
      </c>
      <c r="AY75" s="421">
        <f>AVERAGE(AY64:AY73)</f>
        <v>92689.4</v>
      </c>
      <c r="AZ75" s="242">
        <f>AVERAGE(AZ64:AZ73)</f>
        <v>0.19110885048310686</v>
      </c>
      <c r="BA75" s="421">
        <f>AVERAGE(BA64:BA74)</f>
        <v>466813.28590102709</v>
      </c>
      <c r="BB75" s="462"/>
      <c r="BC75" s="421">
        <f>AVERAGE(BC64:BC73)</f>
        <v>3369.7</v>
      </c>
      <c r="BD75" s="463">
        <f>AVERAGE(BD64:BD73)</f>
        <v>7.2151698879432125E-3</v>
      </c>
      <c r="BE75" s="25"/>
      <c r="BF75" s="421">
        <f>AVERAGE(BF64:BF73)</f>
        <v>89319.7</v>
      </c>
      <c r="BG75" s="463">
        <f>AVERAGE(BG64:BG73)</f>
        <v>0.18389368059516364</v>
      </c>
      <c r="BH75" s="463">
        <f>AVERAGE(BH64:BH73)</f>
        <v>0.28275090013646037</v>
      </c>
      <c r="BP75" s="312"/>
      <c r="EM75">
        <v>2016</v>
      </c>
      <c r="EN75">
        <v>8</v>
      </c>
      <c r="EO75">
        <v>263</v>
      </c>
      <c r="EP75">
        <v>123</v>
      </c>
      <c r="EQ75">
        <v>237</v>
      </c>
      <c r="ER75">
        <v>6293</v>
      </c>
      <c r="ES75">
        <v>6924</v>
      </c>
      <c r="ET75">
        <v>35</v>
      </c>
      <c r="EU75">
        <v>982</v>
      </c>
      <c r="EV75">
        <v>167</v>
      </c>
      <c r="EW75">
        <v>211</v>
      </c>
      <c r="EX75">
        <v>12233</v>
      </c>
      <c r="EY75">
        <v>13628</v>
      </c>
      <c r="EZ75">
        <v>6</v>
      </c>
      <c r="FA75">
        <v>172</v>
      </c>
      <c r="FB75">
        <v>80</v>
      </c>
      <c r="FC75">
        <v>156</v>
      </c>
      <c r="FD75">
        <v>4122</v>
      </c>
      <c r="FE75">
        <v>4536</v>
      </c>
      <c r="FF75">
        <v>3.6294027565084229E-2</v>
      </c>
      <c r="FG75">
        <v>3.6465638148667601E-2</v>
      </c>
      <c r="FJ75">
        <f t="shared" si="70"/>
        <v>23252</v>
      </c>
      <c r="FZ75" s="242"/>
      <c r="GA75" s="242"/>
      <c r="GB75" s="242"/>
      <c r="GC75" s="242"/>
      <c r="GD75" s="242"/>
      <c r="GE75" s="242"/>
      <c r="GF75" s="242"/>
      <c r="GG75" s="242"/>
      <c r="GH75" s="242"/>
      <c r="GI75" s="242"/>
      <c r="GJ75" s="242"/>
    </row>
    <row r="76" spans="2:192" ht="15" customHeight="1" x14ac:dyDescent="0.25">
      <c r="B76" s="2">
        <v>2015</v>
      </c>
      <c r="C76">
        <v>171.4</v>
      </c>
      <c r="D76">
        <v>37402</v>
      </c>
      <c r="E76">
        <f t="shared" si="86"/>
        <v>37.402000000000001</v>
      </c>
      <c r="F76">
        <f t="shared" si="87"/>
        <v>133.99799999999999</v>
      </c>
      <c r="AN76" s="249">
        <v>2013</v>
      </c>
      <c r="AO76" s="252">
        <v>18627</v>
      </c>
      <c r="AP76" s="252">
        <v>4111</v>
      </c>
      <c r="AQ76" s="252">
        <v>22738</v>
      </c>
      <c r="AS76" s="47"/>
      <c r="AT76" s="738" t="s">
        <v>1125</v>
      </c>
      <c r="AU76" s="738"/>
      <c r="AV76" s="738"/>
      <c r="AW76" s="738"/>
      <c r="AX76" s="738"/>
      <c r="AY76" s="738"/>
      <c r="AZ76" s="738"/>
      <c r="BA76" s="738"/>
      <c r="BB76" s="656"/>
      <c r="BC76" s="656"/>
      <c r="EM76">
        <v>2017</v>
      </c>
      <c r="EN76">
        <v>6</v>
      </c>
      <c r="EO76">
        <v>260</v>
      </c>
      <c r="EP76">
        <v>175</v>
      </c>
      <c r="EQ76">
        <v>246</v>
      </c>
      <c r="ER76">
        <v>6330</v>
      </c>
      <c r="ES76">
        <v>7017</v>
      </c>
      <c r="ET76">
        <v>20</v>
      </c>
      <c r="EU76">
        <v>893</v>
      </c>
      <c r="EV76">
        <v>244</v>
      </c>
      <c r="EW76">
        <v>199</v>
      </c>
      <c r="EX76">
        <v>12020</v>
      </c>
      <c r="EY76">
        <v>13376</v>
      </c>
      <c r="EZ76">
        <v>11</v>
      </c>
      <c r="FA76">
        <v>399</v>
      </c>
      <c r="FB76">
        <v>270</v>
      </c>
      <c r="FC76">
        <v>381</v>
      </c>
      <c r="FD76">
        <v>9768</v>
      </c>
      <c r="FE76">
        <v>10829</v>
      </c>
      <c r="FF76">
        <v>3.7408759124087594E-2</v>
      </c>
      <c r="FG76">
        <v>3.75406443984629E-2</v>
      </c>
      <c r="FJ76">
        <f>FD76+FC76+EX76+EW76++ER76+EQ76</f>
        <v>28944</v>
      </c>
      <c r="FZ76" s="242"/>
      <c r="GA76" s="242"/>
      <c r="GB76" s="242"/>
      <c r="GC76" s="242"/>
      <c r="GD76" s="242"/>
      <c r="GE76" s="242"/>
      <c r="GF76" s="242"/>
      <c r="GG76" s="242"/>
      <c r="GH76" s="242"/>
      <c r="GI76" s="242"/>
      <c r="GJ76" s="242"/>
    </row>
    <row r="77" spans="2:192" ht="15.75" thickBot="1" x14ac:dyDescent="0.3">
      <c r="B77" s="2">
        <v>2016</v>
      </c>
      <c r="C77">
        <v>196.3</v>
      </c>
      <c r="D77">
        <v>42020</v>
      </c>
      <c r="E77">
        <f t="shared" si="86"/>
        <v>42.02</v>
      </c>
      <c r="F77">
        <f t="shared" si="87"/>
        <v>154.28</v>
      </c>
      <c r="AN77" s="249">
        <v>2014</v>
      </c>
      <c r="AO77" s="252">
        <v>18062</v>
      </c>
      <c r="AP77" s="252">
        <v>3379</v>
      </c>
      <c r="AQ77" s="252">
        <v>21441</v>
      </c>
      <c r="FZ77" s="242"/>
      <c r="GA77" s="242"/>
      <c r="GB77" s="242"/>
      <c r="GC77" s="242"/>
      <c r="GD77" s="242"/>
      <c r="GE77" s="242"/>
      <c r="GF77" s="242"/>
      <c r="GG77" s="242"/>
      <c r="GH77" s="242"/>
      <c r="GI77" s="242"/>
      <c r="GJ77" s="242"/>
    </row>
    <row r="78" spans="2:192" ht="18.75" thickBot="1" x14ac:dyDescent="0.3">
      <c r="B78" s="2">
        <v>2017</v>
      </c>
      <c r="D78">
        <v>75936</v>
      </c>
      <c r="E78">
        <f t="shared" si="86"/>
        <v>75.936000000000007</v>
      </c>
      <c r="F78">
        <f t="shared" si="87"/>
        <v>-75.936000000000007</v>
      </c>
      <c r="AN78" s="249">
        <v>2015</v>
      </c>
      <c r="AO78" s="252">
        <v>2650</v>
      </c>
      <c r="AP78" s="253">
        <v>923</v>
      </c>
      <c r="AQ78" s="252">
        <v>3573</v>
      </c>
      <c r="EM78" s="373" t="s">
        <v>717</v>
      </c>
      <c r="EN78" s="702" t="s">
        <v>706</v>
      </c>
      <c r="EO78" s="703"/>
      <c r="EP78" s="703"/>
      <c r="EQ78" s="703"/>
      <c r="ER78" s="703"/>
      <c r="ES78" s="703"/>
      <c r="ET78" s="703"/>
      <c r="EU78" s="703"/>
      <c r="EV78" s="703"/>
      <c r="EW78" s="703"/>
      <c r="EX78" s="703"/>
      <c r="EY78" s="703"/>
      <c r="EZ78" s="703"/>
      <c r="FA78" s="703"/>
      <c r="FB78" s="703"/>
      <c r="FC78" s="703"/>
      <c r="FD78" s="703"/>
      <c r="FE78" s="704"/>
      <c r="FF78" s="390"/>
      <c r="FG78" s="374"/>
      <c r="FZ78" s="242"/>
      <c r="GA78" s="242"/>
      <c r="GB78" s="242"/>
      <c r="GC78" s="242"/>
      <c r="GD78" s="242"/>
      <c r="GE78" s="242"/>
      <c r="GF78" s="242"/>
      <c r="GG78" s="242"/>
      <c r="GH78" s="242"/>
      <c r="GI78" s="242"/>
      <c r="GJ78" s="242"/>
    </row>
    <row r="79" spans="2:192" ht="15.75" customHeight="1" thickBot="1" x14ac:dyDescent="0.3">
      <c r="B79" s="2"/>
      <c r="AN79" s="249">
        <v>2016</v>
      </c>
      <c r="AO79" s="252">
        <v>2559</v>
      </c>
      <c r="AP79" s="252">
        <v>1991</v>
      </c>
      <c r="AQ79" s="252">
        <v>4550</v>
      </c>
      <c r="AT79" s="489"/>
      <c r="AU79" s="489"/>
      <c r="AV79" s="489"/>
      <c r="AW79" s="489"/>
      <c r="AX79" s="489"/>
      <c r="AY79" s="489"/>
      <c r="AZ79" s="489"/>
      <c r="BA79" s="489"/>
      <c r="BB79" s="489"/>
      <c r="BC79" s="489"/>
      <c r="BD79" s="489"/>
      <c r="BE79" s="489"/>
      <c r="BF79" s="489"/>
      <c r="BG79" s="489"/>
      <c r="BH79" s="489"/>
      <c r="BI79" s="489"/>
      <c r="BJ79" s="489"/>
      <c r="BK79" s="489"/>
      <c r="BL79" s="489"/>
      <c r="BM79" s="489"/>
      <c r="BN79" s="489"/>
      <c r="BO79" s="489"/>
      <c r="BP79" s="489"/>
      <c r="BQ79" s="489"/>
      <c r="BR79" s="489"/>
      <c r="BS79" s="489"/>
      <c r="BT79" s="489"/>
      <c r="BU79" s="489"/>
      <c r="BV79" s="489"/>
      <c r="BW79" s="489"/>
      <c r="BX79" s="489"/>
      <c r="BY79" s="489"/>
      <c r="BZ79" s="489"/>
      <c r="CA79" s="489"/>
      <c r="CB79" s="489"/>
      <c r="EM79" s="384" t="s">
        <v>707</v>
      </c>
      <c r="EN79" s="705" t="s">
        <v>718</v>
      </c>
      <c r="EO79" s="706"/>
      <c r="EP79" s="706"/>
      <c r="EQ79" s="706"/>
      <c r="ER79" s="706"/>
      <c r="ES79" s="706"/>
      <c r="ET79" s="705"/>
      <c r="EU79" s="706"/>
      <c r="EV79" s="706"/>
      <c r="EW79" s="706"/>
      <c r="EX79" s="706"/>
      <c r="EY79" s="706"/>
      <c r="EZ79" s="705"/>
      <c r="FA79" s="706"/>
      <c r="FB79" s="706"/>
      <c r="FC79" s="706"/>
      <c r="FD79" s="706"/>
      <c r="FE79" s="707"/>
      <c r="FF79" s="389"/>
      <c r="FG79" s="389"/>
      <c r="FZ79" s="242"/>
      <c r="GA79" s="242"/>
      <c r="GB79" s="242"/>
      <c r="GC79" s="242"/>
      <c r="GD79" s="242"/>
      <c r="GE79" s="242"/>
      <c r="GF79" s="242"/>
      <c r="GG79" s="242"/>
      <c r="GH79" s="242"/>
      <c r="GI79" s="242"/>
      <c r="GJ79" s="242"/>
    </row>
    <row r="80" spans="2:192" ht="15.75" customHeight="1" thickBot="1" x14ac:dyDescent="0.3">
      <c r="C80">
        <f>AVERAGE(C31:C77)</f>
        <v>455.33617021276609</v>
      </c>
      <c r="AN80" s="254">
        <v>2017</v>
      </c>
      <c r="AO80" s="255">
        <v>3041</v>
      </c>
      <c r="AP80" s="255">
        <v>2680</v>
      </c>
      <c r="AQ80" s="255">
        <v>5721</v>
      </c>
      <c r="AT80" s="754" t="s">
        <v>1106</v>
      </c>
      <c r="AU80" s="755"/>
      <c r="AV80" s="755"/>
      <c r="AW80" s="755"/>
      <c r="AX80" s="755"/>
      <c r="AY80" s="755"/>
      <c r="AZ80" s="755"/>
      <c r="BA80" s="755"/>
      <c r="BB80" s="755"/>
      <c r="BC80" s="755"/>
      <c r="BD80" s="755"/>
      <c r="BE80" s="755"/>
      <c r="BF80" s="755"/>
      <c r="BG80" s="755"/>
      <c r="BH80" s="755"/>
      <c r="BI80" s="755"/>
      <c r="BJ80" s="755"/>
      <c r="BK80" s="755"/>
      <c r="BL80" s="755"/>
      <c r="BM80" s="755"/>
      <c r="BN80" s="755"/>
      <c r="BO80" s="755"/>
      <c r="BP80" s="755"/>
      <c r="BQ80" s="755"/>
      <c r="BR80" s="755"/>
      <c r="BS80" s="755"/>
      <c r="BT80" s="756"/>
      <c r="EM80" s="386" t="s">
        <v>387</v>
      </c>
      <c r="EN80" s="382" t="s">
        <v>679</v>
      </c>
      <c r="EO80" s="387" t="s">
        <v>680</v>
      </c>
      <c r="EP80" s="387" t="s">
        <v>681</v>
      </c>
      <c r="EQ80" s="387" t="s">
        <v>710</v>
      </c>
      <c r="ER80" s="387" t="s">
        <v>711</v>
      </c>
      <c r="ES80" s="387" t="s">
        <v>10</v>
      </c>
      <c r="ET80" s="382"/>
      <c r="EU80" s="387"/>
      <c r="EV80" s="387"/>
      <c r="EW80" s="387"/>
      <c r="EX80" s="387"/>
      <c r="EY80" s="387"/>
      <c r="EZ80" s="382"/>
      <c r="FA80" s="387"/>
      <c r="FB80" s="387"/>
      <c r="FC80" s="387"/>
      <c r="FD80" s="387"/>
      <c r="FE80" s="383"/>
      <c r="FF80" s="381"/>
      <c r="FG80" s="381"/>
      <c r="FZ80" s="242"/>
      <c r="GA80" s="242"/>
      <c r="GB80" s="242"/>
      <c r="GC80" s="242"/>
      <c r="GD80" s="242"/>
      <c r="GE80" s="242"/>
      <c r="GF80" s="242"/>
      <c r="GG80" s="242"/>
      <c r="GH80" s="242"/>
      <c r="GI80" s="242"/>
      <c r="GJ80" s="242"/>
    </row>
    <row r="81" spans="3:192" ht="15" customHeight="1" x14ac:dyDescent="0.25">
      <c r="AT81" s="1"/>
      <c r="AU81" s="654" t="s">
        <v>1110</v>
      </c>
      <c r="AV81" s="654"/>
      <c r="AW81" s="654"/>
      <c r="AX81" s="1"/>
      <c r="AY81" s="1"/>
      <c r="AZ81" s="1"/>
      <c r="BA81" s="641" t="s">
        <v>1112</v>
      </c>
      <c r="BB81" s="641"/>
      <c r="BC81" s="641"/>
      <c r="BF81" s="641" t="s">
        <v>448</v>
      </c>
      <c r="BG81" s="641"/>
      <c r="BH81" s="641"/>
      <c r="BJ81" s="641" t="s">
        <v>1139</v>
      </c>
      <c r="BK81" s="641"/>
      <c r="BL81" s="641"/>
      <c r="BN81" s="641" t="s">
        <v>1140</v>
      </c>
      <c r="BO81" s="641"/>
      <c r="BP81" s="641"/>
      <c r="BR81" s="641" t="s">
        <v>1145</v>
      </c>
      <c r="BS81" s="641"/>
      <c r="BT81" s="641"/>
      <c r="BZ81" s="716"/>
      <c r="CA81" s="716"/>
      <c r="CB81" s="716"/>
      <c r="EM81">
        <v>1986</v>
      </c>
      <c r="EN81">
        <v>45770</v>
      </c>
      <c r="EO81">
        <v>195026</v>
      </c>
      <c r="EP81">
        <v>133280</v>
      </c>
      <c r="EQ81">
        <v>618872</v>
      </c>
      <c r="ER81">
        <v>135828</v>
      </c>
      <c r="ES81">
        <v>1128776</v>
      </c>
      <c r="FZ81" s="242"/>
      <c r="GA81" s="242"/>
      <c r="GB81" s="242"/>
      <c r="GC81" s="242"/>
      <c r="GD81" s="242"/>
      <c r="GE81" s="242"/>
      <c r="GF81" s="242"/>
      <c r="GG81" s="242"/>
      <c r="GH81" s="242"/>
      <c r="GI81" s="242"/>
      <c r="GJ81" s="242"/>
    </row>
    <row r="82" spans="3:192" x14ac:dyDescent="0.25">
      <c r="C82">
        <f>AVERAGE(C68:C77)</f>
        <v>420.04000000000008</v>
      </c>
      <c r="AO82" s="259">
        <f>AVERAGE(AO71:AO80)</f>
        <v>10427</v>
      </c>
      <c r="AU82" s="224" t="s">
        <v>44</v>
      </c>
      <c r="AV82" s="224" t="s">
        <v>1107</v>
      </c>
      <c r="AW82" s="224" t="s">
        <v>10</v>
      </c>
      <c r="AX82" s="224" t="s">
        <v>298</v>
      </c>
      <c r="AY82" s="641" t="s">
        <v>1111</v>
      </c>
      <c r="AZ82" s="641"/>
      <c r="BB82" s="224" t="s">
        <v>1114</v>
      </c>
      <c r="BD82" s="641" t="s">
        <v>1111</v>
      </c>
      <c r="BE82" s="641"/>
      <c r="BG82" s="224" t="s">
        <v>1114</v>
      </c>
      <c r="BK82" s="224" t="s">
        <v>1114</v>
      </c>
      <c r="BO82" s="224" t="s">
        <v>1114</v>
      </c>
      <c r="BS82" s="224" t="s">
        <v>1114</v>
      </c>
      <c r="CA82" s="224"/>
      <c r="EM82">
        <v>1987</v>
      </c>
      <c r="EN82">
        <v>9257</v>
      </c>
      <c r="EO82">
        <v>59083</v>
      </c>
      <c r="EP82">
        <v>32802</v>
      </c>
      <c r="EQ82">
        <v>76630</v>
      </c>
      <c r="ER82">
        <v>36468</v>
      </c>
      <c r="ES82">
        <v>214240</v>
      </c>
      <c r="FZ82" s="242"/>
      <c r="GA82" s="242"/>
      <c r="GB82" s="242"/>
      <c r="GC82" s="242"/>
      <c r="GD82" s="242"/>
      <c r="GE82" s="242"/>
      <c r="GF82" s="242"/>
      <c r="GG82" s="242"/>
      <c r="GH82" s="242"/>
      <c r="GI82" s="242"/>
      <c r="GJ82" s="242"/>
    </row>
    <row r="83" spans="3:192" ht="15.75" customHeight="1" x14ac:dyDescent="0.25">
      <c r="AO83" s="259">
        <f>GEOMEAN(AO71:AO80)</f>
        <v>7081.5269406586249</v>
      </c>
      <c r="AT83" s="408" t="s">
        <v>387</v>
      </c>
      <c r="AU83" s="337" t="s">
        <v>46</v>
      </c>
      <c r="AV83" s="337" t="s">
        <v>317</v>
      </c>
      <c r="AW83" s="337" t="s">
        <v>1108</v>
      </c>
      <c r="AX83" s="337" t="s">
        <v>1109</v>
      </c>
      <c r="AY83" s="337" t="s">
        <v>344</v>
      </c>
      <c r="AZ83" s="337" t="s">
        <v>274</v>
      </c>
      <c r="BA83" s="337" t="s">
        <v>10</v>
      </c>
      <c r="BB83" s="337" t="s">
        <v>1036</v>
      </c>
      <c r="BC83" s="337" t="s">
        <v>274</v>
      </c>
      <c r="BD83" s="337" t="s">
        <v>344</v>
      </c>
      <c r="BE83" s="337" t="s">
        <v>274</v>
      </c>
      <c r="BF83" s="337" t="s">
        <v>10</v>
      </c>
      <c r="BG83" s="337" t="s">
        <v>1036</v>
      </c>
      <c r="BH83" s="337" t="s">
        <v>274</v>
      </c>
      <c r="BI83" s="224"/>
      <c r="BJ83" s="337" t="s">
        <v>10</v>
      </c>
      <c r="BK83" s="337" t="s">
        <v>1036</v>
      </c>
      <c r="BL83" s="337" t="s">
        <v>274</v>
      </c>
      <c r="BM83" s="25"/>
      <c r="BN83" s="337" t="s">
        <v>10</v>
      </c>
      <c r="BO83" s="337" t="s">
        <v>1036</v>
      </c>
      <c r="BP83" s="337" t="s">
        <v>274</v>
      </c>
      <c r="BQ83" s="25"/>
      <c r="BR83" s="337" t="s">
        <v>10</v>
      </c>
      <c r="BS83" s="337" t="s">
        <v>1036</v>
      </c>
      <c r="BT83" s="337" t="s">
        <v>274</v>
      </c>
      <c r="BZ83" s="224"/>
      <c r="CA83" s="224"/>
      <c r="CB83" s="224"/>
      <c r="EM83">
        <v>1988</v>
      </c>
      <c r="EN83">
        <v>20261</v>
      </c>
      <c r="EO83">
        <v>44504</v>
      </c>
      <c r="EP83">
        <v>215161</v>
      </c>
      <c r="EQ83">
        <v>310812</v>
      </c>
      <c r="ER83">
        <v>70714</v>
      </c>
      <c r="ES83">
        <v>661452</v>
      </c>
    </row>
    <row r="84" spans="3:192" x14ac:dyDescent="0.25">
      <c r="AT84" s="2">
        <v>2008</v>
      </c>
      <c r="AU84" s="47">
        <f>AU28-CI8</f>
        <v>240793</v>
      </c>
      <c r="AV84" s="47">
        <f t="shared" ref="AV84:AV93" si="100">DI8+DJ8+EA8</f>
        <v>40781</v>
      </c>
      <c r="AW84" s="47">
        <f>AU84+AV84</f>
        <v>281574</v>
      </c>
      <c r="AX84" s="47">
        <f t="shared" ref="AX84:AX93" si="101">AU45</f>
        <v>135532</v>
      </c>
      <c r="AY84" s="483">
        <f>AW84/(AW84+AX84)</f>
        <v>0.6750658106092936</v>
      </c>
      <c r="AZ84" s="483">
        <f>AX84/(AX84+AW84)</f>
        <v>0.32493418939070645</v>
      </c>
      <c r="BA84" s="47">
        <f t="shared" ref="BA84:BA93" si="102">DE8+DF8+DW8+DX8</f>
        <v>10821</v>
      </c>
      <c r="BB84" s="47">
        <f>BA84*AY84</f>
        <v>7304.8871366031663</v>
      </c>
      <c r="BC84" s="47">
        <f>BA84*AZ84</f>
        <v>3516.1128633968347</v>
      </c>
      <c r="BD84" s="483">
        <f t="shared" ref="BD84:BD93" si="103">BB28/AX64</f>
        <v>0.71530220172684855</v>
      </c>
      <c r="BE84" s="483">
        <f>BD45/AX64</f>
        <v>0.28469779827315145</v>
      </c>
      <c r="BF84" s="47">
        <f>FM32</f>
        <v>41581</v>
      </c>
      <c r="BG84" s="47">
        <f>BF84*BD84</f>
        <v>29742.980850004089</v>
      </c>
      <c r="BH84" s="47">
        <f>BF84*BE84</f>
        <v>11838.019149995911</v>
      </c>
      <c r="BI84" s="242"/>
      <c r="BJ84" s="242">
        <f>AZ64</f>
        <v>7.84566413893171E-2</v>
      </c>
      <c r="BK84" s="242">
        <f>BJ84*BD84</f>
        <v>5.6120208325872313E-2</v>
      </c>
      <c r="BL84" s="242">
        <f>BJ84*BE84</f>
        <v>2.2336433063444783E-2</v>
      </c>
      <c r="BN84" s="47">
        <f t="shared" ref="BN84:BN93" si="104">FJ32</f>
        <v>2564</v>
      </c>
      <c r="BO84" s="47">
        <f>BN84*$BD84</f>
        <v>1834.0348452276396</v>
      </c>
      <c r="BP84" s="47">
        <f>BN84*$BE84</f>
        <v>729.96515477236028</v>
      </c>
      <c r="BR84" s="47">
        <f t="shared" ref="BR84:BR93" si="105">FN32</f>
        <v>39017</v>
      </c>
      <c r="BS84" s="47">
        <f t="shared" ref="BS84:BS93" si="106">BR84*$BD84</f>
        <v>27908.946004776451</v>
      </c>
      <c r="BT84" s="47">
        <f t="shared" ref="BT84:BT93" si="107">BR84*$BE84</f>
        <v>11108.05399522355</v>
      </c>
      <c r="BZ84" s="242"/>
      <c r="CA84" s="242"/>
      <c r="CB84" s="242"/>
      <c r="EM84">
        <v>1989</v>
      </c>
      <c r="EN84">
        <v>61496</v>
      </c>
      <c r="EO84">
        <v>177412</v>
      </c>
      <c r="EP84">
        <v>205215</v>
      </c>
      <c r="EQ84">
        <v>268400</v>
      </c>
      <c r="ER84">
        <v>94260</v>
      </c>
      <c r="ES84">
        <v>806783</v>
      </c>
    </row>
    <row r="85" spans="3:192" x14ac:dyDescent="0.25">
      <c r="AT85" s="2">
        <v>2009</v>
      </c>
      <c r="AU85" s="47">
        <f t="shared" ref="AU85:AU93" si="108">AU29-CJ9</f>
        <v>258840</v>
      </c>
      <c r="AV85" s="47">
        <f t="shared" si="100"/>
        <v>36545</v>
      </c>
      <c r="AW85" s="47">
        <f t="shared" ref="AW85:AW93" si="109">AU85+AV85</f>
        <v>295385</v>
      </c>
      <c r="AX85" s="47">
        <f t="shared" si="101"/>
        <v>224871</v>
      </c>
      <c r="AY85" s="483">
        <f t="shared" ref="AY85:AY93" si="110">AW85/(AW85+AX85)</f>
        <v>0.56776856009349241</v>
      </c>
      <c r="AZ85" s="483">
        <f t="shared" ref="AZ85:AZ93" si="111">AX85/(AX85+AW85)</f>
        <v>0.43223143990650759</v>
      </c>
      <c r="BA85" s="47">
        <f t="shared" si="102"/>
        <v>52115</v>
      </c>
      <c r="BB85" s="47">
        <f t="shared" ref="BB85:BB93" si="112">BA85*AY85</f>
        <v>29589.258509272357</v>
      </c>
      <c r="BC85" s="47">
        <f t="shared" ref="BC85:BC93" si="113">BA85*AZ85</f>
        <v>22525.741490727643</v>
      </c>
      <c r="BD85" s="483">
        <f t="shared" si="103"/>
        <v>0.64566848872794513</v>
      </c>
      <c r="BE85" s="483">
        <f t="shared" ref="BE85:BE93" si="114">BD46/AX65</f>
        <v>0.35433151127205492</v>
      </c>
      <c r="BF85" s="47">
        <f t="shared" ref="BF85:BF93" si="115">FM33</f>
        <v>270591</v>
      </c>
      <c r="BG85" s="47">
        <f t="shared" ref="BG85:BG93" si="116">BF85*BD85</f>
        <v>174712.0820333834</v>
      </c>
      <c r="BH85" s="47">
        <f t="shared" ref="BH85:BH93" si="117">BF85*BE85</f>
        <v>95878.917966616616</v>
      </c>
      <c r="BI85" s="242"/>
      <c r="BJ85" s="242">
        <f t="shared" ref="BJ85:BJ93" si="118">AZ65</f>
        <v>0.2793059027784946</v>
      </c>
      <c r="BK85" s="242">
        <f t="shared" ref="BK85:BK93" si="119">BJ85*BD85</f>
        <v>0.18033902013978498</v>
      </c>
      <c r="BL85" s="242">
        <f t="shared" ref="BL85:BL93" si="120">BJ85*BE85</f>
        <v>9.8966882638709633E-2</v>
      </c>
      <c r="BN85" s="47">
        <f t="shared" si="104"/>
        <v>6316</v>
      </c>
      <c r="BO85" s="47">
        <f t="shared" ref="BO85:BO93" si="121">BN85*$BD85</f>
        <v>4078.0421748057015</v>
      </c>
      <c r="BP85" s="47">
        <f t="shared" ref="BP85:BP93" si="122">BN85*$BE85</f>
        <v>2237.9578251942989</v>
      </c>
      <c r="BR85" s="47">
        <f t="shared" si="105"/>
        <v>264275</v>
      </c>
      <c r="BS85" s="47">
        <f t="shared" si="106"/>
        <v>170634.03985857769</v>
      </c>
      <c r="BT85" s="47">
        <f t="shared" si="107"/>
        <v>93640.960141422314</v>
      </c>
      <c r="BZ85" s="242"/>
      <c r="CA85" s="242"/>
      <c r="CB85" s="242"/>
      <c r="EM85">
        <v>1990</v>
      </c>
      <c r="EN85">
        <v>10161</v>
      </c>
      <c r="EO85">
        <v>58486</v>
      </c>
      <c r="EP85">
        <v>19653</v>
      </c>
      <c r="EQ85">
        <v>31324</v>
      </c>
      <c r="ER85">
        <v>49841</v>
      </c>
      <c r="ES85">
        <v>169465</v>
      </c>
    </row>
    <row r="86" spans="3:192" x14ac:dyDescent="0.25">
      <c r="AT86" s="2">
        <v>2010</v>
      </c>
      <c r="AU86" s="47">
        <f t="shared" si="108"/>
        <v>187953</v>
      </c>
      <c r="AV86" s="47">
        <f t="shared" si="100"/>
        <v>22416</v>
      </c>
      <c r="AW86" s="47">
        <f t="shared" si="109"/>
        <v>210369</v>
      </c>
      <c r="AX86" s="47">
        <f t="shared" si="101"/>
        <v>120673</v>
      </c>
      <c r="AY86" s="483">
        <f t="shared" si="110"/>
        <v>0.6354752569160409</v>
      </c>
      <c r="AZ86" s="483">
        <f t="shared" si="111"/>
        <v>0.36452474308395916</v>
      </c>
      <c r="BA86" s="47">
        <f t="shared" si="102"/>
        <v>9564</v>
      </c>
      <c r="BB86" s="47">
        <f t="shared" si="112"/>
        <v>6077.6853571450156</v>
      </c>
      <c r="BC86" s="47">
        <f t="shared" si="113"/>
        <v>3486.3146428549853</v>
      </c>
      <c r="BD86" s="483">
        <f t="shared" si="103"/>
        <v>0.70311019932363705</v>
      </c>
      <c r="BE86" s="483">
        <f t="shared" si="114"/>
        <v>0.29688980067636295</v>
      </c>
      <c r="BF86" s="47">
        <f t="shared" si="115"/>
        <v>59606</v>
      </c>
      <c r="BG86" s="47">
        <f t="shared" si="116"/>
        <v>41909.586540884709</v>
      </c>
      <c r="BH86" s="47">
        <f t="shared" si="117"/>
        <v>17696.413459115291</v>
      </c>
      <c r="BI86" s="242"/>
      <c r="BJ86" s="242">
        <f t="shared" si="118"/>
        <v>0.12474937526946082</v>
      </c>
      <c r="BK86" s="242">
        <f t="shared" si="119"/>
        <v>8.7712558111209801E-2</v>
      </c>
      <c r="BL86" s="242">
        <f t="shared" si="120"/>
        <v>3.7036817158251023E-2</v>
      </c>
      <c r="BN86" s="47">
        <f t="shared" si="104"/>
        <v>1541</v>
      </c>
      <c r="BO86" s="47">
        <f t="shared" si="121"/>
        <v>1083.4928171577246</v>
      </c>
      <c r="BP86" s="47">
        <f t="shared" si="122"/>
        <v>457.50718284227531</v>
      </c>
      <c r="BR86" s="47">
        <f t="shared" si="105"/>
        <v>58065</v>
      </c>
      <c r="BS86" s="47">
        <f t="shared" si="106"/>
        <v>40826.093723726983</v>
      </c>
      <c r="BT86" s="47">
        <f t="shared" si="107"/>
        <v>17238.906276273014</v>
      </c>
      <c r="BZ86" s="242"/>
      <c r="CA86" s="242"/>
      <c r="CB86" s="242"/>
      <c r="EM86">
        <v>1991</v>
      </c>
      <c r="EN86">
        <v>29381</v>
      </c>
      <c r="EO86">
        <v>152748</v>
      </c>
      <c r="EP86">
        <v>179073</v>
      </c>
      <c r="EQ86">
        <v>324553</v>
      </c>
      <c r="ER86">
        <v>130057</v>
      </c>
      <c r="ES86">
        <v>815812</v>
      </c>
    </row>
    <row r="87" spans="3:192" x14ac:dyDescent="0.25">
      <c r="AT87" s="2">
        <v>2011</v>
      </c>
      <c r="AU87" s="47">
        <f t="shared" si="108"/>
        <v>105460</v>
      </c>
      <c r="AV87" s="47">
        <f t="shared" si="100"/>
        <v>16358</v>
      </c>
      <c r="AW87" s="47">
        <f t="shared" si="109"/>
        <v>121818</v>
      </c>
      <c r="AX87" s="47">
        <f t="shared" si="101"/>
        <v>146494</v>
      </c>
      <c r="AY87" s="483">
        <f t="shared" si="110"/>
        <v>0.45401621992307462</v>
      </c>
      <c r="AZ87" s="483">
        <f t="shared" si="111"/>
        <v>0.54598378007692538</v>
      </c>
      <c r="BA87" s="47">
        <f t="shared" si="102"/>
        <v>9281</v>
      </c>
      <c r="BB87" s="47">
        <f t="shared" si="112"/>
        <v>4213.7245371060553</v>
      </c>
      <c r="BC87" s="47">
        <f t="shared" si="113"/>
        <v>5067.2754628939447</v>
      </c>
      <c r="BD87" s="483">
        <f t="shared" si="103"/>
        <v>0.55770744191852872</v>
      </c>
      <c r="BE87" s="483">
        <f t="shared" si="114"/>
        <v>0.44229255808147133</v>
      </c>
      <c r="BF87" s="47">
        <f t="shared" si="115"/>
        <v>60298</v>
      </c>
      <c r="BG87" s="47">
        <f t="shared" si="116"/>
        <v>33628.643332803447</v>
      </c>
      <c r="BH87" s="47">
        <f t="shared" si="117"/>
        <v>26669.35666719656</v>
      </c>
      <c r="BI87" s="242"/>
      <c r="BJ87" s="242">
        <f t="shared" si="118"/>
        <v>0.14963396778916543</v>
      </c>
      <c r="BK87" s="242">
        <f t="shared" si="119"/>
        <v>8.3451977399814983E-2</v>
      </c>
      <c r="BL87" s="242">
        <f t="shared" si="120"/>
        <v>6.6181990389350465E-2</v>
      </c>
      <c r="BN87" s="47">
        <f t="shared" si="104"/>
        <v>4792</v>
      </c>
      <c r="BO87" s="47">
        <f t="shared" si="121"/>
        <v>2672.5340616735898</v>
      </c>
      <c r="BP87" s="47">
        <f t="shared" si="122"/>
        <v>2119.4659383264107</v>
      </c>
      <c r="BR87" s="47">
        <f t="shared" si="105"/>
        <v>55506</v>
      </c>
      <c r="BS87" s="47">
        <f t="shared" si="106"/>
        <v>30956.109271129855</v>
      </c>
      <c r="BT87" s="47">
        <f t="shared" si="107"/>
        <v>24549.890728870148</v>
      </c>
      <c r="BZ87" s="242"/>
      <c r="CA87" s="242"/>
      <c r="CB87" s="242"/>
      <c r="EM87">
        <v>1992</v>
      </c>
      <c r="EN87">
        <v>10789</v>
      </c>
      <c r="EO87">
        <v>57145</v>
      </c>
      <c r="EP87">
        <v>37861</v>
      </c>
      <c r="EQ87">
        <v>52212</v>
      </c>
      <c r="ER87">
        <v>47455</v>
      </c>
      <c r="ES87">
        <v>205462</v>
      </c>
    </row>
    <row r="88" spans="3:192" x14ac:dyDescent="0.25">
      <c r="AT88" s="2">
        <v>2012</v>
      </c>
      <c r="AU88" s="47">
        <f t="shared" si="108"/>
        <v>40869</v>
      </c>
      <c r="AV88" s="47">
        <f t="shared" si="100"/>
        <v>3786</v>
      </c>
      <c r="AW88" s="47">
        <f t="shared" si="109"/>
        <v>44655</v>
      </c>
      <c r="AX88" s="47">
        <f t="shared" si="101"/>
        <v>54963</v>
      </c>
      <c r="AY88" s="483">
        <f t="shared" si="110"/>
        <v>0.44826236222369453</v>
      </c>
      <c r="AZ88" s="483">
        <f t="shared" si="111"/>
        <v>0.55173763777630547</v>
      </c>
      <c r="BA88" s="47">
        <f t="shared" si="102"/>
        <v>8269</v>
      </c>
      <c r="BB88" s="47">
        <f t="shared" si="112"/>
        <v>3706.6814732277303</v>
      </c>
      <c r="BC88" s="47">
        <f t="shared" si="113"/>
        <v>4562.3185267722702</v>
      </c>
      <c r="BD88" s="483">
        <f t="shared" si="103"/>
        <v>0.52780169342557293</v>
      </c>
      <c r="BE88" s="483">
        <f t="shared" si="114"/>
        <v>0.47219830657442702</v>
      </c>
      <c r="BF88" s="47">
        <f t="shared" si="115"/>
        <v>25303</v>
      </c>
      <c r="BG88" s="47">
        <f t="shared" si="116"/>
        <v>13354.966248747272</v>
      </c>
      <c r="BH88" s="47">
        <f t="shared" si="117"/>
        <v>11948.033751252728</v>
      </c>
      <c r="BI88" s="242"/>
      <c r="BJ88" s="242">
        <f t="shared" si="118"/>
        <v>0.16716766977398703</v>
      </c>
      <c r="BK88" s="242">
        <f t="shared" si="119"/>
        <v>8.8231379192717313E-2</v>
      </c>
      <c r="BL88" s="242">
        <f t="shared" si="120"/>
        <v>7.8936290581269705E-2</v>
      </c>
      <c r="BN88" s="47">
        <f t="shared" si="104"/>
        <v>358</v>
      </c>
      <c r="BO88" s="47">
        <f t="shared" si="121"/>
        <v>188.9530062463551</v>
      </c>
      <c r="BP88" s="47">
        <f t="shared" si="122"/>
        <v>169.04699375364487</v>
      </c>
      <c r="BR88" s="47">
        <f t="shared" si="105"/>
        <v>24945</v>
      </c>
      <c r="BS88" s="47">
        <f t="shared" si="106"/>
        <v>13166.013242500916</v>
      </c>
      <c r="BT88" s="47">
        <f t="shared" si="107"/>
        <v>11778.986757499082</v>
      </c>
      <c r="BZ88" s="242"/>
      <c r="CA88" s="242"/>
      <c r="CB88" s="242"/>
      <c r="EM88">
        <v>1993</v>
      </c>
      <c r="EN88">
        <v>5716</v>
      </c>
      <c r="EO88">
        <v>21036</v>
      </c>
      <c r="EP88">
        <v>6156</v>
      </c>
      <c r="EQ88">
        <v>21054</v>
      </c>
      <c r="ER88">
        <v>18809</v>
      </c>
      <c r="ES88">
        <v>72771</v>
      </c>
    </row>
    <row r="89" spans="3:192" x14ac:dyDescent="0.25">
      <c r="AT89" s="2">
        <v>2013</v>
      </c>
      <c r="AU89" s="47">
        <f t="shared" si="108"/>
        <v>80965.859010270768</v>
      </c>
      <c r="AV89" s="47">
        <f t="shared" si="100"/>
        <v>9747</v>
      </c>
      <c r="AW89" s="47">
        <f t="shared" si="109"/>
        <v>90712.859010270768</v>
      </c>
      <c r="AX89" s="47">
        <f t="shared" si="101"/>
        <v>59610</v>
      </c>
      <c r="AY89" s="483">
        <f t="shared" si="110"/>
        <v>0.60345352401841179</v>
      </c>
      <c r="AZ89" s="483">
        <f t="shared" si="111"/>
        <v>0.39654647598158815</v>
      </c>
      <c r="BA89" s="47">
        <f t="shared" si="102"/>
        <v>8571</v>
      </c>
      <c r="BB89" s="47">
        <f t="shared" si="112"/>
        <v>5172.2001543618071</v>
      </c>
      <c r="BC89" s="47">
        <f t="shared" si="113"/>
        <v>3398.799845638192</v>
      </c>
      <c r="BD89" s="483">
        <f t="shared" si="103"/>
        <v>0.69732025498211325</v>
      </c>
      <c r="BE89" s="483">
        <f t="shared" si="114"/>
        <v>0.30267974501788675</v>
      </c>
      <c r="BF89" s="47">
        <f t="shared" si="115"/>
        <v>57897</v>
      </c>
      <c r="BG89" s="47">
        <f t="shared" si="116"/>
        <v>40372.750802699411</v>
      </c>
      <c r="BH89" s="47">
        <f t="shared" si="117"/>
        <v>17524.249197300589</v>
      </c>
      <c r="BI89" s="242"/>
      <c r="BJ89" s="242">
        <f t="shared" si="118"/>
        <v>0.21760320024586394</v>
      </c>
      <c r="BK89" s="242">
        <f t="shared" si="119"/>
        <v>0.15173911908036969</v>
      </c>
      <c r="BL89" s="242">
        <f t="shared" si="120"/>
        <v>6.5864081165494248E-2</v>
      </c>
      <c r="BN89" s="47">
        <f t="shared" si="104"/>
        <v>2793</v>
      </c>
      <c r="BO89" s="47">
        <f t="shared" si="121"/>
        <v>1947.6154721650423</v>
      </c>
      <c r="BP89" s="47">
        <f t="shared" si="122"/>
        <v>845.38452783495768</v>
      </c>
      <c r="BR89" s="47">
        <f t="shared" si="105"/>
        <v>55104</v>
      </c>
      <c r="BS89" s="47">
        <f t="shared" si="106"/>
        <v>38425.135330534365</v>
      </c>
      <c r="BT89" s="47">
        <f t="shared" si="107"/>
        <v>16678.864669465631</v>
      </c>
      <c r="BZ89" s="242"/>
      <c r="CA89" s="242"/>
      <c r="CB89" s="242"/>
      <c r="EM89">
        <v>1994</v>
      </c>
      <c r="EN89">
        <v>5354</v>
      </c>
      <c r="EO89">
        <v>166</v>
      </c>
      <c r="EP89">
        <v>0</v>
      </c>
      <c r="EQ89">
        <v>4126</v>
      </c>
      <c r="ER89">
        <v>25818</v>
      </c>
      <c r="ES89">
        <v>35464</v>
      </c>
    </row>
    <row r="90" spans="3:192" x14ac:dyDescent="0.25">
      <c r="AT90" s="2">
        <v>2014</v>
      </c>
      <c r="AU90" s="47">
        <f t="shared" si="108"/>
        <v>286199</v>
      </c>
      <c r="AV90" s="47">
        <f t="shared" si="100"/>
        <v>46449</v>
      </c>
      <c r="AW90" s="47">
        <f t="shared" si="109"/>
        <v>332648</v>
      </c>
      <c r="AX90" s="47">
        <f t="shared" si="101"/>
        <v>279733</v>
      </c>
      <c r="AY90" s="483">
        <f t="shared" si="110"/>
        <v>0.54320431234803168</v>
      </c>
      <c r="AZ90" s="483">
        <f t="shared" si="111"/>
        <v>0.45679568765196832</v>
      </c>
      <c r="BA90" s="47">
        <f t="shared" si="102"/>
        <v>63505</v>
      </c>
      <c r="BB90" s="47">
        <f t="shared" si="112"/>
        <v>34496.189855661753</v>
      </c>
      <c r="BC90" s="47">
        <f t="shared" si="113"/>
        <v>29008.810144338247</v>
      </c>
      <c r="BD90" s="483">
        <f t="shared" si="103"/>
        <v>0.66449312924085058</v>
      </c>
      <c r="BE90" s="483">
        <f t="shared" si="114"/>
        <v>0.33550687075914937</v>
      </c>
      <c r="BF90" s="47">
        <f t="shared" si="115"/>
        <v>250925</v>
      </c>
      <c r="BG90" s="47">
        <f t="shared" si="116"/>
        <v>166737.93845476044</v>
      </c>
      <c r="BH90" s="47">
        <f t="shared" si="117"/>
        <v>84187.061545239558</v>
      </c>
      <c r="BI90" s="242"/>
      <c r="BJ90" s="242">
        <f t="shared" si="118"/>
        <v>0.21425521922896298</v>
      </c>
      <c r="BK90" s="242">
        <f t="shared" si="119"/>
        <v>0.14237112108163807</v>
      </c>
      <c r="BL90" s="242">
        <f t="shared" si="120"/>
        <v>7.1884098147324896E-2</v>
      </c>
      <c r="BN90" s="47">
        <f t="shared" si="104"/>
        <v>9529</v>
      </c>
      <c r="BO90" s="47">
        <f t="shared" si="121"/>
        <v>6331.9550285360656</v>
      </c>
      <c r="BP90" s="47">
        <f t="shared" si="122"/>
        <v>3197.0449714639344</v>
      </c>
      <c r="BR90" s="47">
        <f t="shared" si="105"/>
        <v>241396</v>
      </c>
      <c r="BS90" s="47">
        <f t="shared" si="106"/>
        <v>160405.98342622435</v>
      </c>
      <c r="BT90" s="47">
        <f t="shared" si="107"/>
        <v>80990.016573775618</v>
      </c>
      <c r="BZ90" s="242"/>
      <c r="CA90" s="242"/>
      <c r="CB90" s="242"/>
      <c r="EM90">
        <v>1995</v>
      </c>
      <c r="EN90">
        <v>3164</v>
      </c>
      <c r="EO90">
        <v>4264</v>
      </c>
      <c r="EP90">
        <v>36</v>
      </c>
      <c r="EQ90">
        <v>1692</v>
      </c>
      <c r="ER90">
        <v>14511</v>
      </c>
      <c r="ES90">
        <v>23667</v>
      </c>
    </row>
    <row r="91" spans="3:192" x14ac:dyDescent="0.25">
      <c r="AT91" s="2">
        <v>2015</v>
      </c>
      <c r="AU91" s="47">
        <f t="shared" si="108"/>
        <v>41602</v>
      </c>
      <c r="AV91" s="47">
        <f t="shared" si="100"/>
        <v>6848</v>
      </c>
      <c r="AW91" s="47">
        <f t="shared" si="109"/>
        <v>48450</v>
      </c>
      <c r="AX91" s="47">
        <f t="shared" si="101"/>
        <v>37402</v>
      </c>
      <c r="AY91" s="483">
        <f t="shared" si="110"/>
        <v>0.56434328844989046</v>
      </c>
      <c r="AZ91" s="483">
        <f t="shared" si="111"/>
        <v>0.43565671155010949</v>
      </c>
      <c r="BA91" s="47">
        <f t="shared" si="102"/>
        <v>37915.000000000007</v>
      </c>
      <c r="BB91" s="47">
        <f t="shared" si="112"/>
        <v>21397.075781577601</v>
      </c>
      <c r="BC91" s="47">
        <f t="shared" si="113"/>
        <v>16517.924218422406</v>
      </c>
      <c r="BD91" s="483">
        <f t="shared" si="103"/>
        <v>0.65600885358395389</v>
      </c>
      <c r="BE91" s="483">
        <f t="shared" si="114"/>
        <v>0.34399114641604617</v>
      </c>
      <c r="BF91" s="47">
        <f t="shared" si="115"/>
        <v>82154</v>
      </c>
      <c r="BG91" s="47">
        <f t="shared" si="116"/>
        <v>53893.75135733615</v>
      </c>
      <c r="BH91" s="47">
        <f t="shared" si="117"/>
        <v>28260.248642663857</v>
      </c>
      <c r="BI91" s="242"/>
      <c r="BJ91" s="242">
        <f t="shared" si="118"/>
        <v>0.34388159161497184</v>
      </c>
      <c r="BK91" s="242">
        <f t="shared" si="119"/>
        <v>0.22558936868396309</v>
      </c>
      <c r="BL91" s="242">
        <f t="shared" si="120"/>
        <v>0.11829222293100877</v>
      </c>
      <c r="BN91" s="47">
        <f t="shared" si="104"/>
        <v>2191</v>
      </c>
      <c r="BO91" s="47">
        <f t="shared" si="121"/>
        <v>1437.315398202443</v>
      </c>
      <c r="BP91" s="47">
        <f t="shared" si="122"/>
        <v>753.68460179755721</v>
      </c>
      <c r="BR91" s="47">
        <f t="shared" si="105"/>
        <v>79963</v>
      </c>
      <c r="BS91" s="47">
        <f t="shared" si="106"/>
        <v>52456.435959133705</v>
      </c>
      <c r="BT91" s="47">
        <f t="shared" si="107"/>
        <v>27506.564040866298</v>
      </c>
      <c r="BZ91" s="242"/>
      <c r="CA91" s="242"/>
      <c r="CB91" s="242"/>
      <c r="EM91">
        <v>1996</v>
      </c>
      <c r="EN91">
        <v>2306</v>
      </c>
      <c r="EO91">
        <v>8348</v>
      </c>
      <c r="EP91">
        <v>0</v>
      </c>
      <c r="EQ91">
        <v>6090</v>
      </c>
      <c r="ER91">
        <v>24706</v>
      </c>
      <c r="ES91">
        <v>41450</v>
      </c>
    </row>
    <row r="92" spans="3:192" x14ac:dyDescent="0.25">
      <c r="AT92" s="2">
        <v>2016</v>
      </c>
      <c r="AU92" s="47">
        <f t="shared" si="108"/>
        <v>82013</v>
      </c>
      <c r="AV92" s="47">
        <f t="shared" si="100"/>
        <v>10993</v>
      </c>
      <c r="AW92" s="47">
        <f t="shared" si="109"/>
        <v>93006</v>
      </c>
      <c r="AX92" s="47">
        <f t="shared" si="101"/>
        <v>42020</v>
      </c>
      <c r="AY92" s="483">
        <f t="shared" si="110"/>
        <v>0.68880067542547363</v>
      </c>
      <c r="AZ92" s="483">
        <f t="shared" si="111"/>
        <v>0.31119932457452637</v>
      </c>
      <c r="BA92" s="47">
        <f t="shared" si="102"/>
        <v>10531</v>
      </c>
      <c r="BB92" s="47">
        <f t="shared" si="112"/>
        <v>7253.7599129056625</v>
      </c>
      <c r="BC92" s="47">
        <f t="shared" si="113"/>
        <v>3277.240087094337</v>
      </c>
      <c r="BD92" s="483">
        <f t="shared" si="103"/>
        <v>0.74705442800610711</v>
      </c>
      <c r="BE92" s="483">
        <f t="shared" si="114"/>
        <v>0.25294557199389284</v>
      </c>
      <c r="BF92" s="47">
        <f t="shared" si="115"/>
        <v>29935</v>
      </c>
      <c r="BG92" s="47">
        <f t="shared" si="116"/>
        <v>22363.074302362817</v>
      </c>
      <c r="BH92" s="47">
        <f t="shared" si="117"/>
        <v>7571.9256976371817</v>
      </c>
      <c r="BI92" s="242"/>
      <c r="BJ92" s="242">
        <f t="shared" si="118"/>
        <v>0.14322007138277817</v>
      </c>
      <c r="BK92" s="242">
        <f t="shared" si="119"/>
        <v>0.10699318850585518</v>
      </c>
      <c r="BL92" s="242">
        <f t="shared" si="120"/>
        <v>3.6226882876922988E-2</v>
      </c>
      <c r="BN92" s="47">
        <f t="shared" si="104"/>
        <v>1437</v>
      </c>
      <c r="BO92" s="47">
        <f t="shared" si="121"/>
        <v>1073.5172130447759</v>
      </c>
      <c r="BP92" s="47">
        <f t="shared" si="122"/>
        <v>363.48278695522401</v>
      </c>
      <c r="BR92" s="47">
        <f t="shared" si="105"/>
        <v>28498</v>
      </c>
      <c r="BS92" s="47">
        <f t="shared" si="106"/>
        <v>21289.557089318041</v>
      </c>
      <c r="BT92" s="47">
        <f t="shared" si="107"/>
        <v>7208.442910681958</v>
      </c>
      <c r="BZ92" s="242"/>
      <c r="CA92" s="242"/>
      <c r="CB92" s="242"/>
      <c r="EM92">
        <v>1997</v>
      </c>
      <c r="EN92">
        <v>70</v>
      </c>
      <c r="EO92">
        <v>12042</v>
      </c>
      <c r="EP92">
        <v>0</v>
      </c>
      <c r="EQ92">
        <v>13510</v>
      </c>
      <c r="ER92">
        <v>36398</v>
      </c>
      <c r="ES92">
        <v>62020</v>
      </c>
    </row>
    <row r="93" spans="3:192" x14ac:dyDescent="0.25">
      <c r="AT93" s="2">
        <v>2017</v>
      </c>
      <c r="AU93" s="47">
        <f t="shared" si="108"/>
        <v>60424</v>
      </c>
      <c r="AV93" s="47">
        <f t="shared" si="100"/>
        <v>7328</v>
      </c>
      <c r="AW93" s="47">
        <f t="shared" si="109"/>
        <v>67752</v>
      </c>
      <c r="AX93" s="47">
        <f t="shared" si="101"/>
        <v>75936</v>
      </c>
      <c r="AY93" s="483">
        <f t="shared" si="110"/>
        <v>0.47152163019876397</v>
      </c>
      <c r="AZ93" s="483">
        <f t="shared" si="111"/>
        <v>0.52847836980123597</v>
      </c>
      <c r="BA93" s="47">
        <f t="shared" si="102"/>
        <v>21236</v>
      </c>
      <c r="BB93" s="47">
        <f t="shared" si="112"/>
        <v>10013.233338900951</v>
      </c>
      <c r="BC93" s="47">
        <f t="shared" si="113"/>
        <v>11222.766661099047</v>
      </c>
      <c r="BD93" s="483">
        <f t="shared" si="103"/>
        <v>0.57164245369830224</v>
      </c>
      <c r="BE93" s="483">
        <f t="shared" si="114"/>
        <v>0.42835754630169776</v>
      </c>
      <c r="BF93" s="47">
        <f t="shared" si="115"/>
        <v>48604</v>
      </c>
      <c r="BG93" s="47">
        <f t="shared" si="116"/>
        <v>27784.109819552283</v>
      </c>
      <c r="BH93" s="47">
        <f t="shared" si="117"/>
        <v>20819.890180447717</v>
      </c>
      <c r="BI93" s="242"/>
      <c r="BJ93" s="242">
        <f t="shared" si="118"/>
        <v>0.19281486535806661</v>
      </c>
      <c r="BK93" s="242">
        <f t="shared" si="119"/>
        <v>0.11022116274279298</v>
      </c>
      <c r="BL93" s="242">
        <f t="shared" si="120"/>
        <v>8.2593702615273629E-2</v>
      </c>
      <c r="BN93" s="47">
        <f t="shared" si="104"/>
        <v>2176</v>
      </c>
      <c r="BO93" s="47">
        <f t="shared" si="121"/>
        <v>1243.8939792475057</v>
      </c>
      <c r="BP93" s="47">
        <f t="shared" si="122"/>
        <v>932.10602075249426</v>
      </c>
      <c r="BR93" s="47">
        <f t="shared" si="105"/>
        <v>46428</v>
      </c>
      <c r="BS93" s="47">
        <f t="shared" si="106"/>
        <v>26540.215840304776</v>
      </c>
      <c r="BT93" s="47">
        <f t="shared" si="107"/>
        <v>19887.784159695224</v>
      </c>
      <c r="BZ93" s="242"/>
      <c r="CA93" s="242"/>
      <c r="CB93" s="242"/>
      <c r="EM93">
        <v>1998</v>
      </c>
      <c r="EN93">
        <v>1</v>
      </c>
      <c r="EO93">
        <v>4371</v>
      </c>
      <c r="EP93">
        <v>447</v>
      </c>
      <c r="EQ93">
        <v>4740</v>
      </c>
      <c r="ER93">
        <v>44717</v>
      </c>
      <c r="ES93">
        <v>54276</v>
      </c>
    </row>
    <row r="94" spans="3:192" x14ac:dyDescent="0.25">
      <c r="BT94" s="47"/>
      <c r="CB94" s="242"/>
      <c r="EM94">
        <v>1999</v>
      </c>
      <c r="EN94">
        <v>28</v>
      </c>
      <c r="EO94">
        <v>26213</v>
      </c>
      <c r="EP94">
        <v>3280</v>
      </c>
      <c r="EQ94">
        <v>46960</v>
      </c>
      <c r="ER94">
        <v>72293</v>
      </c>
      <c r="ES94">
        <v>148774</v>
      </c>
    </row>
    <row r="95" spans="3:192" x14ac:dyDescent="0.25">
      <c r="AT95" s="462" t="s">
        <v>1038</v>
      </c>
      <c r="AU95" s="421"/>
      <c r="AV95" s="462"/>
      <c r="AW95" s="462"/>
      <c r="AX95" s="462"/>
      <c r="AY95" s="462"/>
      <c r="AZ95" s="421"/>
      <c r="BA95" s="462"/>
      <c r="BB95" s="462"/>
      <c r="BC95" s="462"/>
      <c r="BD95" s="25"/>
      <c r="BE95" s="25"/>
      <c r="BF95" s="363">
        <f>AVERAGE(BF84:BF93)</f>
        <v>92689.4</v>
      </c>
      <c r="BG95" s="363">
        <f t="shared" ref="BG95:BH95" si="123">AVERAGE(BG84:BG93)</f>
        <v>60449.988374253408</v>
      </c>
      <c r="BH95" s="363">
        <f t="shared" si="123"/>
        <v>32239.411625746601</v>
      </c>
      <c r="BI95" s="25"/>
      <c r="BJ95" s="490">
        <f>AVERAGE(BJ84:BJ93)</f>
        <v>0.19110885048310686</v>
      </c>
      <c r="BK95" s="490">
        <f t="shared" ref="BK95:BL95" si="124">AVERAGE(BK84:BK93)</f>
        <v>0.12327691032640184</v>
      </c>
      <c r="BL95" s="490">
        <f t="shared" si="124"/>
        <v>6.7831940156705017E-2</v>
      </c>
      <c r="BM95" s="25"/>
      <c r="BN95" s="363">
        <f>AVERAGE(BN84:BN93)</f>
        <v>3369.7</v>
      </c>
      <c r="BO95" s="363">
        <f t="shared" ref="BO95:BP95" si="125">AVERAGE(BO84:BO93)</f>
        <v>2189.1353996306843</v>
      </c>
      <c r="BP95" s="363">
        <f t="shared" si="125"/>
        <v>1180.5646003693157</v>
      </c>
      <c r="BQ95" s="25"/>
      <c r="BR95" s="363">
        <f>AVERAGE(BR84:BR93)</f>
        <v>89319.7</v>
      </c>
      <c r="BS95" s="363">
        <f t="shared" ref="BS95:BT95" si="126">AVERAGE(BS84:BS93)</f>
        <v>58260.852974622707</v>
      </c>
      <c r="BT95" s="363">
        <f t="shared" si="126"/>
        <v>31058.847025377279</v>
      </c>
      <c r="BZ95" s="242"/>
      <c r="CA95" s="242"/>
      <c r="CB95" s="242"/>
      <c r="EM95">
        <v>2000</v>
      </c>
      <c r="EN95">
        <v>49</v>
      </c>
      <c r="EO95">
        <v>47611</v>
      </c>
      <c r="EP95">
        <v>6449</v>
      </c>
      <c r="EQ95">
        <v>98866</v>
      </c>
      <c r="ER95">
        <v>118439</v>
      </c>
      <c r="ES95">
        <v>271414</v>
      </c>
    </row>
    <row r="96" spans="3:192" x14ac:dyDescent="0.25">
      <c r="EM96">
        <v>2001</v>
      </c>
      <c r="EN96">
        <v>275</v>
      </c>
      <c r="EO96">
        <v>115685</v>
      </c>
      <c r="EP96">
        <v>17220</v>
      </c>
      <c r="EQ96">
        <v>181491</v>
      </c>
      <c r="ER96">
        <v>210777</v>
      </c>
      <c r="ES96">
        <v>525448</v>
      </c>
    </row>
    <row r="97" spans="143:149" x14ac:dyDescent="0.25">
      <c r="EM97">
        <v>2002</v>
      </c>
      <c r="EN97">
        <v>238</v>
      </c>
      <c r="EO97">
        <v>58494</v>
      </c>
      <c r="EP97">
        <v>8646</v>
      </c>
      <c r="EQ97">
        <v>81050</v>
      </c>
      <c r="ER97">
        <v>148282</v>
      </c>
      <c r="ES97">
        <v>296710</v>
      </c>
    </row>
    <row r="98" spans="143:149" x14ac:dyDescent="0.25">
      <c r="EM98">
        <v>2003</v>
      </c>
      <c r="EN98">
        <v>942</v>
      </c>
      <c r="EO98">
        <v>78984</v>
      </c>
      <c r="EP98">
        <v>19214</v>
      </c>
      <c r="EQ98">
        <v>104621</v>
      </c>
      <c r="ER98">
        <v>96192</v>
      </c>
      <c r="ES98">
        <v>299953</v>
      </c>
    </row>
    <row r="99" spans="143:149" x14ac:dyDescent="0.25">
      <c r="EM99">
        <v>2004</v>
      </c>
      <c r="EN99">
        <v>914</v>
      </c>
      <c r="EO99">
        <v>61896</v>
      </c>
      <c r="EP99">
        <v>13780</v>
      </c>
      <c r="EQ99">
        <v>51543</v>
      </c>
      <c r="ER99">
        <v>94021</v>
      </c>
      <c r="ES99">
        <v>222154</v>
      </c>
    </row>
    <row r="100" spans="143:149" x14ac:dyDescent="0.25">
      <c r="EM100">
        <v>2005</v>
      </c>
      <c r="EN100">
        <v>621</v>
      </c>
      <c r="EO100">
        <v>21204</v>
      </c>
      <c r="EP100">
        <v>1285</v>
      </c>
      <c r="EQ100">
        <v>21914</v>
      </c>
      <c r="ER100">
        <v>65467</v>
      </c>
      <c r="ES100">
        <v>110491</v>
      </c>
    </row>
    <row r="101" spans="143:149" x14ac:dyDescent="0.25">
      <c r="EM101">
        <v>2006</v>
      </c>
      <c r="EN101">
        <v>1135</v>
      </c>
      <c r="EO101">
        <v>29716</v>
      </c>
      <c r="EP101">
        <v>3671</v>
      </c>
      <c r="EQ101">
        <v>14725</v>
      </c>
      <c r="ER101">
        <v>145189</v>
      </c>
      <c r="ES101">
        <v>194436</v>
      </c>
    </row>
    <row r="102" spans="143:149" x14ac:dyDescent="0.25">
      <c r="EM102">
        <v>2007</v>
      </c>
      <c r="EN102">
        <v>1432</v>
      </c>
      <c r="EO102">
        <v>57943</v>
      </c>
      <c r="EP102">
        <v>11804</v>
      </c>
      <c r="EQ102">
        <v>23111</v>
      </c>
      <c r="ER102">
        <v>100900</v>
      </c>
      <c r="ES102">
        <v>195190</v>
      </c>
    </row>
    <row r="103" spans="143:149" x14ac:dyDescent="0.25">
      <c r="EM103">
        <v>2008</v>
      </c>
      <c r="EN103">
        <v>1379</v>
      </c>
      <c r="EO103">
        <v>15205</v>
      </c>
      <c r="EP103">
        <v>2036</v>
      </c>
      <c r="EQ103">
        <v>1336</v>
      </c>
      <c r="ER103">
        <v>182284</v>
      </c>
      <c r="ES103">
        <v>202240</v>
      </c>
    </row>
    <row r="104" spans="143:149" x14ac:dyDescent="0.25">
      <c r="EM104">
        <v>2009</v>
      </c>
      <c r="EN104">
        <v>1964</v>
      </c>
      <c r="EO104">
        <v>100823</v>
      </c>
      <c r="EP104">
        <v>18781</v>
      </c>
      <c r="EQ104">
        <v>12960</v>
      </c>
      <c r="ER104">
        <v>249764</v>
      </c>
      <c r="ES104">
        <v>384292</v>
      </c>
    </row>
    <row r="105" spans="143:149" x14ac:dyDescent="0.25">
      <c r="EM105">
        <v>2010</v>
      </c>
      <c r="EN105">
        <v>731</v>
      </c>
      <c r="EO105">
        <v>29696</v>
      </c>
      <c r="EP105">
        <v>4765</v>
      </c>
      <c r="EQ105">
        <v>17914</v>
      </c>
      <c r="ER105">
        <v>189200</v>
      </c>
      <c r="ES105">
        <v>242306</v>
      </c>
    </row>
    <row r="106" spans="143:149" x14ac:dyDescent="0.25">
      <c r="EM106">
        <v>2011</v>
      </c>
      <c r="EN106">
        <v>1387</v>
      </c>
      <c r="EO106">
        <v>21797</v>
      </c>
      <c r="EP106">
        <v>1995</v>
      </c>
      <c r="EQ106">
        <v>9015</v>
      </c>
      <c r="ER106">
        <v>96495</v>
      </c>
      <c r="ES106">
        <v>130689</v>
      </c>
    </row>
    <row r="107" spans="143:149" x14ac:dyDescent="0.25">
      <c r="EM107">
        <v>2012</v>
      </c>
      <c r="EN107">
        <v>161</v>
      </c>
      <c r="EO107">
        <v>9456</v>
      </c>
      <c r="EP107">
        <v>1243</v>
      </c>
      <c r="EQ107">
        <v>7792</v>
      </c>
      <c r="ER107">
        <v>31583</v>
      </c>
      <c r="ES107">
        <v>50235</v>
      </c>
    </row>
    <row r="108" spans="143:149" x14ac:dyDescent="0.25">
      <c r="EM108">
        <v>2013</v>
      </c>
      <c r="EN108">
        <v>896</v>
      </c>
      <c r="EO108">
        <v>23014</v>
      </c>
      <c r="EP108">
        <v>2681</v>
      </c>
      <c r="EQ108">
        <v>1096</v>
      </c>
      <c r="ER108">
        <v>80343</v>
      </c>
      <c r="ES108">
        <v>108030</v>
      </c>
    </row>
    <row r="109" spans="143:149" x14ac:dyDescent="0.25">
      <c r="EM109">
        <v>2014</v>
      </c>
      <c r="EN109">
        <v>2196</v>
      </c>
      <c r="EO109">
        <v>88402</v>
      </c>
      <c r="EP109">
        <v>20081</v>
      </c>
      <c r="EQ109">
        <v>52687</v>
      </c>
      <c r="ER109">
        <v>297017</v>
      </c>
      <c r="ES109">
        <v>460383</v>
      </c>
    </row>
    <row r="110" spans="143:149" x14ac:dyDescent="0.25">
      <c r="EM110">
        <v>2015</v>
      </c>
      <c r="EN110">
        <v>650</v>
      </c>
      <c r="EO110">
        <v>31925</v>
      </c>
      <c r="EP110">
        <v>3746</v>
      </c>
      <c r="EQ110">
        <v>10052</v>
      </c>
      <c r="ER110">
        <v>36256</v>
      </c>
      <c r="ES110">
        <v>82629</v>
      </c>
    </row>
    <row r="111" spans="143:149" x14ac:dyDescent="0.25">
      <c r="EM111">
        <v>2016</v>
      </c>
      <c r="EN111">
        <v>556</v>
      </c>
      <c r="EO111">
        <v>13960</v>
      </c>
      <c r="EP111">
        <v>1318</v>
      </c>
      <c r="EQ111">
        <v>8288</v>
      </c>
      <c r="ER111">
        <v>64624</v>
      </c>
      <c r="ES111">
        <v>88746</v>
      </c>
    </row>
    <row r="112" spans="143:149" x14ac:dyDescent="0.25">
      <c r="EM112">
        <v>2017</v>
      </c>
      <c r="EN112">
        <v>572</v>
      </c>
      <c r="EO112">
        <v>20745</v>
      </c>
      <c r="EP112">
        <v>2677</v>
      </c>
      <c r="EQ112">
        <v>7545</v>
      </c>
      <c r="ER112">
        <v>63522</v>
      </c>
      <c r="ES112">
        <v>95061</v>
      </c>
    </row>
  </sheetData>
  <mergeCells count="98">
    <mergeCell ref="R20:S20"/>
    <mergeCell ref="R21:S21"/>
    <mergeCell ref="R22:S22"/>
    <mergeCell ref="R23:S23"/>
    <mergeCell ref="BZ81:CB81"/>
    <mergeCell ref="R25:S25"/>
    <mergeCell ref="R26:S26"/>
    <mergeCell ref="R27:S27"/>
    <mergeCell ref="R28:S28"/>
    <mergeCell ref="AT80:BT80"/>
    <mergeCell ref="AT25:BL25"/>
    <mergeCell ref="AT42:BN42"/>
    <mergeCell ref="AT61:BH61"/>
    <mergeCell ref="BJ81:BL81"/>
    <mergeCell ref="BN81:BP81"/>
    <mergeCell ref="BR81:BT81"/>
    <mergeCell ref="R24:S24"/>
    <mergeCell ref="R5:S5"/>
    <mergeCell ref="R6:S6"/>
    <mergeCell ref="R7:S7"/>
    <mergeCell ref="R18:S18"/>
    <mergeCell ref="R8:S8"/>
    <mergeCell ref="R9:S9"/>
    <mergeCell ref="R10:S10"/>
    <mergeCell ref="R11:S11"/>
    <mergeCell ref="R12:S12"/>
    <mergeCell ref="R13:S13"/>
    <mergeCell ref="R14:S14"/>
    <mergeCell ref="R15:S15"/>
    <mergeCell ref="R16:S16"/>
    <mergeCell ref="R17:S17"/>
    <mergeCell ref="R19:S19"/>
    <mergeCell ref="BU5:BY5"/>
    <mergeCell ref="BZ5:CE5"/>
    <mergeCell ref="AY43:BA43"/>
    <mergeCell ref="AU43:AW43"/>
    <mergeCell ref="BC26:BE26"/>
    <mergeCell ref="BE43:BG43"/>
    <mergeCell ref="AT8:BI8"/>
    <mergeCell ref="BI43:BJ43"/>
    <mergeCell ref="BL43:BM43"/>
    <mergeCell ref="AZ9:BB9"/>
    <mergeCell ref="AV9:AW9"/>
    <mergeCell ref="BH9:BI9"/>
    <mergeCell ref="BE9:BF9"/>
    <mergeCell ref="EM1:FG2"/>
    <mergeCell ref="FI3:GJ3"/>
    <mergeCell ref="EN6:FE6"/>
    <mergeCell ref="EN8:ES8"/>
    <mergeCell ref="ET8:EY8"/>
    <mergeCell ref="EZ8:FE8"/>
    <mergeCell ref="FF8:FG8"/>
    <mergeCell ref="FJ8:FM8"/>
    <mergeCell ref="FP8:FS8"/>
    <mergeCell ref="FV8:FX8"/>
    <mergeCell ref="FZ8:GC8"/>
    <mergeCell ref="GF8:GI8"/>
    <mergeCell ref="DA2:DT2"/>
    <mergeCell ref="DV2:EL2"/>
    <mergeCell ref="AT6:BC6"/>
    <mergeCell ref="BQ21:BS21"/>
    <mergeCell ref="CG2:CY2"/>
    <mergeCell ref="CS19:CT19"/>
    <mergeCell ref="CR19:CR21"/>
    <mergeCell ref="CI20:CJ20"/>
    <mergeCell ref="BO2:CE2"/>
    <mergeCell ref="BT20:BU20"/>
    <mergeCell ref="BQ20:BS20"/>
    <mergeCell ref="CD20:CE20"/>
    <mergeCell ref="CA20:CC20"/>
    <mergeCell ref="BV20:BX20"/>
    <mergeCell ref="BP5:BT5"/>
    <mergeCell ref="DE19:DF19"/>
    <mergeCell ref="DI19:DJ19"/>
    <mergeCell ref="DW19:DX19"/>
    <mergeCell ref="AU81:AW81"/>
    <mergeCell ref="AY82:AZ82"/>
    <mergeCell ref="AW26:AY26"/>
    <mergeCell ref="AT76:BC76"/>
    <mergeCell ref="BA81:BC81"/>
    <mergeCell ref="AY62:BA62"/>
    <mergeCell ref="BO24:BX24"/>
    <mergeCell ref="BD82:BE82"/>
    <mergeCell ref="BF81:BH81"/>
    <mergeCell ref="BG26:BH26"/>
    <mergeCell ref="BJ26:BK26"/>
    <mergeCell ref="BC62:BD62"/>
    <mergeCell ref="BF62:BG62"/>
    <mergeCell ref="EN43:ES43"/>
    <mergeCell ref="ET43:EY43"/>
    <mergeCell ref="EZ43:FE43"/>
    <mergeCell ref="FH43:FI43"/>
    <mergeCell ref="FZ47:GC47"/>
    <mergeCell ref="GF47:GI47"/>
    <mergeCell ref="EN78:FE78"/>
    <mergeCell ref="EN79:ES79"/>
    <mergeCell ref="ET79:EY79"/>
    <mergeCell ref="EZ79:FE79"/>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50E36-32F4-45CC-B11F-A33C6C11A0CE}">
  <sheetPr codeName="Sheet9"/>
  <dimension ref="A1:T18"/>
  <sheetViews>
    <sheetView workbookViewId="0">
      <selection activeCell="F22" sqref="F21:F22"/>
    </sheetView>
  </sheetViews>
  <sheetFormatPr defaultRowHeight="15" x14ac:dyDescent="0.25"/>
  <cols>
    <col min="1" max="1" width="3" customWidth="1"/>
    <col min="3" max="3" width="18.28515625" customWidth="1"/>
    <col min="4" max="4" width="10.140625" bestFit="1" customWidth="1"/>
    <col min="6" max="6" width="11.140625" customWidth="1"/>
    <col min="7" max="7" width="10.85546875" customWidth="1"/>
    <col min="8" max="8" width="11.28515625" customWidth="1"/>
  </cols>
  <sheetData>
    <row r="1" spans="1:20" x14ac:dyDescent="0.25">
      <c r="C1" t="s">
        <v>1015</v>
      </c>
    </row>
    <row r="3" spans="1:20" ht="124.5" x14ac:dyDescent="0.25">
      <c r="A3" s="451"/>
      <c r="B3" s="451"/>
      <c r="C3" s="451"/>
      <c r="D3" s="451" t="s">
        <v>1016</v>
      </c>
      <c r="E3" s="451" t="s">
        <v>1017</v>
      </c>
      <c r="F3" s="451" t="s">
        <v>1018</v>
      </c>
      <c r="G3" s="451" t="s">
        <v>1019</v>
      </c>
      <c r="H3" s="451" t="s">
        <v>1020</v>
      </c>
      <c r="I3" s="451" t="s">
        <v>1021</v>
      </c>
      <c r="J3" s="451" t="s">
        <v>1022</v>
      </c>
      <c r="K3" s="451" t="s">
        <v>1023</v>
      </c>
      <c r="L3" s="451"/>
      <c r="M3" s="451" t="s">
        <v>1024</v>
      </c>
      <c r="N3" s="451" t="s">
        <v>1025</v>
      </c>
      <c r="O3" s="451"/>
      <c r="P3" s="451" t="s">
        <v>1026</v>
      </c>
      <c r="Q3" s="451" t="s">
        <v>1027</v>
      </c>
      <c r="R3" s="451"/>
      <c r="S3" s="451"/>
    </row>
    <row r="4" spans="1:20" x14ac:dyDescent="0.25">
      <c r="B4" t="s">
        <v>386</v>
      </c>
      <c r="C4" t="s">
        <v>1028</v>
      </c>
      <c r="D4" s="320">
        <f>Run!AU22</f>
        <v>31574.486864967366</v>
      </c>
      <c r="E4" s="452">
        <v>0</v>
      </c>
      <c r="F4" s="371">
        <f>Run!AV22</f>
        <v>1978.7393953708568</v>
      </c>
      <c r="G4" s="453">
        <f>Summary!V39</f>
        <v>5.7000000000000002E-2</v>
      </c>
      <c r="H4" s="320">
        <f>Run!AY22</f>
        <v>33527.611974623942</v>
      </c>
      <c r="I4" s="392">
        <f>Run!BA22</f>
        <v>9.2999999999999999E-2</v>
      </c>
    </row>
    <row r="5" spans="1:20" x14ac:dyDescent="0.25">
      <c r="C5" t="s">
        <v>1029</v>
      </c>
      <c r="D5" s="47">
        <f>(H5-F5)*(1-E4)</f>
        <v>31616.538092070376</v>
      </c>
      <c r="E5" s="452"/>
      <c r="F5" s="98">
        <f>H4*G4</f>
        <v>1911.0738825535648</v>
      </c>
      <c r="G5" s="454">
        <f>F4/H4</f>
        <v>5.9018202574895762E-2</v>
      </c>
      <c r="H5" s="47">
        <f>K5-J5</f>
        <v>33527.611974623942</v>
      </c>
      <c r="J5" s="47">
        <f>K5*I4</f>
        <v>3437.7816026902165</v>
      </c>
      <c r="K5" s="47">
        <f>H4/(1-I4)</f>
        <v>36965.393577314157</v>
      </c>
      <c r="M5" s="47">
        <f>F5+J5</f>
        <v>5348.855485243781</v>
      </c>
      <c r="N5" s="454">
        <f>M5/K5</f>
        <v>0.14469899999999999</v>
      </c>
    </row>
    <row r="6" spans="1:20" x14ac:dyDescent="0.25">
      <c r="N6" s="452"/>
    </row>
    <row r="7" spans="1:20" x14ac:dyDescent="0.25">
      <c r="C7" t="s">
        <v>384</v>
      </c>
      <c r="D7" s="320">
        <f>D4*(Summary!W29/Summary!U29)</f>
        <v>78702.288093599374</v>
      </c>
      <c r="E7" s="452">
        <f>$E$4</f>
        <v>0</v>
      </c>
      <c r="F7" s="47">
        <f>H7*G7</f>
        <v>4757.1902665272164</v>
      </c>
      <c r="G7" s="452">
        <f>$G$4</f>
        <v>5.7000000000000002E-2</v>
      </c>
      <c r="H7" s="47">
        <f>D7/(1-E7)/(1-G7)</f>
        <v>83459.478360126595</v>
      </c>
      <c r="I7" s="452">
        <f>$I$4</f>
        <v>9.2999999999999999E-2</v>
      </c>
      <c r="J7" s="47">
        <f>K7*I7</f>
        <v>8557.587086539992</v>
      </c>
      <c r="K7" s="47">
        <f>H7/(1-I7)</f>
        <v>92017.065446666587</v>
      </c>
      <c r="M7" s="47">
        <f>F7+J7</f>
        <v>13314.777353067209</v>
      </c>
      <c r="N7" s="454">
        <f>M7/K7</f>
        <v>0.14469900000000002</v>
      </c>
      <c r="P7" s="455">
        <f>Summary!U39</f>
        <v>0.16999999999999998</v>
      </c>
      <c r="Q7" s="452">
        <f>(P7-I7)/(1-I7)</f>
        <v>8.4895259095920592E-2</v>
      </c>
    </row>
    <row r="8" spans="1:20" x14ac:dyDescent="0.25">
      <c r="C8" t="s">
        <v>1030</v>
      </c>
      <c r="D8" s="320">
        <f>D4*(Summary!X29/Summary!U29)</f>
        <v>158308.82898433492</v>
      </c>
      <c r="E8" s="452">
        <f t="shared" ref="E8:E9" si="0">$E$4</f>
        <v>0</v>
      </c>
      <c r="F8" s="47">
        <f t="shared" ref="F8" si="1">H8*G8</f>
        <v>26332.096326960804</v>
      </c>
      <c r="G8" s="452">
        <f>AVERAGE(G7,G9)</f>
        <v>0.14261245865490629</v>
      </c>
      <c r="H8" s="47">
        <f t="shared" ref="H8" si="2">D8/(1-E8)/(1-G8)</f>
        <v>184640.92531129572</v>
      </c>
      <c r="I8" s="452">
        <f t="shared" ref="I8:I9" si="3">$I$4</f>
        <v>9.2999999999999999E-2</v>
      </c>
      <c r="J8" s="47">
        <f t="shared" ref="J8:J9" si="4">K8*I8</f>
        <v>18932.310974587104</v>
      </c>
      <c r="K8" s="47">
        <f t="shared" ref="K8:K9" si="5">H8/(1-I8)</f>
        <v>203573.23628588283</v>
      </c>
      <c r="M8" s="47">
        <f>F8+J8</f>
        <v>45264.407301547908</v>
      </c>
      <c r="N8" s="454">
        <f>M8/K8</f>
        <v>0.22234950000000003</v>
      </c>
      <c r="P8" s="455">
        <f>(P9+P7)/2</f>
        <v>0.23499999999999999</v>
      </c>
      <c r="Q8" s="452">
        <f>(P8-I8)/(1-I8)</f>
        <v>0.15656008820286657</v>
      </c>
    </row>
    <row r="9" spans="1:20" x14ac:dyDescent="0.25">
      <c r="C9" t="s">
        <v>383</v>
      </c>
      <c r="D9" s="320">
        <f>D4*(Summary!Y29/Summary!U29)</f>
        <v>238206.02255986421</v>
      </c>
      <c r="E9" s="452">
        <f t="shared" si="0"/>
        <v>0</v>
      </c>
      <c r="F9" s="47">
        <f>H9*G9</f>
        <v>70440.923814131267</v>
      </c>
      <c r="G9" s="456">
        <f>(P9-I9)/(1-I9)</f>
        <v>0.22822491730981256</v>
      </c>
      <c r="H9" s="47">
        <f>D9/(1-E9)/(1-G9)</f>
        <v>308646.94637399545</v>
      </c>
      <c r="I9" s="452">
        <f t="shared" si="3"/>
        <v>9.2999999999999999E-2</v>
      </c>
      <c r="J9" s="47">
        <f t="shared" si="4"/>
        <v>31647.371568667666</v>
      </c>
      <c r="K9" s="47">
        <f t="shared" si="5"/>
        <v>340294.3179426631</v>
      </c>
      <c r="M9" s="47">
        <f>F9+J9</f>
        <v>102088.29538279894</v>
      </c>
      <c r="N9" s="454">
        <f>M9/K9</f>
        <v>0.30000000000000004</v>
      </c>
      <c r="P9" s="500">
        <v>0.3</v>
      </c>
      <c r="Q9" s="452">
        <f>(P9-I9)/(1-I9)</f>
        <v>0.22822491730981256</v>
      </c>
      <c r="T9" t="s">
        <v>1148</v>
      </c>
    </row>
    <row r="11" spans="1:20" x14ac:dyDescent="0.25">
      <c r="F11" s="47"/>
    </row>
    <row r="12" spans="1:20" ht="124.5" x14ac:dyDescent="0.25">
      <c r="A12" s="457"/>
      <c r="B12" s="457"/>
      <c r="C12" s="457"/>
      <c r="D12" s="457" t="s">
        <v>1031</v>
      </c>
      <c r="E12" s="451" t="s">
        <v>1023</v>
      </c>
      <c r="F12" s="451" t="s">
        <v>1021</v>
      </c>
      <c r="G12" s="451" t="s">
        <v>1022</v>
      </c>
      <c r="H12" s="457" t="s">
        <v>1032</v>
      </c>
      <c r="I12" s="451" t="s">
        <v>1020</v>
      </c>
      <c r="J12" s="451" t="s">
        <v>1019</v>
      </c>
      <c r="K12" s="451" t="s">
        <v>1018</v>
      </c>
      <c r="L12" s="451" t="s">
        <v>1017</v>
      </c>
      <c r="M12" s="451" t="s">
        <v>1033</v>
      </c>
      <c r="N12" s="457"/>
      <c r="O12" s="451" t="s">
        <v>1024</v>
      </c>
      <c r="P12" s="451" t="s">
        <v>1025</v>
      </c>
      <c r="Q12" s="451"/>
      <c r="R12" s="451" t="s">
        <v>1026</v>
      </c>
      <c r="S12" s="451" t="s">
        <v>1027</v>
      </c>
    </row>
    <row r="13" spans="1:20" x14ac:dyDescent="0.25">
      <c r="B13" t="s">
        <v>44</v>
      </c>
      <c r="C13" t="s">
        <v>1028</v>
      </c>
      <c r="D13" s="320">
        <v>11000000</v>
      </c>
      <c r="F13">
        <f>I4</f>
        <v>9.2999999999999999E-2</v>
      </c>
      <c r="I13" s="320">
        <f>Run!BB39</f>
        <v>246142.15550670325</v>
      </c>
      <c r="J13" s="458">
        <f>Run!BA39</f>
        <v>0.4271257154282373</v>
      </c>
      <c r="K13" s="459"/>
      <c r="L13" s="458">
        <f>E4</f>
        <v>0</v>
      </c>
      <c r="M13" s="459"/>
    </row>
    <row r="14" spans="1:20" x14ac:dyDescent="0.25">
      <c r="C14" t="s">
        <v>1029</v>
      </c>
      <c r="E14" s="47">
        <f>I13/(1-F13)</f>
        <v>271380.54631389549</v>
      </c>
      <c r="G14" s="47">
        <f>E14*F13</f>
        <v>25238.390807192281</v>
      </c>
      <c r="H14" s="460">
        <f>I13/(D13+0.0000000001)</f>
        <v>2.2376559591518477E-2</v>
      </c>
      <c r="I14" s="47">
        <f>D13*H14</f>
        <v>246142.15550670325</v>
      </c>
      <c r="K14" s="47">
        <f>I13*J13</f>
        <v>105133.64426784906</v>
      </c>
      <c r="M14" s="47">
        <f>I13*(1-J13)*(1-L13)</f>
        <v>141008.51123885417</v>
      </c>
      <c r="O14" s="47">
        <f>K14+G14</f>
        <v>130372.03507504133</v>
      </c>
      <c r="P14" s="454">
        <f>O14/(E14+0.0000000001)</f>
        <v>0.48040302389341105</v>
      </c>
      <c r="R14" s="456">
        <f>Summary!U43</f>
        <v>0.53200000000000003</v>
      </c>
    </row>
    <row r="15" spans="1:20" x14ac:dyDescent="0.25">
      <c r="P15" s="452"/>
    </row>
    <row r="16" spans="1:20" x14ac:dyDescent="0.25">
      <c r="C16" t="s">
        <v>384</v>
      </c>
      <c r="D16" s="320">
        <f>D13</f>
        <v>11000000</v>
      </c>
      <c r="E16" s="47">
        <f>I16/(1-F16)</f>
        <v>271380.54631389549</v>
      </c>
      <c r="F16">
        <f>F$13</f>
        <v>9.2999999999999999E-2</v>
      </c>
      <c r="G16" s="47">
        <f>E16*F16</f>
        <v>25238.390807192281</v>
      </c>
      <c r="H16" s="460">
        <f>H$14</f>
        <v>2.2376559591518477E-2</v>
      </c>
      <c r="I16" s="47">
        <f>D16*H16</f>
        <v>246142.15550670325</v>
      </c>
      <c r="J16" s="461">
        <f t="shared" ref="J16:J17" si="6">(R16-F16)/(1-F16)</f>
        <v>0.48401323042998901</v>
      </c>
      <c r="K16" s="47">
        <f>J16*I16</f>
        <v>119136.05983180014</v>
      </c>
      <c r="L16" s="460">
        <f t="shared" ref="L16:L18" si="7">L$13</f>
        <v>0</v>
      </c>
      <c r="M16" s="47">
        <f>I16*(1-J16)*(1-L16)</f>
        <v>127006.0956749031</v>
      </c>
      <c r="O16" s="47">
        <f t="shared" ref="O16:O18" si="8">K16+G16</f>
        <v>144374.45063899242</v>
      </c>
      <c r="P16" s="454">
        <f t="shared" ref="P16:P18" si="9">O16/(E16+0.0000000001)</f>
        <v>0.53199999999999981</v>
      </c>
      <c r="R16" s="456">
        <f>P7+(R14-P7)</f>
        <v>0.53200000000000003</v>
      </c>
      <c r="S16">
        <f>P7*(R14/P7)</f>
        <v>0.53200000000000003</v>
      </c>
    </row>
    <row r="17" spans="3:19" x14ac:dyDescent="0.25">
      <c r="C17" t="s">
        <v>1030</v>
      </c>
      <c r="D17" s="320">
        <f>(D16+D18)/2</f>
        <v>11000000</v>
      </c>
      <c r="E17" s="47">
        <f t="shared" ref="E17:E18" si="10">I17/(1-F17)</f>
        <v>271380.54631389549</v>
      </c>
      <c r="F17">
        <f t="shared" ref="F17:F18" si="11">F$13</f>
        <v>9.2999999999999999E-2</v>
      </c>
      <c r="G17" s="47">
        <f t="shared" ref="G17:G18" si="12">E17*F17</f>
        <v>25238.390807192281</v>
      </c>
      <c r="H17" s="460">
        <f t="shared" ref="H17:H18" si="13">H$14</f>
        <v>2.2376559591518477E-2</v>
      </c>
      <c r="I17" s="47">
        <f t="shared" ref="I17:I18" si="14">D17*H17</f>
        <v>246142.15550670325</v>
      </c>
      <c r="J17" s="461">
        <f t="shared" si="6"/>
        <v>0.63175303197353916</v>
      </c>
      <c r="K17" s="47">
        <f t="shared" ref="K17:K18" si="15">J17*I17</f>
        <v>155501.05303786215</v>
      </c>
      <c r="L17" s="460">
        <f t="shared" si="7"/>
        <v>0</v>
      </c>
      <c r="M17" s="47">
        <f t="shared" ref="M17:M18" si="16">I17*(1-J17)*(1-L17)</f>
        <v>90641.102468841098</v>
      </c>
      <c r="O17" s="47">
        <f t="shared" si="8"/>
        <v>180739.44384505443</v>
      </c>
      <c r="P17" s="454">
        <f t="shared" si="9"/>
        <v>0.66599999999999981</v>
      </c>
      <c r="R17" s="456">
        <f>(R16+R18)/2</f>
        <v>0.66600000000000004</v>
      </c>
      <c r="S17">
        <f>P8*(R14/P7)</f>
        <v>0.73541176470588243</v>
      </c>
    </row>
    <row r="18" spans="3:19" x14ac:dyDescent="0.25">
      <c r="C18" t="s">
        <v>383</v>
      </c>
      <c r="D18" s="320">
        <v>11000000</v>
      </c>
      <c r="E18" s="47">
        <f t="shared" si="10"/>
        <v>271380.54631389549</v>
      </c>
      <c r="F18">
        <f t="shared" si="11"/>
        <v>9.2999999999999999E-2</v>
      </c>
      <c r="G18" s="47">
        <f t="shared" si="12"/>
        <v>25238.390807192281</v>
      </c>
      <c r="H18" s="460">
        <f t="shared" si="13"/>
        <v>2.2376559591518477E-2</v>
      </c>
      <c r="I18" s="47">
        <f t="shared" si="14"/>
        <v>246142.15550670325</v>
      </c>
      <c r="J18" s="461">
        <f>(R18-F18)/(1-F18)</f>
        <v>0.77949283351708931</v>
      </c>
      <c r="K18" s="47">
        <f t="shared" si="15"/>
        <v>191866.04624392415</v>
      </c>
      <c r="L18" s="460">
        <f t="shared" si="7"/>
        <v>0</v>
      </c>
      <c r="M18" s="47">
        <f t="shared" si="16"/>
        <v>54276.109262779108</v>
      </c>
      <c r="O18" s="47">
        <f t="shared" si="8"/>
        <v>217104.43705111643</v>
      </c>
      <c r="P18" s="454">
        <f t="shared" si="9"/>
        <v>0.79999999999999982</v>
      </c>
      <c r="R18" s="456">
        <v>0.8</v>
      </c>
      <c r="S18">
        <f>P9*(R14/P7)</f>
        <v>0.93882352941176483</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Summary</vt:lpstr>
      <vt:lpstr>Spnrs</vt:lpstr>
      <vt:lpstr>Fishery</vt:lpstr>
      <vt:lpstr>Hatchery</vt:lpstr>
      <vt:lpstr>Data dictionary</vt:lpstr>
      <vt:lpstr>Background</vt:lpstr>
      <vt:lpstr>EDT</vt:lpstr>
      <vt:lpstr>Run</vt:lpstr>
      <vt:lpstr> Conv - LCR</vt:lpstr>
      <vt:lpstr>Conv - Tot</vt:lpstr>
      <vt:lpstr>OPI - Tab 5</vt:lpstr>
      <vt:lpstr>Documentation</vt:lpstr>
      <vt:lpstr>EDT!_Ref67714019</vt:lpstr>
    </vt:vector>
  </TitlesOfParts>
  <Company>Washington Dept of Fish &amp; Wildlife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xxx</cp:lastModifiedBy>
  <cp:lastPrinted>2018-03-21T02:06:12Z</cp:lastPrinted>
  <dcterms:created xsi:type="dcterms:W3CDTF">2017-07-28T03:47:43Z</dcterms:created>
  <dcterms:modified xsi:type="dcterms:W3CDTF">2022-01-20T03:16:14Z</dcterms:modified>
</cp:coreProperties>
</file>