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/>
  <mc:AlternateContent xmlns:mc="http://schemas.openxmlformats.org/markup-compatibility/2006">
    <mc:Choice Requires="x15">
      <x15ac:absPath xmlns:x15ac="http://schemas.microsoft.com/office/spreadsheetml/2010/11/ac" url="C:\Users\beame\Documents\NMFS Columbia Basin\10. Quantitative goals\MCR Chinook spring\"/>
    </mc:Choice>
  </mc:AlternateContent>
  <xr:revisionPtr revIDLastSave="0" documentId="8_{A51D8C7D-8C72-40F6-BF7E-9650F0677CC2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Summary" sheetId="1" r:id="rId1"/>
    <sheet name="documentation" sheetId="9" r:id="rId2"/>
    <sheet name="Conv" sheetId="8" r:id="rId3"/>
    <sheet name="Spawners" sheetId="2" r:id="rId4"/>
    <sheet name="Fishery" sheetId="3" r:id="rId5"/>
    <sheet name="Hatchery" sheetId="4" r:id="rId6"/>
    <sheet name="Runs" sheetId="5" r:id="rId7"/>
    <sheet name="Background" sheetId="6" r:id="rId8"/>
    <sheet name="data" sheetId="7" r:id="rId9"/>
  </sheets>
  <definedNames>
    <definedName name="_Ref485818207" localSheetId="6">Runs!$DC$57</definedName>
    <definedName name="_Ref485818332" localSheetId="6">Runs!$BV$57</definedName>
    <definedName name="solver_adj" localSheetId="2" hidden="1">Conv!$Z$18</definedName>
    <definedName name="solver_cvg" localSheetId="2" hidden="1">0.0001</definedName>
    <definedName name="solver_drv" localSheetId="2" hidden="1">1</definedName>
    <definedName name="solver_eng" localSheetId="2" hidden="1">1</definedName>
    <definedName name="solver_est" localSheetId="2" hidden="1">1</definedName>
    <definedName name="solver_itr" localSheetId="2" hidden="1">2147483647</definedName>
    <definedName name="solver_mip" localSheetId="2" hidden="1">2147483647</definedName>
    <definedName name="solver_mni" localSheetId="2" hidden="1">30</definedName>
    <definedName name="solver_mrt" localSheetId="2" hidden="1">0.075</definedName>
    <definedName name="solver_msl" localSheetId="2" hidden="1">2</definedName>
    <definedName name="solver_neg" localSheetId="2" hidden="1">1</definedName>
    <definedName name="solver_nod" localSheetId="2" hidden="1">2147483647</definedName>
    <definedName name="solver_num" localSheetId="2" hidden="1">0</definedName>
    <definedName name="solver_nwt" localSheetId="2" hidden="1">1</definedName>
    <definedName name="solver_opt" localSheetId="2" hidden="1">Conv!$T$18</definedName>
    <definedName name="solver_pre" localSheetId="2" hidden="1">0.000001</definedName>
    <definedName name="solver_rbv" localSheetId="2" hidden="1">1</definedName>
    <definedName name="solver_rlx" localSheetId="2" hidden="1">2</definedName>
    <definedName name="solver_rsd" localSheetId="2" hidden="1">0</definedName>
    <definedName name="solver_scl" localSheetId="2" hidden="1">1</definedName>
    <definedName name="solver_sho" localSheetId="2" hidden="1">2</definedName>
    <definedName name="solver_ssz" localSheetId="2" hidden="1">100</definedName>
    <definedName name="solver_tim" localSheetId="2" hidden="1">2147483647</definedName>
    <definedName name="solver_tol" localSheetId="2" hidden="1">0.01</definedName>
    <definedName name="solver_typ" localSheetId="2" hidden="1">3</definedName>
    <definedName name="solver_val" localSheetId="2" hidden="1">0.7</definedName>
    <definedName name="solver_ver" localSheetId="2" hidden="1">3</definedName>
  </definedNames>
  <calcPr calcId="181029"/>
  <customWorkbookViews>
    <customWorkbookView name="Ray Beamesderfer - Personal View" guid="{3A7DA3C1-0173-4B47-BB0F-573706FF66D2}" mergeInterval="0" personalView="1" maximized="1" xWindow="-1924" yWindow="-4" windowWidth="1928" windowHeight="1088" activeSheetId="1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E32" i="1" l="1"/>
  <c r="AE31" i="1"/>
  <c r="AE30" i="1"/>
  <c r="AE29" i="1"/>
  <c r="AE28" i="1"/>
  <c r="AE27" i="1"/>
  <c r="AE26" i="1"/>
  <c r="AE25" i="1"/>
  <c r="AE23" i="1"/>
  <c r="AE24" i="1"/>
  <c r="D18" i="8"/>
  <c r="D17" i="8" s="1"/>
  <c r="D16" i="8"/>
  <c r="Z51" i="5" l="1"/>
  <c r="Y51" i="5"/>
  <c r="Z50" i="5"/>
  <c r="Y50" i="5"/>
  <c r="Z49" i="5"/>
  <c r="Y49" i="5"/>
  <c r="Z48" i="5"/>
  <c r="Y48" i="5"/>
  <c r="Z47" i="5"/>
  <c r="Y47" i="5"/>
  <c r="Z46" i="5"/>
  <c r="Y46" i="5"/>
  <c r="Z45" i="5"/>
  <c r="Y45" i="5"/>
  <c r="Z44" i="5"/>
  <c r="Y44" i="5"/>
  <c r="Z43" i="5"/>
  <c r="Y43" i="5"/>
  <c r="Z42" i="5"/>
  <c r="Y42" i="5"/>
  <c r="Z41" i="5"/>
  <c r="Y41" i="5"/>
  <c r="Z40" i="5"/>
  <c r="Y40" i="5"/>
  <c r="Z39" i="5"/>
  <c r="Y39" i="5"/>
  <c r="Z38" i="5"/>
  <c r="Y38" i="5"/>
  <c r="Z37" i="5"/>
  <c r="Y37" i="5"/>
  <c r="Z36" i="5"/>
  <c r="Y36" i="5"/>
  <c r="Z35" i="5"/>
  <c r="Y35" i="5"/>
  <c r="Z34" i="5"/>
  <c r="Y34" i="5"/>
  <c r="Z33" i="5"/>
  <c r="Y33" i="5"/>
  <c r="Z32" i="5"/>
  <c r="Y32" i="5"/>
  <c r="Z31" i="5"/>
  <c r="Y31" i="5"/>
  <c r="Z30" i="5"/>
  <c r="Y30" i="5"/>
  <c r="Z29" i="5"/>
  <c r="Y29" i="5"/>
  <c r="L51" i="5"/>
  <c r="K51" i="5"/>
  <c r="J51" i="5"/>
  <c r="I51" i="5"/>
  <c r="H51" i="5"/>
  <c r="L50" i="5"/>
  <c r="K50" i="5"/>
  <c r="J50" i="5"/>
  <c r="I50" i="5"/>
  <c r="H50" i="5"/>
  <c r="L49" i="5"/>
  <c r="K49" i="5"/>
  <c r="J49" i="5"/>
  <c r="I49" i="5"/>
  <c r="H49" i="5"/>
  <c r="L48" i="5"/>
  <c r="K48" i="5"/>
  <c r="J48" i="5"/>
  <c r="I48" i="5"/>
  <c r="H48" i="5"/>
  <c r="L47" i="5"/>
  <c r="K47" i="5"/>
  <c r="J47" i="5"/>
  <c r="I47" i="5"/>
  <c r="H47" i="5"/>
  <c r="L46" i="5"/>
  <c r="K46" i="5"/>
  <c r="J46" i="5"/>
  <c r="I46" i="5"/>
  <c r="H46" i="5"/>
  <c r="L45" i="5"/>
  <c r="K45" i="5"/>
  <c r="J45" i="5"/>
  <c r="I45" i="5"/>
  <c r="H45" i="5"/>
  <c r="L44" i="5"/>
  <c r="K44" i="5"/>
  <c r="J44" i="5"/>
  <c r="I44" i="5"/>
  <c r="H44" i="5"/>
  <c r="L43" i="5"/>
  <c r="K43" i="5"/>
  <c r="J43" i="5"/>
  <c r="I43" i="5"/>
  <c r="H43" i="5"/>
  <c r="L42" i="5"/>
  <c r="K42" i="5"/>
  <c r="J42" i="5"/>
  <c r="J54" i="5" s="1"/>
  <c r="I42" i="5"/>
  <c r="H42" i="5"/>
  <c r="L41" i="5"/>
  <c r="K41" i="5"/>
  <c r="J41" i="5"/>
  <c r="I41" i="5"/>
  <c r="H41" i="5"/>
  <c r="L40" i="5"/>
  <c r="K40" i="5"/>
  <c r="J40" i="5"/>
  <c r="I40" i="5"/>
  <c r="H40" i="5"/>
  <c r="L39" i="5"/>
  <c r="K39" i="5"/>
  <c r="J39" i="5"/>
  <c r="I39" i="5"/>
  <c r="H39" i="5"/>
  <c r="L38" i="5"/>
  <c r="K38" i="5"/>
  <c r="J38" i="5"/>
  <c r="I38" i="5"/>
  <c r="H38" i="5"/>
  <c r="L37" i="5"/>
  <c r="K37" i="5"/>
  <c r="J37" i="5"/>
  <c r="I37" i="5"/>
  <c r="H37" i="5"/>
  <c r="L36" i="5"/>
  <c r="K36" i="5"/>
  <c r="J36" i="5"/>
  <c r="I36" i="5"/>
  <c r="H36" i="5"/>
  <c r="L35" i="5"/>
  <c r="K35" i="5"/>
  <c r="J35" i="5"/>
  <c r="I35" i="5"/>
  <c r="H35" i="5"/>
  <c r="L34" i="5"/>
  <c r="K34" i="5"/>
  <c r="J34" i="5"/>
  <c r="I34" i="5"/>
  <c r="H34" i="5"/>
  <c r="L33" i="5"/>
  <c r="K33" i="5"/>
  <c r="J33" i="5"/>
  <c r="I33" i="5"/>
  <c r="H33" i="5"/>
  <c r="L32" i="5"/>
  <c r="K32" i="5"/>
  <c r="J32" i="5"/>
  <c r="I32" i="5"/>
  <c r="H32" i="5"/>
  <c r="L31" i="5"/>
  <c r="K31" i="5"/>
  <c r="J31" i="5"/>
  <c r="I31" i="5"/>
  <c r="H31" i="5"/>
  <c r="L30" i="5"/>
  <c r="K30" i="5"/>
  <c r="J30" i="5"/>
  <c r="I30" i="5"/>
  <c r="H30" i="5"/>
  <c r="L29" i="5"/>
  <c r="K29" i="5"/>
  <c r="J29" i="5"/>
  <c r="I29" i="5"/>
  <c r="H29" i="5"/>
  <c r="H54" i="5" l="1"/>
  <c r="U38" i="1" s="1"/>
  <c r="K54" i="5"/>
  <c r="Y54" i="5"/>
  <c r="I54" i="5"/>
  <c r="Z54" i="5"/>
  <c r="O9" i="8"/>
  <c r="H9" i="8"/>
  <c r="O8" i="8"/>
  <c r="H8" i="8"/>
  <c r="O7" i="8"/>
  <c r="H7" i="8"/>
  <c r="M4" i="8"/>
  <c r="U39" i="1" l="1"/>
  <c r="U44" i="1" s="1"/>
  <c r="M9" i="8"/>
  <c r="M8" i="8"/>
  <c r="M7" i="8"/>
  <c r="AC51" i="5"/>
  <c r="F10" i="9" l="1"/>
  <c r="CQ54" i="5"/>
  <c r="CI55" i="5"/>
  <c r="U7" i="1" s="1"/>
  <c r="F4" i="9" s="1"/>
  <c r="CD55" i="5"/>
  <c r="U6" i="1" s="1"/>
  <c r="F3" i="9" s="1"/>
  <c r="DL55" i="5" l="1"/>
  <c r="DK55" i="5"/>
  <c r="DN52" i="5"/>
  <c r="DM52" i="5"/>
  <c r="DN51" i="5"/>
  <c r="DM51" i="5"/>
  <c r="DN50" i="5"/>
  <c r="DM50" i="5"/>
  <c r="DN49" i="5"/>
  <c r="DM49" i="5"/>
  <c r="DN48" i="5"/>
  <c r="DM48" i="5"/>
  <c r="DN47" i="5"/>
  <c r="DM47" i="5"/>
  <c r="DN46" i="5"/>
  <c r="DM46" i="5"/>
  <c r="DN45" i="5"/>
  <c r="DM45" i="5"/>
  <c r="DN44" i="5"/>
  <c r="DM44" i="5"/>
  <c r="DM55" i="5" s="1"/>
  <c r="F14" i="9" s="1"/>
  <c r="DN43" i="5"/>
  <c r="DM43" i="5"/>
  <c r="DN42" i="5"/>
  <c r="DM42" i="5"/>
  <c r="DN41" i="5"/>
  <c r="DM41" i="5"/>
  <c r="DN40" i="5"/>
  <c r="DM40" i="5"/>
  <c r="DN39" i="5"/>
  <c r="DM39" i="5"/>
  <c r="DN38" i="5"/>
  <c r="DM38" i="5"/>
  <c r="DN37" i="5"/>
  <c r="DM37" i="5"/>
  <c r="DN36" i="5"/>
  <c r="DM36" i="5"/>
  <c r="DN35" i="5"/>
  <c r="DM35" i="5"/>
  <c r="DN34" i="5"/>
  <c r="DM34" i="5"/>
  <c r="DN33" i="5"/>
  <c r="DM33" i="5"/>
  <c r="DN32" i="5"/>
  <c r="DM32" i="5"/>
  <c r="DN31" i="5"/>
  <c r="DM31" i="5"/>
  <c r="DN30" i="5"/>
  <c r="DM30" i="5"/>
  <c r="DN29" i="5"/>
  <c r="DM29" i="5"/>
  <c r="DN28" i="5"/>
  <c r="DM28" i="5"/>
  <c r="DN27" i="5"/>
  <c r="DM27" i="5"/>
  <c r="DN26" i="5"/>
  <c r="DM26" i="5"/>
  <c r="DN25" i="5"/>
  <c r="DM25" i="5"/>
  <c r="DN24" i="5"/>
  <c r="DM24" i="5"/>
  <c r="DN23" i="5"/>
  <c r="DM23" i="5"/>
  <c r="DN22" i="5"/>
  <c r="DM22" i="5"/>
  <c r="DN21" i="5"/>
  <c r="DM21" i="5"/>
  <c r="DN20" i="5"/>
  <c r="DM20" i="5"/>
  <c r="DN19" i="5"/>
  <c r="DM19" i="5"/>
  <c r="DN18" i="5"/>
  <c r="DM18" i="5"/>
  <c r="DN17" i="5"/>
  <c r="DM17" i="5"/>
  <c r="DN16" i="5"/>
  <c r="DM16" i="5"/>
  <c r="DN15" i="5"/>
  <c r="DM15" i="5"/>
  <c r="CW55" i="5"/>
  <c r="CU55" i="5"/>
  <c r="CV52" i="5"/>
  <c r="CV51" i="5"/>
  <c r="CV50" i="5"/>
  <c r="CV49" i="5"/>
  <c r="CV48" i="5"/>
  <c r="CV47" i="5"/>
  <c r="CV46" i="5"/>
  <c r="CV45" i="5"/>
  <c r="CV44" i="5"/>
  <c r="CV43" i="5"/>
  <c r="CV42" i="5"/>
  <c r="CV41" i="5"/>
  <c r="CV40" i="5"/>
  <c r="CV39" i="5"/>
  <c r="CV38" i="5"/>
  <c r="CV37" i="5"/>
  <c r="CV36" i="5"/>
  <c r="CV35" i="5"/>
  <c r="CV34" i="5"/>
  <c r="CV33" i="5"/>
  <c r="CV32" i="5"/>
  <c r="CV31" i="5"/>
  <c r="CV30" i="5"/>
  <c r="CV29" i="5"/>
  <c r="CV28" i="5"/>
  <c r="CV27" i="5"/>
  <c r="CV26" i="5"/>
  <c r="CV25" i="5"/>
  <c r="CV24" i="5"/>
  <c r="CV23" i="5"/>
  <c r="CV22" i="5"/>
  <c r="CV21" i="5"/>
  <c r="CV20" i="5"/>
  <c r="CV19" i="5"/>
  <c r="CV18" i="5"/>
  <c r="CV17" i="5"/>
  <c r="DN55" i="5" l="1"/>
  <c r="F15" i="9" s="1"/>
  <c r="CV55" i="5"/>
  <c r="CL48" i="5"/>
  <c r="CL52" i="5"/>
  <c r="CL51" i="5"/>
  <c r="CL50" i="5"/>
  <c r="CL49" i="5"/>
  <c r="BQ54" i="5" l="1"/>
  <c r="BP54" i="5"/>
  <c r="BO54" i="5"/>
  <c r="BO55" i="5" l="1"/>
  <c r="U9" i="1" s="1"/>
  <c r="F6" i="9" s="1"/>
  <c r="BP55" i="5"/>
  <c r="U11" i="1" s="1"/>
  <c r="F8" i="9" s="1"/>
  <c r="BQ55" i="5"/>
  <c r="F16" i="9"/>
  <c r="F2" i="9"/>
  <c r="O5" i="8"/>
  <c r="U10" i="1" l="1"/>
  <c r="F7" i="9" s="1"/>
  <c r="H5" i="8"/>
  <c r="Y9" i="8"/>
  <c r="M5" i="8"/>
  <c r="W33" i="1" l="1"/>
  <c r="V33" i="1"/>
  <c r="Y28" i="1" l="1"/>
  <c r="Y26" i="1"/>
  <c r="Y25" i="1"/>
  <c r="Y24" i="1"/>
  <c r="Y31" i="1"/>
  <c r="Y30" i="1"/>
  <c r="Y29" i="1" l="1"/>
  <c r="Y33" i="1"/>
  <c r="V7" i="1"/>
  <c r="F18" i="9" s="1"/>
  <c r="V9" i="1"/>
  <c r="F20" i="9" s="1"/>
  <c r="U41" i="1"/>
  <c r="V41" i="1"/>
  <c r="W41" i="1"/>
  <c r="V11" i="1"/>
  <c r="F22" i="9" s="1"/>
  <c r="AP11" i="1"/>
  <c r="V12" i="1"/>
  <c r="F23" i="9" s="1"/>
  <c r="V13" i="1"/>
  <c r="F24" i="9" s="1"/>
  <c r="V14" i="1"/>
  <c r="F25" i="9" s="1"/>
  <c r="V46" i="1"/>
  <c r="W46" i="1"/>
  <c r="V15" i="1"/>
  <c r="F26" i="9" s="1"/>
  <c r="V16" i="1"/>
  <c r="F27" i="9" s="1"/>
  <c r="F28" i="9"/>
  <c r="X23" i="1"/>
  <c r="V29" i="1"/>
  <c r="W29" i="1"/>
  <c r="AB33" i="1" l="1"/>
  <c r="AC33" i="1"/>
  <c r="E21" i="2"/>
  <c r="D14" i="8" l="1"/>
  <c r="U16" i="2"/>
  <c r="F70" i="9" s="1"/>
  <c r="U15" i="2"/>
  <c r="Y16" i="1" s="1"/>
  <c r="F69" i="9" s="1"/>
  <c r="U14" i="2"/>
  <c r="Y15" i="1" s="1"/>
  <c r="F68" i="9" s="1"/>
  <c r="U13" i="2"/>
  <c r="Y14" i="1" s="1"/>
  <c r="F67" i="9" s="1"/>
  <c r="U12" i="2"/>
  <c r="Y13" i="1" s="1"/>
  <c r="F66" i="9" s="1"/>
  <c r="U11" i="2"/>
  <c r="Y12" i="1" s="1"/>
  <c r="F65" i="9" s="1"/>
  <c r="U4" i="2"/>
  <c r="Y5" i="1" s="1"/>
  <c r="F58" i="9" s="1"/>
  <c r="S4" i="2"/>
  <c r="W5" i="1" s="1"/>
  <c r="F30" i="9" s="1"/>
  <c r="S16" i="2"/>
  <c r="F42" i="9" s="1"/>
  <c r="S15" i="2"/>
  <c r="W16" i="1" s="1"/>
  <c r="F41" i="9" s="1"/>
  <c r="S14" i="2"/>
  <c r="W15" i="1" s="1"/>
  <c r="F40" i="9" s="1"/>
  <c r="S13" i="2"/>
  <c r="W14" i="1" s="1"/>
  <c r="F39" i="9" s="1"/>
  <c r="S12" i="2"/>
  <c r="S11" i="2"/>
  <c r="W12" i="1" s="1"/>
  <c r="F37" i="9" s="1"/>
  <c r="S10" i="2"/>
  <c r="W11" i="1" s="1"/>
  <c r="F36" i="9" s="1"/>
  <c r="S9" i="2"/>
  <c r="W10" i="1" s="1"/>
  <c r="F35" i="9" s="1"/>
  <c r="S8" i="2"/>
  <c r="W9" i="1" s="1"/>
  <c r="F34" i="9" s="1"/>
  <c r="S7" i="2"/>
  <c r="W8" i="1" s="1"/>
  <c r="F33" i="9" s="1"/>
  <c r="S6" i="2"/>
  <c r="W7" i="1" s="1"/>
  <c r="F32" i="9" s="1"/>
  <c r="S5" i="2"/>
  <c r="W6" i="1" s="1"/>
  <c r="F31" i="9" s="1"/>
  <c r="S17" i="2"/>
  <c r="W18" i="1" s="1"/>
  <c r="F43" i="9" s="1"/>
  <c r="T12" i="2" l="1"/>
  <c r="X13" i="1" s="1"/>
  <c r="F52" i="9" s="1"/>
  <c r="W13" i="1"/>
  <c r="U10" i="2"/>
  <c r="Y11" i="1" s="1"/>
  <c r="F64" i="9" s="1"/>
  <c r="U8" i="2"/>
  <c r="Y9" i="1" s="1"/>
  <c r="F62" i="9" s="1"/>
  <c r="U9" i="2"/>
  <c r="Y10" i="1" s="1"/>
  <c r="F63" i="9" s="1"/>
  <c r="T15" i="2"/>
  <c r="X16" i="1" s="1"/>
  <c r="F55" i="9" s="1"/>
  <c r="T16" i="2"/>
  <c r="F56" i="9" s="1"/>
  <c r="T10" i="2"/>
  <c r="X11" i="1" s="1"/>
  <c r="F50" i="9" s="1"/>
  <c r="T11" i="2"/>
  <c r="X12" i="1" s="1"/>
  <c r="F51" i="9" s="1"/>
  <c r="T13" i="2"/>
  <c r="X14" i="1" s="1"/>
  <c r="F53" i="9" s="1"/>
  <c r="T14" i="2"/>
  <c r="X15" i="1" s="1"/>
  <c r="F54" i="9" s="1"/>
  <c r="T8" i="2"/>
  <c r="X9" i="1" s="1"/>
  <c r="F48" i="9" s="1"/>
  <c r="T4" i="2"/>
  <c r="X5" i="1" s="1"/>
  <c r="F44" i="9" s="1"/>
  <c r="I17" i="2"/>
  <c r="F29" i="9" s="1"/>
  <c r="K17" i="2"/>
  <c r="G17" i="2"/>
  <c r="J16" i="2"/>
  <c r="J15" i="2"/>
  <c r="J14" i="2"/>
  <c r="J13" i="2"/>
  <c r="J12" i="2"/>
  <c r="W19" i="1" l="1"/>
  <c r="F38" i="9"/>
  <c r="U17" i="2"/>
  <c r="T9" i="2"/>
  <c r="X10" i="1" s="1"/>
  <c r="F49" i="9" s="1"/>
  <c r="J17" i="2"/>
  <c r="CQ36" i="5"/>
  <c r="CP36" i="5" s="1"/>
  <c r="CQ35" i="5"/>
  <c r="CP35" i="5" s="1"/>
  <c r="CQ34" i="5"/>
  <c r="CP34" i="5" s="1"/>
  <c r="CQ33" i="5"/>
  <c r="CP33" i="5" s="1"/>
  <c r="CQ32" i="5"/>
  <c r="CP32" i="5" s="1"/>
  <c r="CQ31" i="5"/>
  <c r="CP31" i="5" s="1"/>
  <c r="CQ30" i="5"/>
  <c r="CP30" i="5" s="1"/>
  <c r="CQ29" i="5"/>
  <c r="CQ28" i="5"/>
  <c r="CQ27" i="5"/>
  <c r="CQ26" i="5"/>
  <c r="CQ25" i="5"/>
  <c r="CQ24" i="5"/>
  <c r="CQ23" i="5"/>
  <c r="K7" i="2"/>
  <c r="U7" i="2" s="1"/>
  <c r="Y8" i="1" s="1"/>
  <c r="F61" i="9" s="1"/>
  <c r="K6" i="2"/>
  <c r="U6" i="2" s="1"/>
  <c r="Y7" i="1" s="1"/>
  <c r="F60" i="9" s="1"/>
  <c r="K5" i="2"/>
  <c r="U5" i="2" s="1"/>
  <c r="Y6" i="1" s="1"/>
  <c r="F59" i="9" s="1"/>
  <c r="J10" i="2"/>
  <c r="J8" i="2"/>
  <c r="J6" i="2"/>
  <c r="E23" i="1" l="1"/>
  <c r="D7" i="8"/>
  <c r="V59" i="1" s="1"/>
  <c r="CP54" i="5"/>
  <c r="CO54" i="5" s="1"/>
  <c r="U12" i="1" s="1"/>
  <c r="T17" i="2"/>
  <c r="F57" i="9" s="1"/>
  <c r="F71" i="9"/>
  <c r="Y19" i="1"/>
  <c r="T5" i="2"/>
  <c r="X6" i="1" s="1"/>
  <c r="T6" i="2"/>
  <c r="X7" i="1" s="1"/>
  <c r="F46" i="9" s="1"/>
  <c r="T7" i="2"/>
  <c r="X8" i="1" s="1"/>
  <c r="F47" i="9" s="1"/>
  <c r="G7" i="2"/>
  <c r="I7" i="2"/>
  <c r="V8" i="1" s="1"/>
  <c r="F19" i="9" s="1"/>
  <c r="X19" i="1" l="1"/>
  <c r="F45" i="9"/>
  <c r="E25" i="1"/>
  <c r="D9" i="8"/>
  <c r="X59" i="1" s="1"/>
  <c r="F9" i="9"/>
  <c r="U19" i="1"/>
  <c r="J7" i="2"/>
  <c r="G5" i="2"/>
  <c r="I5" i="2"/>
  <c r="V6" i="1" s="1"/>
  <c r="F17" i="9" s="1"/>
  <c r="E24" i="1" l="1"/>
  <c r="D8" i="8"/>
  <c r="W59" i="1" s="1"/>
  <c r="E22" i="1"/>
  <c r="D4" i="8"/>
  <c r="D5" i="8" s="1"/>
  <c r="U59" i="1"/>
  <c r="J5" i="2"/>
  <c r="H9" i="2"/>
  <c r="G9" i="2"/>
  <c r="I9" i="2"/>
  <c r="V10" i="1" s="1"/>
  <c r="V19" i="1" l="1"/>
  <c r="E26" i="1" s="1"/>
  <c r="F21" i="9"/>
  <c r="J9" i="2"/>
  <c r="AC50" i="5" l="1"/>
  <c r="AC49" i="5"/>
  <c r="AC48" i="5"/>
  <c r="AC47" i="5"/>
  <c r="AC46" i="5"/>
  <c r="AC45" i="5"/>
  <c r="AC44" i="5"/>
  <c r="AC43" i="5"/>
  <c r="AC42" i="5"/>
  <c r="AC41" i="5"/>
  <c r="AC40" i="5"/>
  <c r="AC39" i="5"/>
  <c r="AC38" i="5"/>
  <c r="AC37" i="5"/>
  <c r="AC36" i="5"/>
  <c r="AC35" i="5"/>
  <c r="AC34" i="5"/>
  <c r="AC33" i="5"/>
  <c r="AC32" i="5"/>
  <c r="AC31" i="5"/>
  <c r="AC30" i="5"/>
  <c r="AC29" i="5"/>
  <c r="AD51" i="5"/>
  <c r="AD50" i="5"/>
  <c r="AD49" i="5"/>
  <c r="AD48" i="5"/>
  <c r="AD47" i="5"/>
  <c r="AD46" i="5"/>
  <c r="AD45" i="5"/>
  <c r="AD44" i="5"/>
  <c r="AD43" i="5"/>
  <c r="AD42" i="5"/>
  <c r="AD41" i="5"/>
  <c r="AD40" i="5"/>
  <c r="AD39" i="5"/>
  <c r="AD38" i="5"/>
  <c r="AD37" i="5"/>
  <c r="AD36" i="5"/>
  <c r="AD35" i="5"/>
  <c r="AD34" i="5"/>
  <c r="AD33" i="5"/>
  <c r="AD32" i="5"/>
  <c r="AD31" i="5"/>
  <c r="AD30" i="5"/>
  <c r="AD29" i="5"/>
  <c r="E69" i="1"/>
  <c r="AC54" i="5" l="1"/>
  <c r="AD58" i="5" s="1"/>
  <c r="AD54" i="5"/>
  <c r="AD59" i="5" s="1"/>
  <c r="AM54" i="5" l="1"/>
  <c r="AL54" i="5"/>
  <c r="AJ54" i="5"/>
  <c r="AI54" i="5"/>
  <c r="W54" i="5"/>
  <c r="V54" i="5"/>
  <c r="U54" i="5"/>
  <c r="T54" i="5"/>
  <c r="S54" i="5"/>
  <c r="R54" i="5"/>
  <c r="Q54" i="5"/>
  <c r="O54" i="5"/>
  <c r="N54" i="5"/>
  <c r="M54" i="5"/>
  <c r="G54" i="5"/>
  <c r="F54" i="5"/>
  <c r="E54" i="5"/>
  <c r="D54" i="5"/>
  <c r="C54" i="5"/>
  <c r="B54" i="5"/>
  <c r="AF51" i="5"/>
  <c r="AE51" i="5"/>
  <c r="AF50" i="5"/>
  <c r="AE50" i="5"/>
  <c r="AF49" i="5"/>
  <c r="AE49" i="5"/>
  <c r="AF48" i="5"/>
  <c r="AE48" i="5"/>
  <c r="AF47" i="5"/>
  <c r="AE47" i="5"/>
  <c r="AF46" i="5"/>
  <c r="AE46" i="5"/>
  <c r="AF45" i="5"/>
  <c r="AE45" i="5"/>
  <c r="AF44" i="5"/>
  <c r="AE44" i="5"/>
  <c r="AF43" i="5"/>
  <c r="AE43" i="5"/>
  <c r="AF42" i="5"/>
  <c r="AE42" i="5"/>
  <c r="AF41" i="5"/>
  <c r="AE41" i="5"/>
  <c r="AF40" i="5"/>
  <c r="AE40" i="5"/>
  <c r="AF39" i="5"/>
  <c r="AE39" i="5"/>
  <c r="AF38" i="5"/>
  <c r="AE38" i="5"/>
  <c r="AF37" i="5"/>
  <c r="AE37" i="5"/>
  <c r="AF36" i="5"/>
  <c r="AE36" i="5"/>
  <c r="AF35" i="5"/>
  <c r="AE35" i="5"/>
  <c r="AF34" i="5"/>
  <c r="AE34" i="5"/>
  <c r="AF33" i="5"/>
  <c r="AE33" i="5"/>
  <c r="AF32" i="5"/>
  <c r="AE32" i="5"/>
  <c r="AF31" i="5"/>
  <c r="AE31" i="5"/>
  <c r="AF30" i="5"/>
  <c r="AE30" i="5"/>
  <c r="AF29" i="5"/>
  <c r="AE29" i="5"/>
  <c r="AB51" i="5"/>
  <c r="AB50" i="5"/>
  <c r="AB49" i="5"/>
  <c r="AB48" i="5"/>
  <c r="AB47" i="5"/>
  <c r="AB46" i="5"/>
  <c r="AB45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Q30" i="5"/>
  <c r="AQ31" i="5" s="1"/>
  <c r="AQ32" i="5" s="1"/>
  <c r="AQ33" i="5" s="1"/>
  <c r="AQ34" i="5" s="1"/>
  <c r="AQ35" i="5" s="1"/>
  <c r="AQ36" i="5" s="1"/>
  <c r="AQ37" i="5" s="1"/>
  <c r="AQ38" i="5" s="1"/>
  <c r="AQ39" i="5" s="1"/>
  <c r="AQ40" i="5" s="1"/>
  <c r="AQ41" i="5" s="1"/>
  <c r="AQ42" i="5" s="1"/>
  <c r="AN51" i="5"/>
  <c r="AN50" i="5"/>
  <c r="AN49" i="5"/>
  <c r="AN48" i="5"/>
  <c r="AN47" i="5"/>
  <c r="AN46" i="5"/>
  <c r="AN45" i="5"/>
  <c r="AN44" i="5"/>
  <c r="AN43" i="5"/>
  <c r="AN42" i="5"/>
  <c r="AN41" i="5"/>
  <c r="AN40" i="5"/>
  <c r="AN39" i="5"/>
  <c r="AN38" i="5"/>
  <c r="AN37" i="5"/>
  <c r="AN36" i="5"/>
  <c r="AN35" i="5"/>
  <c r="AN34" i="5"/>
  <c r="AN33" i="5"/>
  <c r="AN32" i="5"/>
  <c r="AN31" i="5"/>
  <c r="AN30" i="5"/>
  <c r="AN29" i="5"/>
  <c r="AN28" i="5"/>
  <c r="AN27" i="5"/>
  <c r="AN26" i="5"/>
  <c r="AN25" i="5"/>
  <c r="AN24" i="5"/>
  <c r="AN23" i="5"/>
  <c r="AN22" i="5"/>
  <c r="AN21" i="5"/>
  <c r="AN20" i="5"/>
  <c r="AN19" i="5"/>
  <c r="AN18" i="5"/>
  <c r="AN17" i="5"/>
  <c r="AN16" i="5"/>
  <c r="AN15" i="5"/>
  <c r="AN14" i="5"/>
  <c r="AN13" i="5"/>
  <c r="AN12" i="5"/>
  <c r="AN11" i="5"/>
  <c r="AN10" i="5"/>
  <c r="AN9" i="5"/>
  <c r="AN8" i="5"/>
  <c r="AN7" i="5"/>
  <c r="AN6" i="5"/>
  <c r="AN5" i="5"/>
  <c r="AN4" i="5"/>
  <c r="AK51" i="5"/>
  <c r="AP51" i="5" s="1"/>
  <c r="AK50" i="5"/>
  <c r="AP50" i="5" s="1"/>
  <c r="AK49" i="5"/>
  <c r="AP49" i="5" s="1"/>
  <c r="AK48" i="5"/>
  <c r="AP48" i="5" s="1"/>
  <c r="AK47" i="5"/>
  <c r="AP47" i="5" s="1"/>
  <c r="AK46" i="5"/>
  <c r="AP46" i="5" s="1"/>
  <c r="AK45" i="5"/>
  <c r="AP45" i="5" s="1"/>
  <c r="AK44" i="5"/>
  <c r="AP44" i="5" s="1"/>
  <c r="AK43" i="5"/>
  <c r="AP43" i="5" s="1"/>
  <c r="AK42" i="5"/>
  <c r="AK41" i="5"/>
  <c r="AP41" i="5" s="1"/>
  <c r="AK40" i="5"/>
  <c r="AP40" i="5" s="1"/>
  <c r="AK39" i="5"/>
  <c r="AP39" i="5" s="1"/>
  <c r="AK38" i="5"/>
  <c r="AP38" i="5" s="1"/>
  <c r="AK37" i="5"/>
  <c r="AP37" i="5" s="1"/>
  <c r="AK36" i="5"/>
  <c r="AP36" i="5" s="1"/>
  <c r="AK35" i="5"/>
  <c r="AP35" i="5" s="1"/>
  <c r="AK34" i="5"/>
  <c r="AP34" i="5" s="1"/>
  <c r="AK33" i="5"/>
  <c r="AP33" i="5" s="1"/>
  <c r="AK32" i="5"/>
  <c r="AP32" i="5" s="1"/>
  <c r="AK31" i="5"/>
  <c r="AP31" i="5" s="1"/>
  <c r="AK30" i="5"/>
  <c r="AP30" i="5" s="1"/>
  <c r="AK29" i="5"/>
  <c r="AK28" i="5"/>
  <c r="AK27" i="5"/>
  <c r="AK26" i="5"/>
  <c r="AK25" i="5"/>
  <c r="AK24" i="5"/>
  <c r="AK23" i="5"/>
  <c r="AK22" i="5"/>
  <c r="AK21" i="5"/>
  <c r="AK20" i="5"/>
  <c r="AK19" i="5"/>
  <c r="AK18" i="5"/>
  <c r="AK17" i="5"/>
  <c r="AK16" i="5"/>
  <c r="AK15" i="5"/>
  <c r="AK14" i="5"/>
  <c r="AK13" i="5"/>
  <c r="AK12" i="5"/>
  <c r="AK11" i="5"/>
  <c r="AK10" i="5"/>
  <c r="AK9" i="5"/>
  <c r="AK8" i="5"/>
  <c r="AK7" i="5"/>
  <c r="AK6" i="5"/>
  <c r="AK5" i="5"/>
  <c r="AK4" i="5"/>
  <c r="P51" i="5"/>
  <c r="AA51" i="5" s="1"/>
  <c r="P50" i="5"/>
  <c r="AA50" i="5" s="1"/>
  <c r="P49" i="5"/>
  <c r="AA49" i="5" s="1"/>
  <c r="P48" i="5"/>
  <c r="P47" i="5"/>
  <c r="P46" i="5"/>
  <c r="AA46" i="5" s="1"/>
  <c r="P45" i="5"/>
  <c r="AA45" i="5" s="1"/>
  <c r="P44" i="5"/>
  <c r="AA44" i="5" s="1"/>
  <c r="P43" i="5"/>
  <c r="AA43" i="5" s="1"/>
  <c r="P42" i="5"/>
  <c r="P41" i="5"/>
  <c r="P40" i="5"/>
  <c r="P39" i="5"/>
  <c r="AA39" i="5" s="1"/>
  <c r="P38" i="5"/>
  <c r="P37" i="5"/>
  <c r="P36" i="5"/>
  <c r="AA36" i="5" s="1"/>
  <c r="P35" i="5"/>
  <c r="AA35" i="5" s="1"/>
  <c r="P34" i="5"/>
  <c r="AA34" i="5" s="1"/>
  <c r="P33" i="5"/>
  <c r="AA33" i="5" s="1"/>
  <c r="P32" i="5"/>
  <c r="AA32" i="5" s="1"/>
  <c r="P31" i="5"/>
  <c r="P30" i="5"/>
  <c r="P29" i="5"/>
  <c r="P28" i="5"/>
  <c r="AU28" i="5" s="1"/>
  <c r="P27" i="5"/>
  <c r="AU27" i="5" s="1"/>
  <c r="P26" i="5"/>
  <c r="AU26" i="5" s="1"/>
  <c r="P25" i="5"/>
  <c r="AU25" i="5" s="1"/>
  <c r="P24" i="5"/>
  <c r="AU24" i="5" s="1"/>
  <c r="P23" i="5"/>
  <c r="AU23" i="5" s="1"/>
  <c r="P22" i="5"/>
  <c r="AU22" i="5" s="1"/>
  <c r="P21" i="5"/>
  <c r="AU21" i="5" s="1"/>
  <c r="P20" i="5"/>
  <c r="AU20" i="5" s="1"/>
  <c r="P19" i="5"/>
  <c r="AU19" i="5" s="1"/>
  <c r="P18" i="5"/>
  <c r="AU18" i="5" s="1"/>
  <c r="P17" i="5"/>
  <c r="AU17" i="5" s="1"/>
  <c r="P16" i="5"/>
  <c r="AU16" i="5" s="1"/>
  <c r="P15" i="5"/>
  <c r="AU15" i="5" s="1"/>
  <c r="P14" i="5"/>
  <c r="AU14" i="5" s="1"/>
  <c r="P13" i="5"/>
  <c r="AU13" i="5" s="1"/>
  <c r="P12" i="5"/>
  <c r="AU12" i="5" s="1"/>
  <c r="P11" i="5"/>
  <c r="AU11" i="5" s="1"/>
  <c r="P10" i="5"/>
  <c r="AU10" i="5" s="1"/>
  <c r="P9" i="5"/>
  <c r="AU9" i="5" s="1"/>
  <c r="P8" i="5"/>
  <c r="AU8" i="5" s="1"/>
  <c r="P7" i="5"/>
  <c r="AU7" i="5" s="1"/>
  <c r="P6" i="5"/>
  <c r="AU6" i="5" s="1"/>
  <c r="P5" i="5"/>
  <c r="AU5" i="5" s="1"/>
  <c r="P4" i="5"/>
  <c r="AU4" i="5" s="1"/>
  <c r="AP29" i="5" l="1"/>
  <c r="AG39" i="5"/>
  <c r="AG40" i="5"/>
  <c r="AG45" i="5"/>
  <c r="AG31" i="5"/>
  <c r="AG47" i="5"/>
  <c r="AN54" i="5"/>
  <c r="AG32" i="5"/>
  <c r="AG35" i="5"/>
  <c r="AG51" i="5"/>
  <c r="AG48" i="5"/>
  <c r="AR32" i="5"/>
  <c r="AS32" i="5" s="1"/>
  <c r="P54" i="5"/>
  <c r="AA42" i="5"/>
  <c r="AB54" i="5"/>
  <c r="AG37" i="5"/>
  <c r="AG30" i="5"/>
  <c r="AG38" i="5"/>
  <c r="AG46" i="5"/>
  <c r="AG43" i="5"/>
  <c r="AR33" i="5"/>
  <c r="AS33" i="5" s="1"/>
  <c r="AW33" i="5" s="1"/>
  <c r="AX33" i="5" s="1"/>
  <c r="AG36" i="5"/>
  <c r="AG44" i="5"/>
  <c r="AR34" i="5"/>
  <c r="AS34" i="5" s="1"/>
  <c r="AW34" i="5" s="1"/>
  <c r="AX34" i="5" s="1"/>
  <c r="AG42" i="5"/>
  <c r="AG50" i="5"/>
  <c r="AK54" i="5"/>
  <c r="AP42" i="5"/>
  <c r="AP54" i="5" s="1"/>
  <c r="AG29" i="5"/>
  <c r="AG34" i="5"/>
  <c r="AA31" i="5"/>
  <c r="AR31" i="5" s="1"/>
  <c r="AS31" i="5" s="1"/>
  <c r="AA47" i="5"/>
  <c r="AR39" i="5"/>
  <c r="AS39" i="5" s="1"/>
  <c r="L54" i="5"/>
  <c r="AA40" i="5"/>
  <c r="AR40" i="5" s="1"/>
  <c r="AS40" i="5" s="1"/>
  <c r="AA48" i="5"/>
  <c r="AR35" i="5"/>
  <c r="AS35" i="5" s="1"/>
  <c r="AQ43" i="5"/>
  <c r="AQ44" i="5" s="1"/>
  <c r="AQ45" i="5" s="1"/>
  <c r="AQ46" i="5" s="1"/>
  <c r="AQ47" i="5" s="1"/>
  <c r="AQ48" i="5" s="1"/>
  <c r="AQ49" i="5" s="1"/>
  <c r="AQ50" i="5" s="1"/>
  <c r="AQ51" i="5" s="1"/>
  <c r="AR51" i="5" s="1"/>
  <c r="AS51" i="5" s="1"/>
  <c r="AG33" i="5"/>
  <c r="AG41" i="5"/>
  <c r="AG49" i="5"/>
  <c r="AR36" i="5"/>
  <c r="AS36" i="5" s="1"/>
  <c r="AA41" i="5"/>
  <c r="AR41" i="5" s="1"/>
  <c r="AS41" i="5" s="1"/>
  <c r="AE54" i="5"/>
  <c r="AF54" i="5"/>
  <c r="AD60" i="5" s="1"/>
  <c r="AA29" i="5"/>
  <c r="AR29" i="5" s="1"/>
  <c r="AS29" i="5" s="1"/>
  <c r="AA37" i="5"/>
  <c r="AR37" i="5" s="1"/>
  <c r="AS37" i="5" s="1"/>
  <c r="AA30" i="5"/>
  <c r="AR30" i="5" s="1"/>
  <c r="AS30" i="5" s="1"/>
  <c r="AA38" i="5"/>
  <c r="AR38" i="5" s="1"/>
  <c r="AS38" i="5" s="1"/>
  <c r="N69" i="1"/>
  <c r="K69" i="1"/>
  <c r="G13" i="8" l="1"/>
  <c r="U43" i="1"/>
  <c r="U46" i="1" s="1"/>
  <c r="AZ34" i="5"/>
  <c r="AR48" i="5"/>
  <c r="AS48" i="5" s="1"/>
  <c r="AW48" i="5" s="1"/>
  <c r="AV34" i="5"/>
  <c r="AR42" i="5"/>
  <c r="AS42" i="5" s="1"/>
  <c r="AY42" i="5" s="1"/>
  <c r="AR45" i="5"/>
  <c r="AS45" i="5" s="1"/>
  <c r="AW45" i="5" s="1"/>
  <c r="AZ33" i="5"/>
  <c r="AR50" i="5"/>
  <c r="AS50" i="5" s="1"/>
  <c r="AW50" i="5" s="1"/>
  <c r="AR49" i="5"/>
  <c r="AS49" i="5" s="1"/>
  <c r="AV49" i="5" s="1"/>
  <c r="AQ54" i="5"/>
  <c r="L13" i="8" s="1"/>
  <c r="AG54" i="5"/>
  <c r="AY34" i="5"/>
  <c r="BA34" i="5" s="1"/>
  <c r="AV33" i="5"/>
  <c r="AY33" i="5"/>
  <c r="BA33" i="5" s="1"/>
  <c r="AV38" i="5"/>
  <c r="AY38" i="5"/>
  <c r="BA38" i="5" s="1"/>
  <c r="AW38" i="5"/>
  <c r="AW35" i="5"/>
  <c r="AY35" i="5"/>
  <c r="BA35" i="5" s="1"/>
  <c r="AV35" i="5"/>
  <c r="AW37" i="5"/>
  <c r="AV37" i="5"/>
  <c r="AY37" i="5"/>
  <c r="BA37" i="5" s="1"/>
  <c r="AV29" i="5"/>
  <c r="AW29" i="5"/>
  <c r="AY29" i="5"/>
  <c r="BA29" i="5" s="1"/>
  <c r="AW31" i="5"/>
  <c r="AY31" i="5"/>
  <c r="BA31" i="5" s="1"/>
  <c r="AV31" i="5"/>
  <c r="AW39" i="5"/>
  <c r="AY39" i="5"/>
  <c r="BA39" i="5" s="1"/>
  <c r="AV39" i="5"/>
  <c r="AV30" i="5"/>
  <c r="AW30" i="5"/>
  <c r="AY30" i="5"/>
  <c r="BA30" i="5" s="1"/>
  <c r="AW51" i="5"/>
  <c r="AY51" i="5"/>
  <c r="BA51" i="5" s="1"/>
  <c r="AV51" i="5"/>
  <c r="AW41" i="5"/>
  <c r="AY41" i="5"/>
  <c r="BA41" i="5" s="1"/>
  <c r="AV41" i="5"/>
  <c r="AV45" i="5"/>
  <c r="AY45" i="5"/>
  <c r="BA45" i="5" s="1"/>
  <c r="AW36" i="5"/>
  <c r="AY36" i="5"/>
  <c r="BA36" i="5" s="1"/>
  <c r="AV36" i="5"/>
  <c r="AW40" i="5"/>
  <c r="AY40" i="5"/>
  <c r="BA40" i="5" s="1"/>
  <c r="AV40" i="5"/>
  <c r="AA54" i="5"/>
  <c r="AW32" i="5"/>
  <c r="AY32" i="5"/>
  <c r="BA32" i="5" s="1"/>
  <c r="AV32" i="5"/>
  <c r="AR44" i="5"/>
  <c r="AS44" i="5" s="1"/>
  <c r="AR46" i="5"/>
  <c r="AS46" i="5" s="1"/>
  <c r="AR47" i="5"/>
  <c r="AS47" i="5" s="1"/>
  <c r="AR43" i="5"/>
  <c r="AS43" i="5" s="1"/>
  <c r="L14" i="8" l="1"/>
  <c r="L16" i="8"/>
  <c r="L18" i="8"/>
  <c r="L17" i="8"/>
  <c r="G14" i="8"/>
  <c r="G18" i="8"/>
  <c r="G17" i="8"/>
  <c r="G16" i="8"/>
  <c r="AZ37" i="5"/>
  <c r="AX37" i="5"/>
  <c r="AZ38" i="5"/>
  <c r="AX38" i="5"/>
  <c r="AZ36" i="5"/>
  <c r="AX36" i="5"/>
  <c r="AZ51" i="5"/>
  <c r="AX51" i="5"/>
  <c r="AZ50" i="5"/>
  <c r="AX50" i="5"/>
  <c r="AZ32" i="5"/>
  <c r="AX32" i="5"/>
  <c r="AZ40" i="5"/>
  <c r="AX40" i="5"/>
  <c r="AZ41" i="5"/>
  <c r="AX41" i="5"/>
  <c r="AZ31" i="5"/>
  <c r="AX31" i="5"/>
  <c r="AZ48" i="5"/>
  <c r="AX48" i="5"/>
  <c r="AZ29" i="5"/>
  <c r="AX29" i="5"/>
  <c r="AZ30" i="5"/>
  <c r="AX30" i="5"/>
  <c r="AZ39" i="5"/>
  <c r="AX39" i="5"/>
  <c r="AZ35" i="5"/>
  <c r="AX35" i="5"/>
  <c r="AZ45" i="5"/>
  <c r="AX45" i="5"/>
  <c r="J4" i="8"/>
  <c r="J13" i="8"/>
  <c r="N13" i="8" s="1"/>
  <c r="AW42" i="5"/>
  <c r="AX42" i="5" s="1"/>
  <c r="AV42" i="5"/>
  <c r="AV48" i="5"/>
  <c r="AY48" i="5"/>
  <c r="BA48" i="5" s="1"/>
  <c r="AV50" i="5"/>
  <c r="AY50" i="5"/>
  <c r="BA50" i="5" s="1"/>
  <c r="AY49" i="5"/>
  <c r="BA49" i="5" s="1"/>
  <c r="AS54" i="5"/>
  <c r="AW49" i="5"/>
  <c r="AR54" i="5"/>
  <c r="BA42" i="5"/>
  <c r="AW43" i="5"/>
  <c r="AY43" i="5"/>
  <c r="AV43" i="5"/>
  <c r="AW47" i="5"/>
  <c r="AY47" i="5"/>
  <c r="BA47" i="5" s="1"/>
  <c r="AV47" i="5"/>
  <c r="AW44" i="5"/>
  <c r="AY44" i="5"/>
  <c r="BA44" i="5" s="1"/>
  <c r="AV44" i="5"/>
  <c r="AV46" i="5"/>
  <c r="AW46" i="5"/>
  <c r="AY46" i="5"/>
  <c r="BA46" i="5" s="1"/>
  <c r="N18" i="8" l="1"/>
  <c r="N16" i="8"/>
  <c r="N17" i="8"/>
  <c r="N14" i="8"/>
  <c r="J5" i="8"/>
  <c r="F4" i="8"/>
  <c r="J7" i="8"/>
  <c r="J14" i="8"/>
  <c r="J18" i="8"/>
  <c r="J16" i="8"/>
  <c r="J17" i="8"/>
  <c r="J8" i="8"/>
  <c r="J9" i="8"/>
  <c r="AZ42" i="5"/>
  <c r="AZ49" i="5"/>
  <c r="AX49" i="5"/>
  <c r="AZ43" i="5"/>
  <c r="AX43" i="5"/>
  <c r="AZ47" i="5"/>
  <c r="AX47" i="5"/>
  <c r="AZ46" i="5"/>
  <c r="AX46" i="5"/>
  <c r="AZ44" i="5"/>
  <c r="AX44" i="5"/>
  <c r="AX54" i="5" s="1"/>
  <c r="H13" i="8" s="1"/>
  <c r="I13" i="8"/>
  <c r="M13" i="8" s="1"/>
  <c r="U54" i="1"/>
  <c r="AV54" i="5"/>
  <c r="AY54" i="5"/>
  <c r="K13" i="8" s="1"/>
  <c r="BA43" i="5"/>
  <c r="BA54" i="5" s="1"/>
  <c r="AW54" i="5"/>
  <c r="AZ54" i="5" l="1"/>
  <c r="O13" i="8"/>
  <c r="S13" i="8" s="1"/>
  <c r="F13" i="8"/>
  <c r="E13" i="8" s="1"/>
  <c r="F7" i="8"/>
  <c r="G7" i="8" s="1"/>
  <c r="F8" i="8"/>
  <c r="G8" i="8" s="1"/>
  <c r="E8" i="8" s="1"/>
  <c r="F9" i="8"/>
  <c r="G9" i="8" s="1"/>
  <c r="E9" i="8" s="1"/>
  <c r="F5" i="8"/>
  <c r="G5" i="8" s="1"/>
  <c r="E5" i="8" s="1"/>
  <c r="E14" i="8" l="1"/>
  <c r="F14" i="8" s="1"/>
  <c r="U52" i="1" s="1"/>
  <c r="X45" i="1" s="1"/>
  <c r="E17" i="8"/>
  <c r="F17" i="8" s="1"/>
  <c r="E18" i="8"/>
  <c r="F18" i="8" s="1"/>
  <c r="E16" i="8"/>
  <c r="F16" i="8" s="1"/>
  <c r="T13" i="8"/>
  <c r="P13" i="8"/>
  <c r="K9" i="8"/>
  <c r="K7" i="8"/>
  <c r="V55" i="1" s="1"/>
  <c r="E7" i="8"/>
  <c r="K8" i="8"/>
  <c r="W55" i="1" s="1"/>
  <c r="K5" i="8"/>
  <c r="X43" i="1" l="1"/>
  <c r="X44" i="1"/>
  <c r="X46" i="1" s="1"/>
  <c r="X52" i="1"/>
  <c r="H18" i="8"/>
  <c r="V52" i="1"/>
  <c r="H16" i="8"/>
  <c r="I16" i="8" s="1"/>
  <c r="H14" i="8"/>
  <c r="W52" i="1"/>
  <c r="H17" i="8"/>
  <c r="I17" i="8" s="1"/>
  <c r="N9" i="8"/>
  <c r="X55" i="1"/>
  <c r="I9" i="8"/>
  <c r="N5" i="8"/>
  <c r="U55" i="1"/>
  <c r="K4" i="8" s="1"/>
  <c r="I5" i="8"/>
  <c r="I8" i="8"/>
  <c r="N8" i="8"/>
  <c r="W51" i="1" s="1"/>
  <c r="I7" i="8"/>
  <c r="N7" i="8"/>
  <c r="V51" i="1" s="1"/>
  <c r="V50" i="1" l="1"/>
  <c r="V53" i="1" s="1"/>
  <c r="W56" i="1"/>
  <c r="W54" i="1" s="1"/>
  <c r="W57" i="1" s="1"/>
  <c r="K17" i="8"/>
  <c r="M17" i="8"/>
  <c r="O17" i="8" s="1"/>
  <c r="P17" i="8" s="1"/>
  <c r="W60" i="1" s="1"/>
  <c r="W58" i="1" s="1"/>
  <c r="W61" i="1" s="1"/>
  <c r="V56" i="1"/>
  <c r="M16" i="8"/>
  <c r="K16" i="8"/>
  <c r="W50" i="1"/>
  <c r="W53" i="1" s="1"/>
  <c r="I14" i="8"/>
  <c r="I18" i="8"/>
  <c r="Q9" i="8"/>
  <c r="P9" i="8" s="1"/>
  <c r="X51" i="1"/>
  <c r="X50" i="1" s="1"/>
  <c r="X53" i="1" s="1"/>
  <c r="L9" i="8"/>
  <c r="S9" i="8" s="1"/>
  <c r="T9" i="8" s="1"/>
  <c r="Q5" i="8"/>
  <c r="P5" i="8" s="1"/>
  <c r="U51" i="1"/>
  <c r="U50" i="1" s="1"/>
  <c r="U53" i="1" s="1"/>
  <c r="L5" i="8"/>
  <c r="I4" i="8"/>
  <c r="G4" i="8" s="1"/>
  <c r="Q8" i="8"/>
  <c r="P8" i="8" s="1"/>
  <c r="L8" i="8"/>
  <c r="Q7" i="8"/>
  <c r="P7" i="8" s="1"/>
  <c r="L7" i="8"/>
  <c r="S17" i="8" l="1"/>
  <c r="T17" i="8" s="1"/>
  <c r="U56" i="1"/>
  <c r="U57" i="1" s="1"/>
  <c r="M14" i="8"/>
  <c r="O14" i="8" s="1"/>
  <c r="P14" i="8" s="1"/>
  <c r="U60" i="1" s="1"/>
  <c r="U58" i="1" s="1"/>
  <c r="U61" i="1" s="1"/>
  <c r="K14" i="8"/>
  <c r="O16" i="8"/>
  <c r="S16" i="8" s="1"/>
  <c r="X56" i="1"/>
  <c r="X54" i="1" s="1"/>
  <c r="X57" i="1" s="1"/>
  <c r="M18" i="8"/>
  <c r="O18" i="8" s="1"/>
  <c r="P18" i="8" s="1"/>
  <c r="X60" i="1" s="1"/>
  <c r="X58" i="1" s="1"/>
  <c r="X61" i="1" s="1"/>
  <c r="K18" i="8"/>
  <c r="V54" i="1"/>
  <c r="V57" i="1" s="1"/>
  <c r="U5" i="8"/>
  <c r="V5" i="8" s="1"/>
  <c r="U7" i="8"/>
  <c r="U9" i="8"/>
  <c r="Y38" i="1" s="1"/>
  <c r="Y41" i="1" s="1"/>
  <c r="S5" i="8"/>
  <c r="X38" i="1"/>
  <c r="L4" i="8" s="1"/>
  <c r="X39" i="1"/>
  <c r="N4" i="8"/>
  <c r="X40" i="1"/>
  <c r="E4" i="8" s="1"/>
  <c r="X7" i="8"/>
  <c r="U8" i="8"/>
  <c r="S8" i="8"/>
  <c r="T8" i="8" s="1"/>
  <c r="S7" i="8"/>
  <c r="T7" i="8" s="1"/>
  <c r="P16" i="8" l="1"/>
  <c r="V60" i="1" s="1"/>
  <c r="V58" i="1" s="1"/>
  <c r="V61" i="1" s="1"/>
  <c r="V9" i="8"/>
  <c r="X63" i="1"/>
  <c r="V8" i="8"/>
  <c r="W63" i="1"/>
  <c r="V7" i="8"/>
  <c r="V63" i="1"/>
  <c r="S18" i="8"/>
  <c r="W64" i="1"/>
  <c r="T16" i="8"/>
  <c r="Y16" i="8" s="1"/>
  <c r="Y17" i="8" s="1"/>
  <c r="V64" i="1"/>
  <c r="S14" i="8"/>
  <c r="X8" i="8"/>
  <c r="Y8" i="8" s="1"/>
  <c r="Y7" i="8"/>
  <c r="X41" i="1"/>
  <c r="U63" i="1" s="1"/>
  <c r="T18" i="8" l="1"/>
  <c r="Y43" i="1"/>
  <c r="Y46" i="1" s="1"/>
  <c r="W62" i="1"/>
  <c r="W65" i="1" s="1"/>
  <c r="V62" i="1"/>
  <c r="V65" i="1" s="1"/>
  <c r="X64" i="1"/>
  <c r="X62" i="1" s="1"/>
  <c r="X65" i="1" s="1"/>
  <c r="T14" i="8"/>
  <c r="U64" i="1"/>
  <c r="U62" i="1" s="1"/>
  <c r="U65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xxx</author>
  </authors>
  <commentList>
    <comment ref="I1" authorId="0" shapeId="0" xr:uid="{8E8F4371-EA33-4226-8E0B-E809F0599F34}">
      <text>
        <r>
          <rPr>
            <b/>
            <u/>
            <sz val="9"/>
            <color indexed="81"/>
            <rFont val="Tahoma"/>
            <family val="2"/>
          </rPr>
          <t>Natural Production (eg)</t>
        </r>
        <r>
          <rPr>
            <b/>
            <sz val="9"/>
            <color indexed="81"/>
            <rFont val="Tahoma"/>
            <family val="2"/>
          </rPr>
          <t xml:space="preserve">
(current)
spawning ground survey 
dam count
weir count
EDT model (patient)
expert judgement
(historical)
Reference period estimate
EDT model (template)
Other model
Harvest expansion
???
(goals)
</t>
        </r>
        <r>
          <rPr>
            <b/>
            <u/>
            <sz val="9"/>
            <color indexed="81"/>
            <rFont val="Tahoma"/>
            <family val="2"/>
          </rPr>
          <t>Hatchery</t>
        </r>
        <r>
          <rPr>
            <b/>
            <sz val="9"/>
            <color indexed="81"/>
            <rFont val="Tahoma"/>
            <family val="2"/>
          </rPr>
          <t xml:space="preserve">
release
adult return</t>
        </r>
      </text>
    </comment>
    <comment ref="J1" authorId="0" shapeId="0" xr:uid="{3BF91572-2402-4B6E-8382-CD4182F0053E}">
      <text>
        <r>
          <rPr>
            <b/>
            <sz val="9"/>
            <color indexed="81"/>
            <rFont val="Tahoma"/>
            <family val="2"/>
          </rPr>
          <t>if applicable</t>
        </r>
      </text>
    </comment>
    <comment ref="L1" authorId="0" shapeId="0" xr:uid="{2E29EF22-BFEF-464A-8B65-8E0CBE19CC89}">
      <text>
        <r>
          <rPr>
            <b/>
            <u/>
            <sz val="9"/>
            <color indexed="81"/>
            <rFont val="Tahoma"/>
            <family val="2"/>
          </rPr>
          <t>Reference (short form)</t>
        </r>
        <r>
          <rPr>
            <b/>
            <sz val="9"/>
            <color indexed="81"/>
            <rFont val="Tahoma"/>
            <family val="2"/>
          </rPr>
          <t xml:space="preserve">
Recovery plan
Subbasin plan
Technical report
Website
Agency unpublished
etc.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xxx</author>
  </authors>
  <commentList>
    <comment ref="X3" authorId="0" shapeId="0" xr:uid="{463D4FC5-9067-46BB-9886-A8826FD49E1F}">
      <text>
        <r>
          <rPr>
            <b/>
            <sz val="9"/>
            <color indexed="81"/>
            <rFont val="Tahoma"/>
            <family val="2"/>
          </rPr>
          <t>from goal summary table</t>
        </r>
      </text>
    </comment>
    <comment ref="H4" authorId="0" shapeId="0" xr:uid="{BAF362A3-0C27-42F1-908E-BA312BE01FCC}">
      <text>
        <r>
          <rPr>
            <b/>
            <sz val="9"/>
            <color indexed="81"/>
            <rFont val="Tahoma"/>
            <family val="2"/>
          </rPr>
          <t>assume half of UCR rate</t>
        </r>
      </text>
    </comment>
    <comment ref="C5" authorId="0" shapeId="0" xr:uid="{2511A86B-87CF-4689-966F-D96FDA3C4B88}">
      <text>
        <r>
          <rPr>
            <b/>
            <sz val="9"/>
            <color indexed="81"/>
            <rFont val="Tahoma"/>
            <family val="2"/>
          </rPr>
          <t>numbers derived from assumed rates and escapement are close to original estimates from BON total less UCR &amp; Snake</t>
        </r>
      </text>
    </comment>
    <comment ref="Y7" authorId="0" shapeId="0" xr:uid="{5FBF7DA3-29B8-4F06-B52C-9CEF80668E8E}">
      <text>
        <r>
          <rPr>
            <b/>
            <sz val="9"/>
            <color indexed="81"/>
            <rFont val="Tahoma"/>
            <family val="2"/>
          </rPr>
          <t>need to select this so that total matches target (col M = col O)</t>
        </r>
      </text>
    </comment>
    <comment ref="Y8" authorId="0" shapeId="0" xr:uid="{2B974545-D52F-4B1D-8612-DF65FF8F1EC6}">
      <text>
        <r>
          <rPr>
            <b/>
            <sz val="9"/>
            <color indexed="81"/>
            <rFont val="Tahoma"/>
            <family val="2"/>
          </rPr>
          <t>need to select this so that total matches target (col M = col O)</t>
        </r>
      </text>
    </comment>
    <comment ref="Y9" authorId="0" shapeId="0" xr:uid="{9F482249-6D1F-4AAB-8AEE-3930F0541096}">
      <text>
        <r>
          <rPr>
            <b/>
            <sz val="9"/>
            <color indexed="81"/>
            <rFont val="Tahoma"/>
            <family val="2"/>
          </rPr>
          <t>need to select this so that total matches target (col M = col O)</t>
        </r>
      </text>
    </comment>
    <comment ref="X12" authorId="0" shapeId="0" xr:uid="{7E6459AA-E12E-4419-9845-84DD2B079EBC}">
      <text>
        <r>
          <rPr>
            <b/>
            <sz val="9"/>
            <color indexed="81"/>
            <rFont val="Tahoma"/>
            <family val="2"/>
          </rPr>
          <t>from goal summary table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Ray Beamesderfer</author>
    <author>Joe Zendt</author>
    <author>xxx</author>
  </authors>
  <commentList>
    <comment ref="G3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NEQ</t>
        </r>
      </text>
    </comment>
    <comment ref="H3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Profession judgement identified in 2005 NPCC subbasin plan</t>
        </r>
      </text>
    </comment>
    <comment ref="I3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2005 NPCC subbasin plan - NEQ</t>
        </r>
      </text>
    </comment>
    <comment ref="K3" authorId="0" shapeId="0" xr:uid="{00000000-0006-0000-0100-000004000000}">
      <text>
        <r>
          <rPr>
            <b/>
            <sz val="8"/>
            <color indexed="81"/>
            <rFont val="Tahoma"/>
            <family val="2"/>
          </rPr>
          <t>with moderate habitat restoration as per subbasin plan</t>
        </r>
      </text>
    </comment>
    <comment ref="M3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based on ICTRT values -working approximations by Ray</t>
        </r>
      </text>
    </comment>
    <comment ref="E4" authorId="1" shapeId="0" xr:uid="{00000000-0006-0000-0100-000006000000}">
      <text>
        <r>
          <rPr>
            <b/>
            <sz val="9"/>
            <color indexed="81"/>
            <rFont val="Tahoma"/>
            <family val="2"/>
          </rPr>
          <t>Joe Zendt:</t>
        </r>
        <r>
          <rPr>
            <sz val="9"/>
            <color indexed="81"/>
            <rFont val="Tahoma"/>
            <family val="2"/>
          </rPr>
          <t xml:space="preserve">
Geomean of Lyle Falls mark-recapture estimates.  Klickitat M&amp;E annual reports and YN unpublished data.</t>
        </r>
      </text>
    </comment>
    <comment ref="K4" authorId="2" shapeId="0" xr:uid="{968A5453-6B49-47BF-978D-9D1C1ED76CD6}">
      <text>
        <r>
          <rPr>
            <b/>
            <sz val="9"/>
            <color indexed="81"/>
            <rFont val="Tahoma"/>
            <family val="2"/>
          </rPr>
          <t>w/ restoration actions</t>
        </r>
      </text>
    </comment>
    <comment ref="G5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>Subbasin plan: Warm Springs R &amp; Shitake Creek</t>
        </r>
      </text>
    </comment>
    <comment ref="I5" authorId="0" shapeId="0" xr:uid="{00000000-0006-0000-0100-000008000000}">
      <text>
        <r>
          <rPr>
            <b/>
            <sz val="8"/>
            <color indexed="81"/>
            <rFont val="Tahoma"/>
            <family val="2"/>
          </rPr>
          <t>subbasin plan: Warm springs River &amp; Shitake Creek</t>
        </r>
      </text>
    </comment>
    <comment ref="K5" authorId="2" shapeId="0" xr:uid="{6F1A8609-DEB0-479D-8643-36EE9DB0BE2B}">
      <text>
        <r>
          <rPr>
            <b/>
            <sz val="9"/>
            <color indexed="81"/>
            <rFont val="Tahoma"/>
            <family val="2"/>
          </rPr>
          <t>Table 6.4 in subbasin plan</t>
        </r>
      </text>
    </comment>
    <comment ref="C9" authorId="0" shapeId="0" xr:uid="{00000000-0006-0000-0100-000009000000}">
      <text>
        <r>
          <rPr>
            <b/>
            <sz val="8"/>
            <color indexed="81"/>
            <rFont val="Tahoma"/>
            <family val="2"/>
          </rPr>
          <t>Including Granite crk</t>
        </r>
      </text>
    </comment>
    <comment ref="G11" authorId="0" shapeId="0" xr:uid="{00000000-0006-0000-0100-00000A000000}">
      <text>
        <r>
          <rPr>
            <b/>
            <sz val="8"/>
            <color indexed="81"/>
            <rFont val="Tahoma"/>
            <family val="2"/>
          </rPr>
          <t>subbasin plan</t>
        </r>
      </text>
    </comment>
    <comment ref="I11" authorId="0" shapeId="0" xr:uid="{00000000-0006-0000-0100-00000B000000}">
      <text>
        <r>
          <rPr>
            <b/>
            <sz val="8"/>
            <color indexed="81"/>
            <rFont val="Tahoma"/>
            <family val="2"/>
          </rPr>
          <t>p 3-267 in subbasin plan</t>
        </r>
      </text>
    </comment>
    <comment ref="Q11" authorId="0" shapeId="0" xr:uid="{00000000-0006-0000-0100-00000C000000}">
      <text>
        <r>
          <rPr>
            <b/>
            <sz val="8"/>
            <color indexed="81"/>
            <rFont val="Tahoma"/>
            <family val="2"/>
          </rPr>
          <t>2001 Subbasin summary</t>
        </r>
      </text>
    </comment>
    <comment ref="I12" authorId="2" shapeId="0" xr:uid="{4CAB1180-81EF-437B-AA63-3B765BC34C8C}">
      <text>
        <r>
          <rPr>
            <b/>
            <sz val="9"/>
            <color indexed="81"/>
            <rFont val="Tahoma"/>
            <family val="2"/>
          </rPr>
          <t>Table 3-8 in subbasin plan</t>
        </r>
      </text>
    </comment>
    <comment ref="G16" authorId="0" shapeId="0" xr:uid="{00000000-0006-0000-0100-00000D000000}">
      <text>
        <r>
          <rPr>
            <b/>
            <sz val="8"/>
            <color indexed="81"/>
            <rFont val="Tahoma"/>
            <family val="2"/>
          </rPr>
          <t>no harvest</t>
        </r>
      </text>
    </comment>
    <comment ref="E21" authorId="1" shapeId="0" xr:uid="{00000000-0006-0000-0100-00000E000000}">
      <text>
        <r>
          <rPr>
            <b/>
            <sz val="9"/>
            <color indexed="81"/>
            <rFont val="Tahoma"/>
            <family val="2"/>
          </rPr>
          <t>Joe Zendt:</t>
        </r>
        <r>
          <rPr>
            <sz val="9"/>
            <color indexed="81"/>
            <rFont val="Tahoma"/>
            <family val="2"/>
          </rPr>
          <t xml:space="preserve">
Recent 10-yr geomean of run reconstruction hatchery escapement (includes to hatchery and spawning grounds) plus wild/natural estimate above.  Klickitat M&amp;E annual reports and YN unpublished data.</t>
        </r>
      </text>
    </comment>
    <comment ref="C26" authorId="0" shapeId="0" xr:uid="{00000000-0006-0000-0100-00000F000000}">
      <text>
        <r>
          <rPr>
            <b/>
            <sz val="8"/>
            <color indexed="81"/>
            <rFont val="Tahoma"/>
            <family val="2"/>
          </rPr>
          <t>Including Granite crk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Ray Beamesderfer</author>
    <author>xxx</author>
  </authors>
  <commentList>
    <comment ref="N1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source: DART</t>
        </r>
      </text>
    </comment>
    <comment ref="O1" authorId="0" shapeId="0" xr:uid="{00000000-0006-0000-0400-000002000000}">
      <text>
        <r>
          <rPr>
            <b/>
            <sz val="8"/>
            <color indexed="81"/>
            <rFont val="Tahoma"/>
            <family val="2"/>
          </rPr>
          <t>source: DART</t>
        </r>
      </text>
    </comment>
    <comment ref="P1" authorId="0" shapeId="0" xr:uid="{00000000-0006-0000-0400-000003000000}">
      <text>
        <r>
          <rPr>
            <b/>
            <sz val="8"/>
            <color indexed="81"/>
            <rFont val="Tahoma"/>
            <family val="2"/>
          </rPr>
          <t>source: DART</t>
        </r>
      </text>
    </comment>
    <comment ref="CA1" authorId="0" shapeId="0" xr:uid="{00000000-0006-0000-0400-000004000000}">
      <text>
        <r>
          <rPr>
            <b/>
            <sz val="8"/>
            <color indexed="81"/>
            <rFont val="Tahoma"/>
            <family val="2"/>
          </rPr>
          <t>1977-2003 numbers from subbasin plan</t>
        </r>
      </text>
    </comment>
    <comment ref="CD1" authorId="1" shapeId="0" xr:uid="{F0DFE038-EC7F-4D46-B6F8-849592482DA1}">
      <text>
        <r>
          <rPr>
            <b/>
            <sz val="9"/>
            <color indexed="81"/>
            <rFont val="Tahoma"/>
            <family val="2"/>
          </rPr>
          <t>https://www.nwcouncil.org/sites/default/files/200831100.pdf</t>
        </r>
      </text>
    </comment>
    <comment ref="N2" authorId="0" shapeId="0" xr:uid="{00000000-0006-0000-0400-000005000000}">
      <text>
        <r>
          <rPr>
            <b/>
            <sz val="8"/>
            <color indexed="81"/>
            <rFont val="Tahoma"/>
            <family val="2"/>
          </rPr>
          <t>3/15-5/31 (spring Chinook time frame)</t>
        </r>
      </text>
    </comment>
    <comment ref="O2" authorId="0" shapeId="0" xr:uid="{00000000-0006-0000-0400-000006000000}">
      <text>
        <r>
          <rPr>
            <b/>
            <sz val="8"/>
            <color indexed="81"/>
            <rFont val="Tahoma"/>
            <family val="2"/>
          </rPr>
          <t>3/15-5/31 (spring Chinook time frame)</t>
        </r>
      </text>
    </comment>
    <comment ref="P2" authorId="0" shapeId="0" xr:uid="{00000000-0006-0000-0400-000007000000}">
      <text>
        <r>
          <rPr>
            <b/>
            <sz val="8"/>
            <color indexed="81"/>
            <rFont val="Tahoma"/>
            <family val="2"/>
          </rPr>
          <t>3/15-5/31 (spring Chinook time frame)</t>
        </r>
      </text>
    </comment>
    <comment ref="AI2" authorId="0" shapeId="0" xr:uid="{00000000-0006-0000-0400-000008000000}">
      <text>
        <r>
          <rPr>
            <b/>
            <sz val="8"/>
            <color indexed="81"/>
            <rFont val="Tahoma"/>
            <family val="2"/>
          </rPr>
          <t>4/15-6/13</t>
        </r>
      </text>
    </comment>
    <comment ref="AJ2" authorId="0" shapeId="0" xr:uid="{00000000-0006-0000-0400-000009000000}">
      <text>
        <r>
          <rPr>
            <b/>
            <sz val="8"/>
            <color indexed="81"/>
            <rFont val="Tahoma"/>
            <family val="2"/>
          </rPr>
          <t>4/15-6/13</t>
        </r>
      </text>
    </comment>
    <comment ref="AK2" authorId="0" shapeId="0" xr:uid="{00000000-0006-0000-0400-00000A000000}">
      <text>
        <r>
          <rPr>
            <b/>
            <sz val="8"/>
            <color indexed="81"/>
            <rFont val="Tahoma"/>
            <family val="2"/>
          </rPr>
          <t>4/15-6/13</t>
        </r>
      </text>
    </comment>
    <comment ref="AL2" authorId="0" shapeId="0" xr:uid="{00000000-0006-0000-0400-00000B000000}">
      <text>
        <r>
          <rPr>
            <b/>
            <sz val="8"/>
            <color indexed="81"/>
            <rFont val="Tahoma"/>
            <family val="2"/>
          </rPr>
          <t>4/1-6/11</t>
        </r>
      </text>
    </comment>
    <comment ref="AM2" authorId="0" shapeId="0" xr:uid="{00000000-0006-0000-0400-00000C000000}">
      <text>
        <r>
          <rPr>
            <b/>
            <sz val="8"/>
            <color indexed="81"/>
            <rFont val="Tahoma"/>
            <family val="2"/>
          </rPr>
          <t>4/1-6/11</t>
        </r>
      </text>
    </comment>
    <comment ref="AN2" authorId="0" shapeId="0" xr:uid="{00000000-0006-0000-0400-00000D000000}">
      <text>
        <r>
          <rPr>
            <b/>
            <sz val="8"/>
            <color indexed="81"/>
            <rFont val="Tahoma"/>
            <family val="2"/>
          </rPr>
          <t>4/1-6/11</t>
        </r>
      </text>
    </comment>
    <comment ref="BV2" authorId="0" shapeId="0" xr:uid="{00000000-0006-0000-0400-00000E000000}">
      <text>
        <r>
          <rPr>
            <sz val="8"/>
            <color indexed="81"/>
            <rFont val="Tahoma"/>
            <family val="2"/>
          </rPr>
          <t xml:space="preserve">PGE website
</t>
        </r>
      </text>
    </comment>
    <comment ref="BW2" authorId="0" shapeId="0" xr:uid="{84CA702F-D4A9-4429-AA30-B00B74E96790}">
      <text>
        <r>
          <rPr>
            <sz val="8"/>
            <color indexed="81"/>
            <rFont val="Tahoma"/>
            <family val="2"/>
          </rPr>
          <t xml:space="preserve">PGE website
</t>
        </r>
      </text>
    </comment>
    <comment ref="M3" authorId="0" shapeId="0" xr:uid="{00000000-0006-0000-0400-00000F000000}">
      <text>
        <r>
          <rPr>
            <b/>
            <sz val="8"/>
            <color indexed="81"/>
            <rFont val="Tahoma"/>
            <family val="2"/>
          </rPr>
          <t>don't know why these are different from DART (dates maybe?)</t>
        </r>
      </text>
    </comment>
    <comment ref="BV3" authorId="0" shapeId="0" xr:uid="{00000000-0006-0000-0400-000010000000}">
      <text>
        <r>
          <rPr>
            <b/>
            <sz val="8"/>
            <color indexed="81"/>
            <rFont val="Tahoma"/>
            <family val="2"/>
          </rPr>
          <t>adults &amp; jacks</t>
        </r>
      </text>
    </comment>
    <comment ref="BZ3" authorId="0" shapeId="0" xr:uid="{00000000-0006-0000-0400-000011000000}">
      <text>
        <r>
          <rPr>
            <b/>
            <sz val="8"/>
            <color indexed="81"/>
            <rFont val="Tahoma"/>
            <family val="2"/>
          </rPr>
          <t>Round Butte hatchery</t>
        </r>
      </text>
    </comment>
    <comment ref="CU3" authorId="1" shapeId="0" xr:uid="{0AB31BD9-22C0-4922-8F20-9B43C4898216}">
      <text>
        <r>
          <rPr>
            <b/>
            <sz val="9"/>
            <color indexed="81"/>
            <rFont val="Tahoma"/>
            <family val="2"/>
          </rPr>
          <t>from DART</t>
        </r>
      </text>
    </comment>
    <comment ref="AQ29" authorId="0" shapeId="0" xr:uid="{00000000-0006-0000-0400-000012000000}">
      <text>
        <r>
          <rPr>
            <b/>
            <sz val="8"/>
            <color indexed="81"/>
            <rFont val="Tahoma"/>
            <family val="2"/>
          </rPr>
          <t>BON-MCN: 2017 Biop Snake River value 93%, 2008 hydro mod UCR 90%. Used 90% to accommodate 4th dam</t>
        </r>
      </text>
    </comment>
    <comment ref="CQ37" authorId="1" shapeId="0" xr:uid="{E1EA7956-8FB3-48A7-A63C-0014632102C9}">
      <text>
        <r>
          <rPr>
            <b/>
            <sz val="9"/>
            <color indexed="81"/>
            <rFont val="Tahoma"/>
            <family val="2"/>
          </rPr>
          <t>http://www.salmonforall.org/wp-content/uploads/2013/02/james.pdf</t>
        </r>
      </text>
    </comment>
    <comment ref="BC41" authorId="0" shapeId="0" xr:uid="{00000000-0006-0000-0400-000013000000}">
      <text>
        <r>
          <rPr>
            <b/>
            <sz val="8"/>
            <color indexed="81"/>
            <rFont val="Tahoma"/>
            <family val="2"/>
          </rPr>
          <t>mark-recap estimate (Klickitat master plan)</t>
        </r>
      </text>
    </comment>
    <comment ref="CQ48" authorId="1" shapeId="0" xr:uid="{87AAC9C2-53F5-4CEF-BF14-1E8D315BCF33}">
      <text>
        <r>
          <rPr>
            <b/>
            <sz val="9"/>
            <color indexed="81"/>
            <rFont val="Tahoma"/>
            <family val="2"/>
          </rPr>
          <t>https://www.dfw.state.or.us/fish/fish_counts/three_mile_falls_dam/index.asp</t>
        </r>
      </text>
    </comment>
    <comment ref="AD61" authorId="1" shapeId="0" xr:uid="{D2E883B3-6C0E-4C6C-8A7E-30C740241F7E}">
      <text>
        <r>
          <rPr>
            <b/>
            <sz val="9"/>
            <color indexed="81"/>
            <rFont val="Tahoma"/>
            <family val="2"/>
          </rPr>
          <t>educated guess</t>
        </r>
      </text>
    </comment>
  </commentList>
</comments>
</file>

<file path=xl/sharedStrings.xml><?xml version="1.0" encoding="utf-8"?>
<sst xmlns="http://schemas.openxmlformats.org/spreadsheetml/2006/main" count="1307" uniqueCount="375">
  <si>
    <t>Total</t>
  </si>
  <si>
    <t>Hatchery</t>
  </si>
  <si>
    <t>?</t>
  </si>
  <si>
    <t>@ Columbia R Mouth</t>
  </si>
  <si>
    <t>To Mid Col R (BON)</t>
  </si>
  <si>
    <t>Hood River</t>
  </si>
  <si>
    <t>Klickitat River</t>
  </si>
  <si>
    <t>Metolius River</t>
  </si>
  <si>
    <t>Umatilla River</t>
  </si>
  <si>
    <t>Walla Walla River</t>
  </si>
  <si>
    <t>Mid-Columbia Spring Chinook</t>
  </si>
  <si>
    <t>ESA: Not Listed</t>
  </si>
  <si>
    <t>Natural Production</t>
  </si>
  <si>
    <t>Abundance</t>
  </si>
  <si>
    <t>Potential Goal Range</t>
  </si>
  <si>
    <t>MPG</t>
  </si>
  <si>
    <t>Population</t>
  </si>
  <si>
    <t>Historical</t>
  </si>
  <si>
    <t>Low</t>
  </si>
  <si>
    <t>Med</t>
  </si>
  <si>
    <t>High</t>
  </si>
  <si>
    <t>Klickitat R.</t>
  </si>
  <si>
    <t>John Day</t>
  </si>
  <si>
    <t>North Fork</t>
  </si>
  <si>
    <t>Middle Fork</t>
  </si>
  <si>
    <t>U. mainstem</t>
  </si>
  <si>
    <t>Umatilla R.</t>
  </si>
  <si>
    <t>Yakima</t>
  </si>
  <si>
    <t>Totals</t>
  </si>
  <si>
    <t>East Cascade</t>
  </si>
  <si>
    <t>Hood R.</t>
  </si>
  <si>
    <t>Blue Mountains</t>
  </si>
  <si>
    <t>Metolius R.</t>
  </si>
  <si>
    <t>Naches/American</t>
  </si>
  <si>
    <t>Artificial Production</t>
  </si>
  <si>
    <t>Current Production</t>
  </si>
  <si>
    <t>Return</t>
  </si>
  <si>
    <t>Location (Program)</t>
  </si>
  <si>
    <t>Brood</t>
  </si>
  <si>
    <t>Smolts</t>
  </si>
  <si>
    <t>Fry</t>
  </si>
  <si>
    <t>Current</t>
  </si>
  <si>
    <t>Goal</t>
  </si>
  <si>
    <t>production</t>
  </si>
  <si>
    <t>Umatilla (Umatilla)</t>
  </si>
  <si>
    <t>Fisheries / Harvest</t>
  </si>
  <si>
    <t>Harvest</t>
  </si>
  <si>
    <t>Location</t>
  </si>
  <si>
    <t>Avg.</t>
  </si>
  <si>
    <t>Wild/Natural</t>
  </si>
  <si>
    <t>Ocean</t>
  </si>
  <si>
    <t>Mainstem Non-treaty</t>
  </si>
  <si>
    <t>Mainstem Treaty</t>
  </si>
  <si>
    <t>Terminal</t>
  </si>
  <si>
    <t>Total Return</t>
  </si>
  <si>
    <t>@ Goals</t>
  </si>
  <si>
    <t>% hatchery</t>
  </si>
  <si>
    <t>BON</t>
  </si>
  <si>
    <t>CHS</t>
  </si>
  <si>
    <t>IHR</t>
  </si>
  <si>
    <t>adults</t>
  </si>
  <si>
    <t>jacks</t>
  </si>
  <si>
    <t>PRD</t>
  </si>
  <si>
    <t>From JS rept</t>
  </si>
  <si>
    <t>upriver</t>
  </si>
  <si>
    <t>run</t>
  </si>
  <si>
    <t>sport</t>
  </si>
  <si>
    <t>comm</t>
  </si>
  <si>
    <t>Zn 1-5 harv downstream from BV</t>
  </si>
  <si>
    <t>Misc</t>
  </si>
  <si>
    <t>Treaty</t>
  </si>
  <si>
    <t>count</t>
  </si>
  <si>
    <t>Zn 6 harv</t>
  </si>
  <si>
    <t>Win GN</t>
  </si>
  <si>
    <t>com GN</t>
  </si>
  <si>
    <t>C&amp;S</t>
  </si>
  <si>
    <t>Z6 total</t>
  </si>
  <si>
    <t>escape</t>
  </si>
  <si>
    <t>past Z6</t>
  </si>
  <si>
    <t>% of run</t>
  </si>
  <si>
    <t>total</t>
  </si>
  <si>
    <t>JS</t>
  </si>
  <si>
    <t>PRD+IHR</t>
  </si>
  <si>
    <t>Zn 6</t>
  </si>
  <si>
    <t>expl rate</t>
  </si>
  <si>
    <t>v BON</t>
  </si>
  <si>
    <t>adult</t>
  </si>
  <si>
    <t>conv</t>
  </si>
  <si>
    <t>rate</t>
  </si>
  <si>
    <t>@ BON</t>
  </si>
  <si>
    <t>MCR</t>
  </si>
  <si>
    <t>@ CR</t>
  </si>
  <si>
    <t>LCR</t>
  </si>
  <si>
    <t>v CR</t>
  </si>
  <si>
    <t>UCR+SR</t>
  </si>
  <si>
    <t>% MCR</t>
  </si>
  <si>
    <t>harv</t>
  </si>
  <si>
    <t>local</t>
  </si>
  <si>
    <t>return</t>
  </si>
  <si>
    <t>From ICTRT viability criteria 2007</t>
  </si>
  <si>
    <t>5.5-17%</t>
  </si>
  <si>
    <t>Non treaty exploitation rate</t>
  </si>
  <si>
    <t>spt</t>
  </si>
  <si>
    <t>For plot</t>
  </si>
  <si>
    <t>Zn 6 tribal</t>
  </si>
  <si>
    <t>CR sport</t>
  </si>
  <si>
    <t>CR comm</t>
  </si>
  <si>
    <t>Deschutes (Warm Springs)</t>
  </si>
  <si>
    <t>Walla Walla</t>
  </si>
  <si>
    <t>L. White Salmon</t>
  </si>
  <si>
    <t>Wind R. (Carson)</t>
  </si>
  <si>
    <t>Sum of NumReleased</t>
  </si>
  <si>
    <t>Column Labels</t>
  </si>
  <si>
    <t>Fry Total</t>
  </si>
  <si>
    <t>Presmolt</t>
  </si>
  <si>
    <t>Presmolt Total</t>
  </si>
  <si>
    <t>Smolt</t>
  </si>
  <si>
    <t>Smolt Total</t>
  </si>
  <si>
    <t>Grand Total</t>
  </si>
  <si>
    <t>Row Labels</t>
  </si>
  <si>
    <t>smolt</t>
  </si>
  <si>
    <t>Deschutes River</t>
  </si>
  <si>
    <t>Round Butte Hatchery</t>
  </si>
  <si>
    <t>Crooked River (OR)</t>
  </si>
  <si>
    <t>Ochoco Creek</t>
  </si>
  <si>
    <t>Wychus Creek</t>
  </si>
  <si>
    <t>Warm Springs NFH</t>
  </si>
  <si>
    <t>Warm Springs Hatchery</t>
  </si>
  <si>
    <t>Wizard Falls Hatchery</t>
  </si>
  <si>
    <t>Lake Billy Chinook</t>
  </si>
  <si>
    <t>Carson NFH</t>
  </si>
  <si>
    <t>W Fk Hood River</t>
  </si>
  <si>
    <t>Parkdale Acclim. Pond</t>
  </si>
  <si>
    <t>Parkdale Acclim Pond</t>
  </si>
  <si>
    <t>Klickitat Hatchery</t>
  </si>
  <si>
    <t>Little White Salmon River</t>
  </si>
  <si>
    <t>Little White Salmon NFH</t>
  </si>
  <si>
    <t>Little White Salmon Hatchery</t>
  </si>
  <si>
    <t>Willard Hatchery</t>
  </si>
  <si>
    <t>Umatilla Hatchery</t>
  </si>
  <si>
    <t>Corporation Guard Station</t>
  </si>
  <si>
    <t>Imeques Acclim Pond</t>
  </si>
  <si>
    <t>Thornhollow Acclim Pond</t>
  </si>
  <si>
    <t>Wind River</t>
  </si>
  <si>
    <t>Carson Hatchery</t>
  </si>
  <si>
    <t>Yakima River</t>
  </si>
  <si>
    <t>Cle Elem Hatchery</t>
  </si>
  <si>
    <t>Clark Flat Acclim Pond</t>
  </si>
  <si>
    <t>Easton Pond</t>
  </si>
  <si>
    <t>Jack Creek Acclim Pond</t>
  </si>
  <si>
    <t>From FPC database</t>
  </si>
  <si>
    <t>Historic</t>
  </si>
  <si>
    <t>Goals</t>
  </si>
  <si>
    <t>NPPC DB</t>
  </si>
  <si>
    <t>L. White Salmon*</t>
  </si>
  <si>
    <t>Wind R. (Carson)*</t>
  </si>
  <si>
    <t>Hood R.*</t>
  </si>
  <si>
    <t>EDT</t>
  </si>
  <si>
    <t>Warm Springs</t>
  </si>
  <si>
    <t>U Deschutes</t>
  </si>
  <si>
    <t>use</t>
  </si>
  <si>
    <t>Warm Springs/Shitake</t>
  </si>
  <si>
    <t>U. Deschutes</t>
  </si>
  <si>
    <t>The subbasin also supports a run of hatchery spring Chinook. From 1993 to 2002, an</t>
  </si>
  <si>
    <t>average of 4,778 hatchery spring Chinook (4,103 adults and 675 jacks) returned to the</t>
  </si>
  <si>
    <t>Deschutes Subbasin.</t>
  </si>
  <si>
    <t>Identified goals</t>
  </si>
  <si>
    <t>Potential</t>
  </si>
  <si>
    <t>Prof jdgmt</t>
  </si>
  <si>
    <t>EDT patient</t>
  </si>
  <si>
    <t>--</t>
  </si>
  <si>
    <t>MAT</t>
  </si>
  <si>
    <t>tribal</t>
  </si>
  <si>
    <t>Hatch</t>
  </si>
  <si>
    <t>Escapement</t>
  </si>
  <si>
    <t>WSNFH</t>
  </si>
  <si>
    <t>Deschutes (Round Butte)</t>
  </si>
  <si>
    <t>Deschutes (Round Butte fry)</t>
  </si>
  <si>
    <t>Deschutes (Round Butte smolts)</t>
  </si>
  <si>
    <t>smolts:</t>
  </si>
  <si>
    <t>fry:</t>
  </si>
  <si>
    <t>Viability</t>
  </si>
  <si>
    <t>Umatilla Three-mile Dam</t>
  </si>
  <si>
    <t>hatch</t>
  </si>
  <si>
    <t>natl</t>
  </si>
  <si>
    <t>Touchet</t>
  </si>
  <si>
    <t>Umatilla</t>
  </si>
  <si>
    <t>Walla Walla S Fk</t>
  </si>
  <si>
    <t>Walla Walla upper</t>
  </si>
  <si>
    <t>Walla Walla-Mill Cr</t>
  </si>
  <si>
    <t>no count</t>
  </si>
  <si>
    <t>Prosser</t>
  </si>
  <si>
    <t>Roza</t>
  </si>
  <si>
    <t>wild</t>
  </si>
  <si>
    <t>Adults</t>
  </si>
  <si>
    <t>Tribal</t>
  </si>
  <si>
    <t>Non-Tribal</t>
  </si>
  <si>
    <t>Jacks</t>
  </si>
  <si>
    <t xml:space="preserve">Harvest </t>
  </si>
  <si>
    <t>harvest in Yakima basin</t>
  </si>
  <si>
    <t>Klickitat</t>
  </si>
  <si>
    <t>Returns</t>
  </si>
  <si>
    <t>Hat</t>
  </si>
  <si>
    <t>Wild</t>
  </si>
  <si>
    <t>harvest</t>
  </si>
  <si>
    <t>sport harvest</t>
  </si>
  <si>
    <t>hat</t>
  </si>
  <si>
    <t>tribal harvest</t>
  </si>
  <si>
    <t>Recent</t>
  </si>
  <si>
    <t>na</t>
  </si>
  <si>
    <t>EDT PFC</t>
  </si>
  <si>
    <t>10-yr</t>
  </si>
  <si>
    <t>geomean</t>
  </si>
  <si>
    <t>Deschutes</t>
  </si>
  <si>
    <r>
      <t xml:space="preserve">Spring Chinook Harvest </t>
    </r>
    <r>
      <rPr>
        <sz val="4"/>
        <color rgb="FF000000"/>
        <rFont val="Calibri"/>
        <family val="2"/>
      </rPr>
      <t>1</t>
    </r>
  </si>
  <si>
    <t>Spring Season Steelhead harvest</t>
  </si>
  <si>
    <t>Year</t>
  </si>
  <si>
    <t>Unclipped</t>
  </si>
  <si>
    <t>Clipped</t>
  </si>
  <si>
    <t>Table 3.4.11 Treaty harvest in the Deschutes River 2003-2016</t>
  </si>
  <si>
    <t>from Biop</t>
  </si>
  <si>
    <t>Run Sizes</t>
  </si>
  <si>
    <t>Clipped Hatchery Run Size</t>
  </si>
  <si>
    <t>Unclipped Presumed Natural-origin Run Size</t>
  </si>
  <si>
    <t>Total Run Size 1</t>
  </si>
  <si>
    <t>Proportion Natural-origin</t>
  </si>
  <si>
    <t>Adult Clipped fish Kept 2</t>
  </si>
  <si>
    <t>Clipped Harvest Rate</t>
  </si>
  <si>
    <t>Unclipped Fish Released 3</t>
  </si>
  <si>
    <t>Unclipped Release Mortality</t>
  </si>
  <si>
    <t>Unclipped Impact Rate</t>
  </si>
  <si>
    <t>Total Mortality</t>
  </si>
  <si>
    <t>2008-16 avg</t>
  </si>
  <si>
    <t>2008-16 Max</t>
  </si>
  <si>
    <t>1. Run Size from ODFW. Powerdale dam counts prior to 2010.</t>
  </si>
  <si>
    <t>2. Clipped Harvest includes Jacks in some years.</t>
  </si>
  <si>
    <t>3. Release estimate based on clipped harvest rate assuming unclipped fish are handled at same rate. Specific Release Mortality Estimate provided for 2015 and 2016.</t>
  </si>
  <si>
    <t xml:space="preserve"> 4. Blank Cells indicate No Data Available</t>
  </si>
  <si>
    <t>Spring Chinook</t>
  </si>
  <si>
    <t>unclipped</t>
  </si>
  <si>
    <t>2008-15 avg</t>
  </si>
  <si>
    <t>2008-15 max</t>
  </si>
  <si>
    <t>Table 3.4.7. Treaty harvest in Drano Lake tributary fisheries</t>
  </si>
  <si>
    <t>Yakama</t>
  </si>
  <si>
    <t>Wild rtn (WAG)</t>
  </si>
  <si>
    <t>Mainstem</t>
  </si>
  <si>
    <t>John Day R ChS Total adult spawner escapement including jacks</t>
  </si>
  <si>
    <t>Data source: Ian.A.Tattam@state.or.us</t>
  </si>
  <si>
    <t>Geo Mean</t>
  </si>
  <si>
    <t>Life History: Spring run, Stream-type rearing</t>
  </si>
  <si>
    <t>Low goal</t>
  </si>
  <si>
    <t>Med goal</t>
  </si>
  <si>
    <t>High goal</t>
  </si>
  <si>
    <t>Anticipated</t>
  </si>
  <si>
    <t>LCR ESU</t>
  </si>
  <si>
    <t>Mid Columbia ESU</t>
  </si>
  <si>
    <t>~70%</t>
  </si>
  <si>
    <t>blue shaded cells are user inputs (should link to values identified elsewhere in workbook)</t>
  </si>
  <si>
    <t>No. of spawners</t>
  </si>
  <si>
    <t>Terminal fishery harvest</t>
  </si>
  <si>
    <t>Terminal fishery harvest rate (v terminal run)</t>
  </si>
  <si>
    <t>Natl loss rate convertion to escape</t>
  </si>
  <si>
    <t>Zn 6 fishery harvest</t>
  </si>
  <si>
    <t>Zn 6 fishery impact rate (v BON)</t>
  </si>
  <si>
    <t>BON Dam</t>
  </si>
  <si>
    <t>LCR fishery harvest</t>
  </si>
  <si>
    <t>LCR fishery impact rate (v Col R)</t>
  </si>
  <si>
    <t>Columia River run</t>
  </si>
  <si>
    <t>Ocean fishery impact rate (v ocn)</t>
  </si>
  <si>
    <t>Ocean harvest</t>
  </si>
  <si>
    <t>Ocean abundance</t>
  </si>
  <si>
    <t>CR harvest</t>
  </si>
  <si>
    <t>CR Exploitation (v Col R)</t>
  </si>
  <si>
    <t>Total harvest</t>
  </si>
  <si>
    <t>Total explitation rate (v ocn)</t>
  </si>
  <si>
    <t>target exploitation rate (v ocn)</t>
  </si>
  <si>
    <t>target freshwater exploitation rate (v col R)</t>
  </si>
  <si>
    <t>Scalar</t>
  </si>
  <si>
    <t>Natural</t>
  </si>
  <si>
    <t>Current (inputs)</t>
  </si>
  <si>
    <t>Current (derived)</t>
  </si>
  <si>
    <t>Medium goal</t>
  </si>
  <si>
    <t>Hatchery releases</t>
  </si>
  <si>
    <t>SAR (to Col R)</t>
  </si>
  <si>
    <t>Stock</t>
  </si>
  <si>
    <t>Record type</t>
  </si>
  <si>
    <t>Subject</t>
  </si>
  <si>
    <t>Variable</t>
  </si>
  <si>
    <t>Value</t>
  </si>
  <si>
    <t>Metric</t>
  </si>
  <si>
    <t>Units</t>
  </si>
  <si>
    <t>Method</t>
  </si>
  <si>
    <t>Years</t>
  </si>
  <si>
    <t>Quantitative Goal Rules</t>
  </si>
  <si>
    <t>Reference</t>
  </si>
  <si>
    <t>Reference Link</t>
  </si>
  <si>
    <t>Notes</t>
  </si>
  <si>
    <t>Middle Columbia Spring Chinook</t>
  </si>
  <si>
    <t>natural origin spawners adults</t>
  </si>
  <si>
    <t>not applicable</t>
  </si>
  <si>
    <t>Joe Zendt: Recommends historical abundance of 2500 (pp 113-115 in Klickitat Subbasin Plan). Higher than EDT estimate but more consistent with historical documents cited in the subbasin plan.</t>
  </si>
  <si>
    <t>Note that adding up all the individual goals doesn't get you to recovery because fish not perfectly distributed. Thus, you can have a current total exceeding the recovery total and still need more fish</t>
  </si>
  <si>
    <t>based on ICTRT values -working approximations by Ray</t>
  </si>
  <si>
    <t>Minimum abundance threshold</t>
  </si>
  <si>
    <t>Low range - 2</t>
  </si>
  <si>
    <t>High range - 3</t>
  </si>
  <si>
    <t>EDT model (scenario)</t>
  </si>
  <si>
    <t>equivalent to EDT potential w/ habitat improvement (identified in subbasin plan)</t>
  </si>
  <si>
    <t>Mid range - 2</t>
  </si>
  <si>
    <t>Mid range between low &amp; high goal</t>
  </si>
  <si>
    <t>John Day U. mainstem</t>
  </si>
  <si>
    <t>John DayNorth Fork</t>
  </si>
  <si>
    <t>John Day Middle Fork</t>
  </si>
  <si>
    <t>3x low goal</t>
  </si>
  <si>
    <t>High range - 4</t>
  </si>
  <si>
    <t>https://www.nwcouncil.org/subbasin-plans/deschutes-subbasin-plan</t>
  </si>
  <si>
    <t>NPCC. 2004. Deschutes Subbasin Plan. Portland OR.</t>
  </si>
  <si>
    <t>NPCC. 2004. Umatilla/Willow Subbasin Plan. Portland OR.</t>
  </si>
  <si>
    <t>https://www.nwcouncil.org/sites/default/files/EntirePlan_12.pdf</t>
  </si>
  <si>
    <t>https://www.nwcouncil.org/subbasin-plans/walla-walla-subbasin-plan</t>
  </si>
  <si>
    <t>NPCC. 2004. Walla Walla Subbasin Plan. Portland OR.</t>
  </si>
  <si>
    <t>Yakima U. mainstem</t>
  </si>
  <si>
    <t>https://www.nwcouncil.org/sites/default/files/Front_Cover.pdf</t>
  </si>
  <si>
    <t>NPCC. 2004. Yakima Subbasin Plan. Portland OR.</t>
  </si>
  <si>
    <t>where?</t>
  </si>
  <si>
    <t>Pelton trap</t>
  </si>
  <si>
    <t>RM</t>
  </si>
  <si>
    <t>LM</t>
  </si>
  <si>
    <t>Pelton?</t>
  </si>
  <si>
    <t>wild ad</t>
  </si>
  <si>
    <t>wild jks</t>
  </si>
  <si>
    <t>hat ad</t>
  </si>
  <si>
    <t>hat jks</t>
  </si>
  <si>
    <t>Exploitation rate (v Col R)</t>
  </si>
  <si>
    <t>Limits</t>
  </si>
  <si>
    <t xml:space="preserve"> (ad &amp; jacks)</t>
  </si>
  <si>
    <t>Redd counts</t>
  </si>
  <si>
    <t>U Yak</t>
  </si>
  <si>
    <t>Naches</t>
  </si>
  <si>
    <t>approx based on redd count expansion (no correction for pHOS, includes adults &amp; jacks)</t>
  </si>
  <si>
    <t>spawners (placeholder)</t>
  </si>
  <si>
    <t>Deschutes River spring Chinook</t>
  </si>
  <si>
    <t>pHOS</t>
  </si>
  <si>
    <t>reintroduction: adult outplanting began in 2000, first smolt release in 2005</t>
  </si>
  <si>
    <t>assume same as UCR CHS</t>
  </si>
  <si>
    <t>educated guess based on partial data on run tab</t>
  </si>
  <si>
    <t>Terminal run (Tributary entry)</t>
  </si>
  <si>
    <t>This worksheet needs additional data on wild &amp; hatchery spawning escapements for a comprehensive assessment</t>
  </si>
  <si>
    <t>Geomean of Lyle Falls mark-recapture estimates.  Klickitat M&amp;E annual reports and YN unpublished data.</t>
  </si>
  <si>
    <t>2008-2017</t>
  </si>
  <si>
    <t>redd count expansion</t>
  </si>
  <si>
    <t>Threemile Dam count</t>
  </si>
  <si>
    <t>Joe Zendt YN</t>
  </si>
  <si>
    <t>mark-recapture estimate</t>
  </si>
  <si>
    <t>Pelton trap count</t>
  </si>
  <si>
    <t>total for all Walla Walla</t>
  </si>
  <si>
    <t>total for upper Columbia</t>
  </si>
  <si>
    <t>placeholder for updated data</t>
  </si>
  <si>
    <t>recent 10 years</t>
  </si>
  <si>
    <t>ODFW unpublished data</t>
  </si>
  <si>
    <t>CTUIR unpublished data</t>
  </si>
  <si>
    <t>EDT model (template)</t>
  </si>
  <si>
    <t>NPCC. 2004. John Day Subbasin Plan. Portland OR.</t>
  </si>
  <si>
    <t>https://www.nwcouncil.org/subbasin-plans/john-day-subbasin-plan</t>
  </si>
  <si>
    <t>NPCC. 2004. Klickitat Subbasin Plan. Portland OR.</t>
  </si>
  <si>
    <t>https://www.nwcouncil.org/subbasin-plans/klickitat-subbasin-plan</t>
  </si>
  <si>
    <t>use WDFW run reconstructions</t>
  </si>
  <si>
    <t>LCR ER</t>
  </si>
  <si>
    <t xml:space="preserve">total  </t>
  </si>
  <si>
    <t>ER v CR</t>
  </si>
  <si>
    <t>trty</t>
  </si>
  <si>
    <t>20-60%</t>
  </si>
  <si>
    <t>Harvest (Columbia Basin)</t>
  </si>
  <si>
    <t>Recent avg.</t>
  </si>
  <si>
    <t>(2008-2013)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</si>
</sst>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b/>
      <u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Times New Roman"/>
      <family val="1"/>
      <charset val="204"/>
    </font>
    <font>
      <sz val="10"/>
      <color indexed="8"/>
      <name val="Arial"/>
      <family val="2"/>
    </font>
    <font>
      <sz val="10"/>
      <color indexed="8"/>
      <name val="Arial"/>
      <family val="1"/>
      <charset val="204"/>
    </font>
    <font>
      <sz val="9"/>
      <color indexed="8"/>
      <name val="Arial"/>
      <family val="2"/>
    </font>
    <font>
      <sz val="8"/>
      <color indexed="81"/>
      <name val="Tahoma"/>
      <family val="2"/>
    </font>
    <font>
      <i/>
      <sz val="11"/>
      <color theme="1"/>
      <name val="Calibri"/>
      <family val="2"/>
      <scheme val="minor"/>
    </font>
    <font>
      <sz val="8"/>
      <color rgb="FF000000"/>
      <name val="Calibri"/>
      <family val="2"/>
    </font>
    <font>
      <sz val="4"/>
      <color rgb="FF000000"/>
      <name val="Calibri"/>
      <family val="2"/>
    </font>
    <font>
      <sz val="11"/>
      <color rgb="FF000000"/>
      <name val="Calibri"/>
      <family val="2"/>
    </font>
    <font>
      <i/>
      <sz val="11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Times New Roman"/>
      <family val="1"/>
    </font>
    <font>
      <b/>
      <u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8D2B2E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ABCBD"/>
        <bgColor indexed="64"/>
      </patternFill>
    </fill>
    <fill>
      <patternFill patternType="solid">
        <fgColor rgb="FFF4DCDD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/>
      <top/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6" fillId="0" borderId="0"/>
    <xf numFmtId="0" fontId="30" fillId="0" borderId="0" applyNumberFormat="0" applyFill="0" applyBorder="0" applyAlignment="0" applyProtection="0"/>
  </cellStyleXfs>
  <cellXfs count="346">
    <xf numFmtId="0" fontId="0" fillId="0" borderId="0" xfId="0"/>
    <xf numFmtId="0" fontId="0" fillId="2" borderId="0" xfId="0" applyFill="1"/>
    <xf numFmtId="0" fontId="3" fillId="0" borderId="1" xfId="0" applyFont="1" applyBorder="1"/>
    <xf numFmtId="0" fontId="3" fillId="0" borderId="2" xfId="0" applyFont="1" applyBorder="1"/>
    <xf numFmtId="0" fontId="3" fillId="0" borderId="3" xfId="0" applyFont="1" applyBorder="1"/>
    <xf numFmtId="0" fontId="3" fillId="0" borderId="4" xfId="0" applyFont="1" applyBorder="1"/>
    <xf numFmtId="0" fontId="3" fillId="0" borderId="0" xfId="0" applyFont="1"/>
    <xf numFmtId="0" fontId="3" fillId="0" borderId="5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3" borderId="10" xfId="0" applyFont="1" applyFill="1" applyBorder="1"/>
    <xf numFmtId="0" fontId="0" fillId="0" borderId="0" xfId="0" applyAlignment="1">
      <alignment horizontal="center"/>
    </xf>
    <xf numFmtId="0" fontId="0" fillId="0" borderId="13" xfId="0" applyBorder="1"/>
    <xf numFmtId="0" fontId="0" fillId="0" borderId="14" xfId="0" applyBorder="1"/>
    <xf numFmtId="3" fontId="0" fillId="0" borderId="4" xfId="0" applyNumberFormat="1" applyBorder="1"/>
    <xf numFmtId="3" fontId="0" fillId="0" borderId="0" xfId="0" applyNumberFormat="1"/>
    <xf numFmtId="0" fontId="0" fillId="0" borderId="15" xfId="0" applyBorder="1"/>
    <xf numFmtId="0" fontId="0" fillId="0" borderId="4" xfId="0" applyBorder="1"/>
    <xf numFmtId="3" fontId="0" fillId="0" borderId="7" xfId="0" applyNumberFormat="1" applyBorder="1"/>
    <xf numFmtId="0" fontId="0" fillId="0" borderId="2" xfId="0" applyBorder="1"/>
    <xf numFmtId="3" fontId="0" fillId="0" borderId="6" xfId="0" applyNumberFormat="1" applyBorder="1"/>
    <xf numFmtId="0" fontId="1" fillId="0" borderId="0" xfId="2" applyFont="1"/>
    <xf numFmtId="0" fontId="0" fillId="0" borderId="14" xfId="2" applyFont="1" applyBorder="1"/>
    <xf numFmtId="0" fontId="0" fillId="0" borderId="15" xfId="2" applyFont="1" applyBorder="1"/>
    <xf numFmtId="0" fontId="0" fillId="3" borderId="12" xfId="0" applyFill="1" applyBorder="1"/>
    <xf numFmtId="0" fontId="3" fillId="5" borderId="3" xfId="0" applyFont="1" applyFill="1" applyBorder="1" applyAlignment="1">
      <alignment horizontal="center"/>
    </xf>
    <xf numFmtId="0" fontId="3" fillId="5" borderId="6" xfId="0" applyFont="1" applyFill="1" applyBorder="1"/>
    <xf numFmtId="0" fontId="3" fillId="5" borderId="7" xfId="0" applyFont="1" applyFill="1" applyBorder="1"/>
    <xf numFmtId="0" fontId="3" fillId="5" borderId="7" xfId="0" applyFont="1" applyFill="1" applyBorder="1" applyAlignment="1">
      <alignment horizontal="center"/>
    </xf>
    <xf numFmtId="0" fontId="3" fillId="6" borderId="10" xfId="0" applyFont="1" applyFill="1" applyBorder="1"/>
    <xf numFmtId="0" fontId="8" fillId="7" borderId="2" xfId="0" applyFont="1" applyFill="1" applyBorder="1" applyAlignment="1">
      <alignment horizontal="centerContinuous"/>
    </xf>
    <xf numFmtId="0" fontId="8" fillId="7" borderId="3" xfId="0" applyFont="1" applyFill="1" applyBorder="1" applyAlignment="1">
      <alignment horizontal="centerContinuous"/>
    </xf>
    <xf numFmtId="0" fontId="3" fillId="7" borderId="6" xfId="0" applyFont="1" applyFill="1" applyBorder="1"/>
    <xf numFmtId="0" fontId="11" fillId="7" borderId="10" xfId="0" applyFont="1" applyFill="1" applyBorder="1" applyAlignment="1">
      <alignment vertical="center"/>
    </xf>
    <xf numFmtId="0" fontId="3" fillId="0" borderId="4" xfId="0" quotePrefix="1" applyFont="1" applyBorder="1" applyAlignment="1">
      <alignment horizontal="left"/>
    </xf>
    <xf numFmtId="3" fontId="0" fillId="0" borderId="0" xfId="0" applyNumberFormat="1" applyAlignment="1">
      <alignment horizontal="center"/>
    </xf>
    <xf numFmtId="0" fontId="0" fillId="0" borderId="6" xfId="0" applyBorder="1"/>
    <xf numFmtId="0" fontId="0" fillId="0" borderId="7" xfId="0" applyBorder="1"/>
    <xf numFmtId="3" fontId="13" fillId="0" borderId="0" xfId="0" applyNumberFormat="1" applyFont="1" applyAlignment="1">
      <alignment horizontal="center" vertical="top" wrapText="1"/>
    </xf>
    <xf numFmtId="1" fontId="13" fillId="0" borderId="0" xfId="0" applyNumberFormat="1" applyFont="1" applyAlignment="1">
      <alignment horizontal="right" vertical="top" wrapText="1" indent="1"/>
    </xf>
    <xf numFmtId="0" fontId="4" fillId="0" borderId="0" xfId="0" applyFont="1" applyAlignment="1">
      <alignment horizontal="left" vertical="top" wrapText="1"/>
    </xf>
    <xf numFmtId="1" fontId="13" fillId="0" borderId="0" xfId="0" applyNumberFormat="1" applyFont="1" applyAlignment="1">
      <alignment horizontal="right" vertical="top" wrapText="1"/>
    </xf>
    <xf numFmtId="1" fontId="13" fillId="0" borderId="0" xfId="0" applyNumberFormat="1" applyFont="1" applyAlignment="1">
      <alignment horizontal="right" vertical="top" wrapText="1" indent="2"/>
    </xf>
    <xf numFmtId="9" fontId="13" fillId="0" borderId="0" xfId="0" applyNumberFormat="1" applyFont="1" applyAlignment="1">
      <alignment horizontal="right" vertical="top" wrapText="1"/>
    </xf>
    <xf numFmtId="3" fontId="13" fillId="0" borderId="0" xfId="0" applyNumberFormat="1" applyFont="1" applyAlignment="1">
      <alignment horizontal="right" vertical="top" wrapText="1" indent="1"/>
    </xf>
    <xf numFmtId="3" fontId="13" fillId="0" borderId="0" xfId="0" applyNumberFormat="1" applyFont="1" applyAlignment="1">
      <alignment horizontal="right" vertical="top" wrapText="1"/>
    </xf>
    <xf numFmtId="3" fontId="13" fillId="0" borderId="0" xfId="0" applyNumberFormat="1" applyFont="1" applyAlignment="1">
      <alignment horizontal="right" vertical="top" wrapText="1" indent="2"/>
    </xf>
    <xf numFmtId="9" fontId="0" fillId="0" borderId="0" xfId="1" applyFont="1"/>
    <xf numFmtId="3" fontId="0" fillId="0" borderId="0" xfId="0" quotePrefix="1" applyNumberFormat="1" applyAlignment="1">
      <alignment horizontal="center"/>
    </xf>
    <xf numFmtId="0" fontId="0" fillId="0" borderId="0" xfId="0" quotePrefix="1" applyAlignment="1">
      <alignment horizontal="center"/>
    </xf>
    <xf numFmtId="164" fontId="13" fillId="0" borderId="0" xfId="1" applyNumberFormat="1" applyFont="1" applyAlignment="1">
      <alignment horizontal="center" vertical="top" wrapText="1"/>
    </xf>
    <xf numFmtId="9" fontId="0" fillId="5" borderId="0" xfId="1" applyFont="1" applyFill="1"/>
    <xf numFmtId="3" fontId="0" fillId="0" borderId="1" xfId="0" applyNumberFormat="1" applyBorder="1"/>
    <xf numFmtId="0" fontId="10" fillId="0" borderId="0" xfId="0" applyFont="1" applyAlignment="1">
      <alignment horizontal="left"/>
    </xf>
    <xf numFmtId="164" fontId="13" fillId="0" borderId="0" xfId="0" applyNumberFormat="1" applyFont="1" applyAlignment="1">
      <alignment horizontal="right" vertical="top" wrapText="1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right" vertical="top" wrapText="1" indent="1"/>
    </xf>
    <xf numFmtId="1" fontId="0" fillId="0" borderId="0" xfId="0" applyNumberFormat="1" applyAlignment="1">
      <alignment horizontal="center" vertical="top" wrapText="1"/>
    </xf>
    <xf numFmtId="3" fontId="0" fillId="0" borderId="0" xfId="0" applyNumberFormat="1" applyAlignment="1">
      <alignment horizontal="right" vertical="top" wrapText="1" indent="1"/>
    </xf>
    <xf numFmtId="164" fontId="0" fillId="0" borderId="0" xfId="1" applyNumberFormat="1" applyFont="1"/>
    <xf numFmtId="9" fontId="0" fillId="0" borderId="0" xfId="0" applyNumberFormat="1"/>
    <xf numFmtId="164" fontId="0" fillId="0" borderId="0" xfId="0" applyNumberFormat="1"/>
    <xf numFmtId="0" fontId="3" fillId="5" borderId="0" xfId="0" applyFont="1" applyFill="1"/>
    <xf numFmtId="0" fontId="3" fillId="5" borderId="0" xfId="0" applyFont="1" applyFill="1" applyAlignment="1">
      <alignment horizontal="center"/>
    </xf>
    <xf numFmtId="0" fontId="0" fillId="2" borderId="4" xfId="0" applyFill="1" applyBorder="1"/>
    <xf numFmtId="0" fontId="3" fillId="5" borderId="2" xfId="0" applyFont="1" applyFill="1" applyBorder="1" applyAlignment="1">
      <alignment horizontal="center"/>
    </xf>
    <xf numFmtId="3" fontId="0" fillId="5" borderId="0" xfId="0" applyNumberFormat="1" applyFill="1"/>
    <xf numFmtId="0" fontId="0" fillId="5" borderId="0" xfId="0" quotePrefix="1" applyFill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vertical="top" wrapText="1"/>
    </xf>
    <xf numFmtId="0" fontId="13" fillId="0" borderId="0" xfId="0" applyFont="1" applyAlignment="1">
      <alignment horizontal="left" vertical="top"/>
    </xf>
    <xf numFmtId="1" fontId="13" fillId="0" borderId="0" xfId="0" applyNumberFormat="1" applyFont="1" applyAlignment="1">
      <alignment horizontal="center" vertical="top" wrapText="1"/>
    </xf>
    <xf numFmtId="1" fontId="13" fillId="0" borderId="0" xfId="0" applyNumberFormat="1" applyFont="1" applyAlignment="1">
      <alignment horizontal="left" vertical="top" wrapText="1" indent="1"/>
    </xf>
    <xf numFmtId="0" fontId="4" fillId="0" borderId="0" xfId="0" applyFont="1" applyAlignment="1">
      <alignment horizontal="center" vertical="top" wrapText="1"/>
    </xf>
    <xf numFmtId="0" fontId="13" fillId="0" borderId="0" xfId="0" applyFont="1" applyAlignment="1">
      <alignment horizontal="center" vertical="top" wrapText="1"/>
    </xf>
    <xf numFmtId="3" fontId="0" fillId="0" borderId="0" xfId="0" applyNumberFormat="1" applyAlignment="1">
      <alignment horizontal="left"/>
    </xf>
    <xf numFmtId="0" fontId="0" fillId="0" borderId="0" xfId="0" applyAlignment="1">
      <alignment horizontal="right"/>
    </xf>
    <xf numFmtId="0" fontId="15" fillId="0" borderId="0" xfId="0" applyFont="1" applyAlignment="1">
      <alignment vertical="top" wrapText="1"/>
    </xf>
    <xf numFmtId="0" fontId="16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vertical="top" wrapText="1"/>
    </xf>
    <xf numFmtId="1" fontId="16" fillId="0" borderId="0" xfId="0" applyNumberFormat="1" applyFont="1" applyAlignment="1">
      <alignment horizontal="right" vertical="top" wrapText="1"/>
    </xf>
    <xf numFmtId="1" fontId="16" fillId="0" borderId="0" xfId="0" applyNumberFormat="1" applyFont="1" applyAlignment="1">
      <alignment horizontal="right" vertical="top" wrapText="1" indent="1"/>
    </xf>
    <xf numFmtId="1" fontId="16" fillId="0" borderId="0" xfId="0" applyNumberFormat="1" applyFont="1" applyAlignment="1">
      <alignment horizontal="left" vertical="top" wrapText="1" indent="3"/>
    </xf>
    <xf numFmtId="164" fontId="16" fillId="0" borderId="0" xfId="0" applyNumberFormat="1" applyFont="1" applyAlignment="1">
      <alignment horizontal="right" vertical="top" wrapText="1"/>
    </xf>
    <xf numFmtId="1" fontId="16" fillId="0" borderId="0" xfId="0" applyNumberFormat="1" applyFont="1" applyAlignment="1">
      <alignment horizontal="left" vertical="top" wrapText="1" indent="4"/>
    </xf>
    <xf numFmtId="3" fontId="16" fillId="0" borderId="0" xfId="0" applyNumberFormat="1" applyFont="1" applyAlignment="1">
      <alignment horizontal="right" vertical="top" wrapText="1" indent="1"/>
    </xf>
    <xf numFmtId="3" fontId="16" fillId="0" borderId="0" xfId="0" applyNumberFormat="1" applyFont="1" applyAlignment="1">
      <alignment horizontal="left" vertical="top" wrapText="1" indent="2"/>
    </xf>
    <xf numFmtId="3" fontId="16" fillId="0" borderId="0" xfId="0" applyNumberFormat="1" applyFont="1" applyAlignment="1">
      <alignment horizontal="right" vertical="top" wrapText="1"/>
    </xf>
    <xf numFmtId="0" fontId="17" fillId="0" borderId="0" xfId="0" applyFont="1" applyAlignment="1">
      <alignment horizontal="right" vertical="top" wrapText="1" indent="1"/>
    </xf>
    <xf numFmtId="0" fontId="0" fillId="0" borderId="0" xfId="0" applyAlignment="1">
      <alignment wrapText="1"/>
    </xf>
    <xf numFmtId="3" fontId="0" fillId="0" borderId="13" xfId="0" applyNumberFormat="1" applyBorder="1"/>
    <xf numFmtId="3" fontId="0" fillId="0" borderId="14" xfId="0" applyNumberFormat="1" applyBorder="1"/>
    <xf numFmtId="3" fontId="0" fillId="0" borderId="15" xfId="0" applyNumberFormat="1" applyBorder="1"/>
    <xf numFmtId="1" fontId="18" fillId="0" borderId="0" xfId="0" applyNumberFormat="1" applyFont="1" applyAlignment="1">
      <alignment horizontal="right" vertical="top" wrapText="1"/>
    </xf>
    <xf numFmtId="3" fontId="18" fillId="0" borderId="0" xfId="0" applyNumberFormat="1" applyFont="1" applyAlignment="1">
      <alignment horizontal="right" vertical="top" wrapText="1"/>
    </xf>
    <xf numFmtId="3" fontId="14" fillId="5" borderId="0" xfId="0" applyNumberFormat="1" applyFont="1" applyFill="1" applyAlignment="1">
      <alignment horizontal="right"/>
    </xf>
    <xf numFmtId="3" fontId="4" fillId="5" borderId="0" xfId="0" applyNumberFormat="1" applyFont="1" applyFill="1" applyAlignment="1">
      <alignment horizontal="right"/>
    </xf>
    <xf numFmtId="3" fontId="0" fillId="5" borderId="0" xfId="0" applyNumberFormat="1" applyFill="1" applyAlignment="1">
      <alignment horizontal="center"/>
    </xf>
    <xf numFmtId="0" fontId="0" fillId="0" borderId="4" xfId="2" applyFont="1" applyBorder="1"/>
    <xf numFmtId="0" fontId="0" fillId="0" borderId="6" xfId="2" applyFont="1" applyBorder="1"/>
    <xf numFmtId="0" fontId="0" fillId="0" borderId="1" xfId="0" applyBorder="1"/>
    <xf numFmtId="0" fontId="3" fillId="4" borderId="5" xfId="0" applyFont="1" applyFill="1" applyBorder="1" applyAlignment="1">
      <alignment horizontal="center" vertical="center"/>
    </xf>
    <xf numFmtId="3" fontId="0" fillId="0" borderId="3" xfId="0" applyNumberFormat="1" applyBorder="1" applyAlignment="1">
      <alignment horizontal="center"/>
    </xf>
    <xf numFmtId="3" fontId="0" fillId="0" borderId="5" xfId="0" applyNumberFormat="1" applyBorder="1" applyAlignment="1">
      <alignment horizontal="center"/>
    </xf>
    <xf numFmtId="3" fontId="0" fillId="0" borderId="8" xfId="0" applyNumberFormat="1" applyBorder="1" applyAlignment="1">
      <alignment horizontal="center"/>
    </xf>
    <xf numFmtId="3" fontId="0" fillId="0" borderId="2" xfId="0" applyNumberFormat="1" applyBorder="1"/>
    <xf numFmtId="0" fontId="0" fillId="0" borderId="0" xfId="0" quotePrefix="1"/>
    <xf numFmtId="164" fontId="11" fillId="7" borderId="11" xfId="0" applyNumberFormat="1" applyFont="1" applyFill="1" applyBorder="1" applyAlignment="1">
      <alignment horizontal="center"/>
    </xf>
    <xf numFmtId="0" fontId="3" fillId="5" borderId="10" xfId="0" applyFont="1" applyFill="1" applyBorder="1"/>
    <xf numFmtId="0" fontId="3" fillId="5" borderId="11" xfId="0" applyFont="1" applyFill="1" applyBorder="1"/>
    <xf numFmtId="3" fontId="3" fillId="5" borderId="11" xfId="0" applyNumberFormat="1" applyFont="1" applyFill="1" applyBorder="1"/>
    <xf numFmtId="0" fontId="3" fillId="7" borderId="5" xfId="0" applyFont="1" applyFill="1" applyBorder="1" applyAlignment="1">
      <alignment horizontal="center"/>
    </xf>
    <xf numFmtId="0" fontId="3" fillId="7" borderId="0" xfId="0" applyFont="1" applyFill="1"/>
    <xf numFmtId="0" fontId="11" fillId="7" borderId="6" xfId="0" applyFont="1" applyFill="1" applyBorder="1" applyAlignment="1">
      <alignment vertical="center"/>
    </xf>
    <xf numFmtId="0" fontId="0" fillId="0" borderId="2" xfId="0" quotePrefix="1" applyBorder="1" applyAlignment="1">
      <alignment horizontal="center"/>
    </xf>
    <xf numFmtId="3" fontId="14" fillId="5" borderId="11" xfId="0" applyNumberFormat="1" applyFont="1" applyFill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1" fillId="8" borderId="19" xfId="0" applyFont="1" applyFill="1" applyBorder="1" applyAlignment="1">
      <alignment vertical="center" wrapText="1"/>
    </xf>
    <xf numFmtId="0" fontId="21" fillId="8" borderId="22" xfId="0" applyFont="1" applyFill="1" applyBorder="1" applyAlignment="1">
      <alignment horizontal="center" vertical="center" wrapText="1"/>
    </xf>
    <xf numFmtId="0" fontId="21" fillId="8" borderId="22" xfId="0" applyFont="1" applyFill="1" applyBorder="1" applyAlignment="1">
      <alignment vertical="center" wrapText="1"/>
    </xf>
    <xf numFmtId="0" fontId="21" fillId="8" borderId="23" xfId="0" applyFont="1" applyFill="1" applyBorder="1" applyAlignment="1">
      <alignment vertical="center" wrapText="1"/>
    </xf>
    <xf numFmtId="0" fontId="21" fillId="8" borderId="24" xfId="0" applyFont="1" applyFill="1" applyBorder="1" applyAlignment="1">
      <alignment vertical="center" wrapText="1"/>
    </xf>
    <xf numFmtId="0" fontId="21" fillId="8" borderId="25" xfId="0" applyFont="1" applyFill="1" applyBorder="1" applyAlignment="1">
      <alignment horizontal="center" vertical="center" wrapText="1"/>
    </xf>
    <xf numFmtId="0" fontId="21" fillId="8" borderId="25" xfId="0" applyFont="1" applyFill="1" applyBorder="1" applyAlignment="1">
      <alignment horizontal="right" vertical="center" wrapText="1"/>
    </xf>
    <xf numFmtId="0" fontId="21" fillId="8" borderId="0" xfId="0" applyFont="1" applyFill="1" applyAlignment="1">
      <alignment horizontal="right" vertical="center" wrapText="1"/>
    </xf>
    <xf numFmtId="0" fontId="21" fillId="8" borderId="26" xfId="0" applyFont="1" applyFill="1" applyBorder="1" applyAlignment="1">
      <alignment horizontal="right" vertical="center" wrapText="1"/>
    </xf>
    <xf numFmtId="3" fontId="21" fillId="8" borderId="0" xfId="0" applyNumberFormat="1" applyFont="1" applyFill="1" applyAlignment="1">
      <alignment horizontal="right" vertical="center" wrapText="1"/>
    </xf>
    <xf numFmtId="3" fontId="21" fillId="8" borderId="26" xfId="0" applyNumberFormat="1" applyFont="1" applyFill="1" applyBorder="1" applyAlignment="1">
      <alignment horizontal="right" vertical="center" wrapText="1"/>
    </xf>
    <xf numFmtId="0" fontId="21" fillId="8" borderId="22" xfId="0" applyFont="1" applyFill="1" applyBorder="1" applyAlignment="1">
      <alignment horizontal="right" vertical="center" wrapText="1"/>
    </xf>
    <xf numFmtId="0" fontId="21" fillId="8" borderId="23" xfId="0" applyFont="1" applyFill="1" applyBorder="1" applyAlignment="1">
      <alignment horizontal="right" vertical="center" wrapText="1"/>
    </xf>
    <xf numFmtId="0" fontId="21" fillId="8" borderId="24" xfId="0" applyFont="1" applyFill="1" applyBorder="1" applyAlignment="1">
      <alignment horizontal="right" vertical="center" wrapText="1"/>
    </xf>
    <xf numFmtId="0" fontId="0" fillId="0" borderId="0" xfId="0" applyAlignment="1">
      <alignment vertical="center"/>
    </xf>
    <xf numFmtId="0" fontId="24" fillId="0" borderId="0" xfId="0" applyFont="1" applyAlignment="1">
      <alignment vertical="center"/>
    </xf>
    <xf numFmtId="0" fontId="21" fillId="0" borderId="19" xfId="0" applyFont="1" applyBorder="1" applyAlignment="1">
      <alignment vertical="center"/>
    </xf>
    <xf numFmtId="0" fontId="21" fillId="0" borderId="20" xfId="0" applyFont="1" applyBorder="1" applyAlignment="1">
      <alignment vertical="center"/>
    </xf>
    <xf numFmtId="0" fontId="21" fillId="0" borderId="27" xfId="0" applyFont="1" applyBorder="1" applyAlignment="1">
      <alignment vertical="center"/>
    </xf>
    <xf numFmtId="0" fontId="21" fillId="0" borderId="28" xfId="0" applyFont="1" applyBorder="1" applyAlignment="1">
      <alignment vertical="center"/>
    </xf>
    <xf numFmtId="0" fontId="21" fillId="0" borderId="22" xfId="0" applyFont="1" applyBorder="1" applyAlignment="1">
      <alignment vertical="center" wrapText="1"/>
    </xf>
    <xf numFmtId="0" fontId="21" fillId="0" borderId="23" xfId="0" applyFont="1" applyBorder="1" applyAlignment="1">
      <alignment vertical="center" wrapText="1"/>
    </xf>
    <xf numFmtId="0" fontId="21" fillId="0" borderId="29" xfId="0" applyFont="1" applyBorder="1" applyAlignment="1">
      <alignment vertical="center" wrapText="1"/>
    </xf>
    <xf numFmtId="0" fontId="21" fillId="0" borderId="24" xfId="0" applyFont="1" applyBorder="1" applyAlignment="1">
      <alignment vertical="center" wrapText="1"/>
    </xf>
    <xf numFmtId="0" fontId="21" fillId="0" borderId="2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10" fontId="21" fillId="0" borderId="26" xfId="0" applyNumberFormat="1" applyFont="1" applyBorder="1" applyAlignment="1">
      <alignment horizontal="right" vertical="center"/>
    </xf>
    <xf numFmtId="10" fontId="21" fillId="0" borderId="0" xfId="0" applyNumberFormat="1" applyFont="1" applyAlignment="1">
      <alignment horizontal="right" vertical="center"/>
    </xf>
    <xf numFmtId="0" fontId="21" fillId="0" borderId="26" xfId="0" applyFont="1" applyBorder="1" applyAlignment="1">
      <alignment horizontal="right" vertical="center"/>
    </xf>
    <xf numFmtId="0" fontId="21" fillId="0" borderId="0" xfId="0" applyFont="1" applyAlignment="1">
      <alignment horizontal="center" vertical="center"/>
    </xf>
    <xf numFmtId="3" fontId="21" fillId="0" borderId="0" xfId="0" applyNumberFormat="1" applyFont="1" applyAlignment="1">
      <alignment horizontal="right" vertical="center"/>
    </xf>
    <xf numFmtId="3" fontId="21" fillId="0" borderId="23" xfId="0" applyNumberFormat="1" applyFont="1" applyBorder="1" applyAlignment="1">
      <alignment horizontal="right" vertical="center"/>
    </xf>
    <xf numFmtId="0" fontId="21" fillId="0" borderId="23" xfId="0" applyFont="1" applyBorder="1" applyAlignment="1">
      <alignment horizontal="right" vertical="center"/>
    </xf>
    <xf numFmtId="0" fontId="21" fillId="0" borderId="24" xfId="0" applyFont="1" applyBorder="1" applyAlignment="1">
      <alignment horizontal="right" vertical="center"/>
    </xf>
    <xf numFmtId="10" fontId="21" fillId="0" borderId="23" xfId="0" applyNumberFormat="1" applyFont="1" applyBorder="1" applyAlignment="1">
      <alignment horizontal="right" vertical="center"/>
    </xf>
    <xf numFmtId="0" fontId="21" fillId="0" borderId="22" xfId="0" applyFont="1" applyBorder="1" applyAlignment="1">
      <alignment vertical="center"/>
    </xf>
    <xf numFmtId="0" fontId="21" fillId="0" borderId="22" xfId="0" applyFont="1" applyBorder="1" applyAlignment="1">
      <alignment vertical="center" textRotation="90"/>
    </xf>
    <xf numFmtId="0" fontId="21" fillId="0" borderId="23" xfId="0" applyFont="1" applyBorder="1" applyAlignment="1">
      <alignment vertical="center" textRotation="90"/>
    </xf>
    <xf numFmtId="0" fontId="21" fillId="0" borderId="24" xfId="0" applyFont="1" applyBorder="1" applyAlignment="1">
      <alignment vertical="center" textRotation="90"/>
    </xf>
    <xf numFmtId="3" fontId="21" fillId="0" borderId="25" xfId="0" applyNumberFormat="1" applyFont="1" applyBorder="1" applyAlignment="1">
      <alignment horizontal="right" vertical="center"/>
    </xf>
    <xf numFmtId="3" fontId="21" fillId="0" borderId="26" xfId="0" applyNumberFormat="1" applyFont="1" applyBorder="1" applyAlignment="1">
      <alignment horizontal="right" vertical="center"/>
    </xf>
    <xf numFmtId="0" fontId="21" fillId="0" borderId="22" xfId="0" applyFont="1" applyBorder="1" applyAlignment="1">
      <alignment horizontal="right" vertical="center"/>
    </xf>
    <xf numFmtId="3" fontId="21" fillId="0" borderId="22" xfId="0" applyNumberFormat="1" applyFont="1" applyBorder="1" applyAlignment="1">
      <alignment horizontal="right" vertical="center"/>
    </xf>
    <xf numFmtId="3" fontId="21" fillId="0" borderId="24" xfId="0" applyNumberFormat="1" applyFont="1" applyBorder="1" applyAlignment="1">
      <alignment horizontal="right" vertical="center"/>
    </xf>
    <xf numFmtId="0" fontId="21" fillId="0" borderId="25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0" fillId="0" borderId="17" xfId="0" applyBorder="1" applyAlignment="1">
      <alignment horizontal="center"/>
    </xf>
    <xf numFmtId="0" fontId="28" fillId="0" borderId="0" xfId="0" applyFont="1"/>
    <xf numFmtId="0" fontId="23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3" fillId="7" borderId="0" xfId="0" applyFont="1" applyFill="1" applyAlignment="1">
      <alignment horizontal="center"/>
    </xf>
    <xf numFmtId="3" fontId="4" fillId="0" borderId="4" xfId="0" applyNumberFormat="1" applyFon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2" fillId="0" borderId="0" xfId="0" applyFont="1" applyAlignment="1">
      <alignment horizontal="center"/>
    </xf>
    <xf numFmtId="3" fontId="4" fillId="0" borderId="1" xfId="0" applyNumberFormat="1" applyFont="1" applyBorder="1" applyAlignment="1">
      <alignment horizontal="center"/>
    </xf>
    <xf numFmtId="3" fontId="4" fillId="0" borderId="6" xfId="0" applyNumberFormat="1" applyFont="1" applyBorder="1" applyAlignment="1">
      <alignment horizontal="center"/>
    </xf>
    <xf numFmtId="0" fontId="21" fillId="8" borderId="19" xfId="0" applyFont="1" applyFill="1" applyBorder="1" applyAlignment="1">
      <alignment horizontal="center" vertical="center" wrapText="1"/>
    </xf>
    <xf numFmtId="0" fontId="21" fillId="8" borderId="20" xfId="0" applyFont="1" applyFill="1" applyBorder="1" applyAlignment="1">
      <alignment horizontal="center" vertical="center" wrapText="1"/>
    </xf>
    <xf numFmtId="0" fontId="21" fillId="8" borderId="21" xfId="0" applyFont="1" applyFill="1" applyBorder="1" applyAlignment="1">
      <alignment horizontal="center" vertical="center" wrapText="1"/>
    </xf>
    <xf numFmtId="0" fontId="21" fillId="8" borderId="27" xfId="0" applyFont="1" applyFill="1" applyBorder="1" applyAlignment="1">
      <alignment horizontal="center" vertical="center" wrapText="1"/>
    </xf>
    <xf numFmtId="3" fontId="0" fillId="2" borderId="0" xfId="0" applyNumberFormat="1" applyFill="1"/>
    <xf numFmtId="0" fontId="3" fillId="5" borderId="8" xfId="0" applyFont="1" applyFill="1" applyBorder="1" applyAlignment="1">
      <alignment horizontal="center"/>
    </xf>
    <xf numFmtId="0" fontId="8" fillId="5" borderId="2" xfId="0" applyFont="1" applyFill="1" applyBorder="1" applyAlignment="1">
      <alignment horizontal="centerContinuous"/>
    </xf>
    <xf numFmtId="0" fontId="3" fillId="5" borderId="2" xfId="0" applyFont="1" applyFill="1" applyBorder="1" applyAlignment="1">
      <alignment horizontal="centerContinuous"/>
    </xf>
    <xf numFmtId="0" fontId="3" fillId="6" borderId="11" xfId="0" applyFont="1" applyFill="1" applyBorder="1"/>
    <xf numFmtId="0" fontId="8" fillId="7" borderId="1" xfId="0" applyFont="1" applyFill="1" applyBorder="1" applyAlignment="1">
      <alignment horizontal="centerContinuous"/>
    </xf>
    <xf numFmtId="0" fontId="3" fillId="7" borderId="3" xfId="0" applyFont="1" applyFill="1" applyBorder="1" applyAlignment="1">
      <alignment horizontal="centerContinuous"/>
    </xf>
    <xf numFmtId="0" fontId="3" fillId="7" borderId="4" xfId="0" applyFont="1" applyFill="1" applyBorder="1" applyAlignment="1">
      <alignment horizontal="center"/>
    </xf>
    <xf numFmtId="9" fontId="0" fillId="0" borderId="1" xfId="0" quotePrefix="1" applyNumberFormat="1" applyBorder="1" applyAlignment="1">
      <alignment horizontal="center"/>
    </xf>
    <xf numFmtId="0" fontId="0" fillId="0" borderId="3" xfId="0" quotePrefix="1" applyBorder="1" applyAlignment="1">
      <alignment horizontal="center"/>
    </xf>
    <xf numFmtId="164" fontId="0" fillId="0" borderId="4" xfId="0" quotePrefix="1" applyNumberFormat="1" applyBorder="1" applyAlignment="1">
      <alignment horizontal="center"/>
    </xf>
    <xf numFmtId="164" fontId="11" fillId="7" borderId="6" xfId="1" applyNumberFormat="1" applyFont="1" applyFill="1" applyBorder="1" applyAlignment="1">
      <alignment horizontal="center"/>
    </xf>
    <xf numFmtId="164" fontId="11" fillId="7" borderId="12" xfId="0" applyNumberFormat="1" applyFont="1" applyFill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3" fontId="0" fillId="0" borderId="5" xfId="0" applyNumberFormat="1" applyBorder="1" applyAlignment="1">
      <alignment horizontal="right"/>
    </xf>
    <xf numFmtId="3" fontId="3" fillId="5" borderId="12" xfId="0" applyNumberFormat="1" applyFont="1" applyFill="1" applyBorder="1"/>
    <xf numFmtId="3" fontId="3" fillId="5" borderId="12" xfId="0" applyNumberFormat="1" applyFont="1" applyFill="1" applyBorder="1" applyAlignment="1">
      <alignment horizontal="right"/>
    </xf>
    <xf numFmtId="0" fontId="0" fillId="0" borderId="0" xfId="0" applyAlignment="1">
      <alignment horizontal="center" vertical="center" textRotation="90" wrapText="1"/>
    </xf>
    <xf numFmtId="164" fontId="0" fillId="5" borderId="0" xfId="1" applyNumberFormat="1" applyFont="1" applyFill="1" applyAlignment="1">
      <alignment horizontal="center"/>
    </xf>
    <xf numFmtId="3" fontId="0" fillId="5" borderId="0" xfId="1" applyNumberFormat="1" applyFont="1" applyFill="1" applyAlignment="1">
      <alignment horizontal="center"/>
    </xf>
    <xf numFmtId="165" fontId="0" fillId="5" borderId="0" xfId="0" applyNumberFormat="1" applyFill="1" applyAlignment="1">
      <alignment horizontal="center"/>
    </xf>
    <xf numFmtId="165" fontId="0" fillId="5" borderId="0" xfId="1" applyNumberFormat="1" applyFont="1" applyFill="1" applyAlignment="1">
      <alignment horizontal="center"/>
    </xf>
    <xf numFmtId="164" fontId="0" fillId="5" borderId="0" xfId="1" applyNumberFormat="1" applyFont="1" applyFill="1"/>
    <xf numFmtId="164" fontId="0" fillId="0" borderId="0" xfId="1" applyNumberFormat="1" applyFont="1" applyAlignment="1">
      <alignment horizontal="center"/>
    </xf>
    <xf numFmtId="3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0" fontId="0" fillId="5" borderId="0" xfId="0" applyFill="1" applyAlignment="1">
      <alignment horizontal="center"/>
    </xf>
    <xf numFmtId="0" fontId="0" fillId="5" borderId="0" xfId="0" applyFill="1"/>
    <xf numFmtId="0" fontId="0" fillId="0" borderId="0" xfId="0" applyAlignment="1">
      <alignment horizontal="center" vertical="center" textRotation="90"/>
    </xf>
    <xf numFmtId="165" fontId="0" fillId="0" borderId="0" xfId="0" applyNumberFormat="1"/>
    <xf numFmtId="0" fontId="3" fillId="9" borderId="0" xfId="0" applyFont="1" applyFill="1"/>
    <xf numFmtId="0" fontId="3" fillId="9" borderId="0" xfId="0" applyFont="1" applyFill="1" applyAlignment="1">
      <alignment horizontal="center"/>
    </xf>
    <xf numFmtId="0" fontId="0" fillId="0" borderId="7" xfId="0" applyBorder="1" applyAlignment="1">
      <alignment horizontal="center"/>
    </xf>
    <xf numFmtId="0" fontId="30" fillId="0" borderId="0" xfId="3"/>
    <xf numFmtId="0" fontId="4" fillId="0" borderId="0" xfId="0" applyFont="1" applyAlignment="1">
      <alignment horizontal="center" wrapText="1"/>
    </xf>
    <xf numFmtId="3" fontId="13" fillId="0" borderId="0" xfId="0" applyNumberFormat="1" applyFont="1" applyAlignment="1">
      <alignment horizontal="center" wrapText="1"/>
    </xf>
    <xf numFmtId="1" fontId="13" fillId="0" borderId="0" xfId="0" applyNumberFormat="1" applyFont="1" applyAlignment="1">
      <alignment horizontal="center" wrapText="1"/>
    </xf>
    <xf numFmtId="0" fontId="0" fillId="0" borderId="2" xfId="0" quotePrefix="1" applyBorder="1" applyAlignment="1">
      <alignment horizontal="center" vertical="center"/>
    </xf>
    <xf numFmtId="0" fontId="21" fillId="0" borderId="0" xfId="0" applyFont="1" applyAlignment="1">
      <alignment vertical="center" wrapText="1"/>
    </xf>
    <xf numFmtId="164" fontId="11" fillId="7" borderId="7" xfId="0" applyNumberFormat="1" applyFont="1" applyFill="1" applyBorder="1" applyAlignment="1">
      <alignment horizontal="center"/>
    </xf>
    <xf numFmtId="0" fontId="0" fillId="0" borderId="0" xfId="0" quotePrefix="1" applyAlignment="1">
      <alignment horizontal="center" vertical="center"/>
    </xf>
    <xf numFmtId="164" fontId="11" fillId="7" borderId="8" xfId="0" applyNumberFormat="1" applyFont="1" applyFill="1" applyBorder="1" applyAlignment="1">
      <alignment horizontal="center"/>
    </xf>
    <xf numFmtId="0" fontId="0" fillId="0" borderId="7" xfId="0" quotePrefix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1" fillId="0" borderId="0" xfId="0" applyFont="1" applyAlignment="1">
      <alignment horizontal="right" vertical="center" wrapText="1"/>
    </xf>
    <xf numFmtId="0" fontId="2" fillId="0" borderId="0" xfId="0" applyFont="1"/>
    <xf numFmtId="3" fontId="2" fillId="0" borderId="0" xfId="0" applyNumberFormat="1" applyFont="1"/>
    <xf numFmtId="0" fontId="31" fillId="0" borderId="0" xfId="0" applyFont="1" applyAlignment="1">
      <alignment horizontal="right" vertical="center" wrapText="1"/>
    </xf>
    <xf numFmtId="3" fontId="31" fillId="0" borderId="0" xfId="0" applyNumberFormat="1" applyFont="1" applyAlignment="1">
      <alignment horizontal="right" vertical="center" wrapText="1"/>
    </xf>
    <xf numFmtId="3" fontId="0" fillId="0" borderId="4" xfId="0" applyNumberFormat="1" applyBorder="1" applyAlignment="1">
      <alignment horizontal="center"/>
    </xf>
    <xf numFmtId="3" fontId="0" fillId="2" borderId="0" xfId="0" applyNumberFormat="1" applyFill="1" applyAlignment="1">
      <alignment horizontal="center"/>
    </xf>
    <xf numFmtId="9" fontId="13" fillId="0" borderId="0" xfId="1" applyFont="1" applyAlignment="1">
      <alignment horizontal="right" vertical="top" wrapText="1"/>
    </xf>
    <xf numFmtId="164" fontId="0" fillId="0" borderId="6" xfId="0" applyNumberFormat="1" applyBorder="1" applyAlignment="1">
      <alignment horizontal="center"/>
    </xf>
    <xf numFmtId="164" fontId="0" fillId="0" borderId="6" xfId="0" quotePrefix="1" applyNumberFormat="1" applyBorder="1" applyAlignment="1">
      <alignment horizontal="center"/>
    </xf>
    <xf numFmtId="3" fontId="0" fillId="0" borderId="4" xfId="0" quotePrefix="1" applyNumberFormat="1" applyBorder="1" applyAlignment="1">
      <alignment horizontal="center"/>
    </xf>
    <xf numFmtId="3" fontId="0" fillId="0" borderId="6" xfId="0" quotePrefix="1" applyNumberFormat="1" applyBorder="1" applyAlignment="1">
      <alignment horizontal="center"/>
    </xf>
    <xf numFmtId="0" fontId="0" fillId="0" borderId="1" xfId="0" quotePrefix="1" applyBorder="1" applyAlignment="1">
      <alignment horizontal="center"/>
    </xf>
    <xf numFmtId="3" fontId="11" fillId="7" borderId="7" xfId="0" applyNumberFormat="1" applyFont="1" applyFill="1" applyBorder="1" applyAlignment="1">
      <alignment horizontal="center"/>
    </xf>
    <xf numFmtId="0" fontId="0" fillId="0" borderId="1" xfId="0" quotePrefix="1" applyBorder="1" applyAlignment="1">
      <alignment horizontal="center" vertical="center"/>
    </xf>
    <xf numFmtId="9" fontId="2" fillId="5" borderId="0" xfId="1" applyFont="1" applyFill="1" applyAlignment="1">
      <alignment horizontal="center"/>
    </xf>
    <xf numFmtId="0" fontId="2" fillId="0" borderId="7" xfId="0" applyFont="1" applyBorder="1"/>
    <xf numFmtId="0" fontId="30" fillId="0" borderId="7" xfId="3" applyBorder="1"/>
    <xf numFmtId="0" fontId="2" fillId="4" borderId="0" xfId="0" applyFont="1" applyFill="1" applyAlignment="1">
      <alignment horizontal="left" vertical="center"/>
    </xf>
    <xf numFmtId="164" fontId="0" fillId="0" borderId="0" xfId="0" applyNumberFormat="1" applyAlignment="1">
      <alignment horizontal="center"/>
    </xf>
    <xf numFmtId="3" fontId="0" fillId="5" borderId="13" xfId="0" applyNumberFormat="1" applyFill="1" applyBorder="1"/>
    <xf numFmtId="9" fontId="0" fillId="5" borderId="0" xfId="0" applyNumberFormat="1" applyFill="1"/>
    <xf numFmtId="164" fontId="0" fillId="5" borderId="0" xfId="0" applyNumberFormat="1" applyFill="1" applyAlignment="1">
      <alignment horizontal="center"/>
    </xf>
    <xf numFmtId="10" fontId="0" fillId="5" borderId="0" xfId="0" applyNumberFormat="1" applyFill="1" applyAlignment="1">
      <alignment horizontal="center"/>
    </xf>
    <xf numFmtId="3" fontId="20" fillId="2" borderId="0" xfId="0" applyNumberFormat="1" applyFont="1" applyFill="1"/>
    <xf numFmtId="0" fontId="0" fillId="0" borderId="3" xfId="0" quotePrefix="1" applyBorder="1" applyAlignment="1">
      <alignment horizontal="center" vertical="center"/>
    </xf>
    <xf numFmtId="0" fontId="33" fillId="10" borderId="0" xfId="0" applyFont="1" applyFill="1"/>
    <xf numFmtId="0" fontId="34" fillId="10" borderId="0" xfId="0" applyFont="1" applyFill="1"/>
    <xf numFmtId="0" fontId="35" fillId="10" borderId="0" xfId="0" applyFont="1" applyFill="1"/>
    <xf numFmtId="0" fontId="33" fillId="2" borderId="0" xfId="0" applyFont="1" applyFill="1"/>
    <xf numFmtId="0" fontId="33" fillId="0" borderId="0" xfId="0" applyFont="1"/>
    <xf numFmtId="0" fontId="32" fillId="2" borderId="0" xfId="0" applyFont="1" applyFill="1"/>
    <xf numFmtId="3" fontId="32" fillId="2" borderId="0" xfId="0" applyNumberFormat="1" applyFont="1" applyFill="1" applyAlignment="1">
      <alignment horizontal="center"/>
    </xf>
    <xf numFmtId="3" fontId="32" fillId="2" borderId="0" xfId="0" applyNumberFormat="1" applyFont="1" applyFill="1"/>
    <xf numFmtId="0" fontId="3" fillId="4" borderId="1" xfId="0" applyFont="1" applyFill="1" applyBorder="1" applyAlignment="1">
      <alignment horizontal="center"/>
    </xf>
    <xf numFmtId="0" fontId="3" fillId="4" borderId="11" xfId="0" quotePrefix="1" applyFont="1" applyFill="1" applyBorder="1" applyAlignment="1">
      <alignment horizontal="centerContinuous"/>
    </xf>
    <xf numFmtId="0" fontId="3" fillId="4" borderId="11" xfId="0" applyFont="1" applyFill="1" applyBorder="1" applyAlignment="1">
      <alignment horizontal="centerContinuous"/>
    </xf>
    <xf numFmtId="0" fontId="3" fillId="4" borderId="12" xfId="0" applyFont="1" applyFill="1" applyBorder="1" applyAlignment="1">
      <alignment horizontal="centerContinuous"/>
    </xf>
    <xf numFmtId="0" fontId="3" fillId="4" borderId="4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3" fillId="12" borderId="10" xfId="0" applyFont="1" applyFill="1" applyBorder="1"/>
    <xf numFmtId="0" fontId="0" fillId="12" borderId="12" xfId="0" applyFill="1" applyBorder="1"/>
    <xf numFmtId="0" fontId="8" fillId="13" borderId="2" xfId="0" applyFont="1" applyFill="1" applyBorder="1" applyAlignment="1">
      <alignment horizontal="centerContinuous"/>
    </xf>
    <xf numFmtId="0" fontId="0" fillId="13" borderId="3" xfId="0" applyFill="1" applyBorder="1" applyAlignment="1">
      <alignment horizontal="centerContinuous"/>
    </xf>
    <xf numFmtId="0" fontId="8" fillId="13" borderId="1" xfId="0" applyFont="1" applyFill="1" applyBorder="1" applyAlignment="1">
      <alignment horizontal="centerContinuous"/>
    </xf>
    <xf numFmtId="0" fontId="3" fillId="13" borderId="2" xfId="0" applyFont="1" applyFill="1" applyBorder="1" applyAlignment="1">
      <alignment horizontal="centerContinuous"/>
    </xf>
    <xf numFmtId="0" fontId="3" fillId="13" borderId="3" xfId="0" applyFont="1" applyFill="1" applyBorder="1" applyAlignment="1">
      <alignment horizontal="centerContinuous"/>
    </xf>
    <xf numFmtId="0" fontId="3" fillId="13" borderId="4" xfId="0" applyFont="1" applyFill="1" applyBorder="1" applyAlignment="1">
      <alignment horizontal="center"/>
    </xf>
    <xf numFmtId="0" fontId="3" fillId="13" borderId="5" xfId="0" applyFont="1" applyFill="1" applyBorder="1" applyAlignment="1">
      <alignment horizontal="center" vertical="center"/>
    </xf>
    <xf numFmtId="0" fontId="3" fillId="13" borderId="6" xfId="0" applyFont="1" applyFill="1" applyBorder="1" applyAlignment="1">
      <alignment horizontal="center" vertical="center"/>
    </xf>
    <xf numFmtId="0" fontId="3" fillId="13" borderId="7" xfId="0" applyFont="1" applyFill="1" applyBorder="1" applyAlignment="1">
      <alignment horizontal="center" vertical="center"/>
    </xf>
    <xf numFmtId="0" fontId="3" fillId="13" borderId="8" xfId="0" applyFont="1" applyFill="1" applyBorder="1" applyAlignment="1">
      <alignment horizontal="center" vertical="center"/>
    </xf>
    <xf numFmtId="0" fontId="3" fillId="13" borderId="10" xfId="0" applyFont="1" applyFill="1" applyBorder="1" applyAlignment="1">
      <alignment horizontal="center" vertical="center"/>
    </xf>
    <xf numFmtId="0" fontId="3" fillId="13" borderId="3" xfId="0" applyFont="1" applyFill="1" applyBorder="1" applyAlignment="1">
      <alignment horizontal="center" vertical="center"/>
    </xf>
    <xf numFmtId="0" fontId="3" fillId="13" borderId="10" xfId="0" applyFont="1" applyFill="1" applyBorder="1" applyAlignment="1">
      <alignment horizontal="center"/>
    </xf>
    <xf numFmtId="0" fontId="0" fillId="13" borderId="11" xfId="0" applyFill="1" applyBorder="1" applyAlignment="1">
      <alignment horizontal="center"/>
    </xf>
    <xf numFmtId="3" fontId="3" fillId="13" borderId="10" xfId="0" applyNumberFormat="1" applyFont="1" applyFill="1" applyBorder="1" applyAlignment="1">
      <alignment horizontal="center"/>
    </xf>
    <xf numFmtId="3" fontId="3" fillId="13" borderId="12" xfId="0" applyNumberFormat="1" applyFont="1" applyFill="1" applyBorder="1" applyAlignment="1">
      <alignment horizontal="center"/>
    </xf>
    <xf numFmtId="3" fontId="3" fillId="13" borderId="7" xfId="0" applyNumberFormat="1" applyFont="1" applyFill="1" applyBorder="1"/>
    <xf numFmtId="3" fontId="3" fillId="13" borderId="8" xfId="0" applyNumberFormat="1" applyFont="1" applyFill="1" applyBorder="1"/>
    <xf numFmtId="3" fontId="11" fillId="7" borderId="8" xfId="0" applyNumberFormat="1" applyFont="1" applyFill="1" applyBorder="1" applyAlignment="1">
      <alignment horizontal="center"/>
    </xf>
    <xf numFmtId="0" fontId="26" fillId="2" borderId="0" xfId="0" applyFont="1" applyFill="1"/>
    <xf numFmtId="0" fontId="25" fillId="2" borderId="10" xfId="0" applyFont="1" applyFill="1" applyBorder="1" applyAlignment="1">
      <alignment horizontal="right"/>
    </xf>
    <xf numFmtId="164" fontId="25" fillId="2" borderId="12" xfId="0" applyNumberFormat="1" applyFont="1" applyFill="1" applyBorder="1" applyAlignment="1">
      <alignment horizontal="center"/>
    </xf>
    <xf numFmtId="0" fontId="26" fillId="0" borderId="0" xfId="0" applyFont="1"/>
    <xf numFmtId="0" fontId="25" fillId="2" borderId="10" xfId="0" applyFont="1" applyFill="1" applyBorder="1" applyAlignment="1">
      <alignment horizontal="center"/>
    </xf>
    <xf numFmtId="0" fontId="25" fillId="2" borderId="11" xfId="0" applyFont="1" applyFill="1" applyBorder="1" applyAlignment="1">
      <alignment horizontal="center"/>
    </xf>
    <xf numFmtId="9" fontId="0" fillId="0" borderId="0" xfId="1" applyFont="1" applyAlignment="1">
      <alignment horizontal="center"/>
    </xf>
    <xf numFmtId="9" fontId="0" fillId="2" borderId="0" xfId="1" applyFont="1" applyFill="1" applyAlignment="1">
      <alignment horizontal="center"/>
    </xf>
    <xf numFmtId="3" fontId="3" fillId="0" borderId="1" xfId="0" applyNumberFormat="1" applyFont="1" applyBorder="1" applyAlignment="1">
      <alignment horizontal="center"/>
    </xf>
    <xf numFmtId="3" fontId="3" fillId="0" borderId="2" xfId="0" applyNumberFormat="1" applyFont="1" applyBorder="1" applyAlignment="1">
      <alignment horizontal="center"/>
    </xf>
    <xf numFmtId="3" fontId="3" fillId="0" borderId="3" xfId="0" applyNumberFormat="1" applyFont="1" applyBorder="1" applyAlignment="1">
      <alignment horizontal="center"/>
    </xf>
    <xf numFmtId="3" fontId="0" fillId="0" borderId="4" xfId="0" applyNumberFormat="1" applyFont="1" applyBorder="1" applyAlignment="1">
      <alignment horizontal="center"/>
    </xf>
    <xf numFmtId="3" fontId="0" fillId="0" borderId="0" xfId="0" applyNumberFormat="1" applyFont="1" applyAlignment="1">
      <alignment horizontal="center"/>
    </xf>
    <xf numFmtId="3" fontId="0" fillId="0" borderId="5" xfId="0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9" fontId="0" fillId="0" borderId="7" xfId="1" applyFont="1" applyBorder="1" applyAlignment="1">
      <alignment horizontal="center"/>
    </xf>
    <xf numFmtId="9" fontId="0" fillId="0" borderId="8" xfId="1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3" fontId="0" fillId="0" borderId="5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3" fontId="25" fillId="2" borderId="11" xfId="0" applyNumberFormat="1" applyFont="1" applyFill="1" applyBorder="1" applyAlignment="1">
      <alignment horizontal="center"/>
    </xf>
    <xf numFmtId="0" fontId="0" fillId="0" borderId="11" xfId="0" applyBorder="1"/>
    <xf numFmtId="0" fontId="0" fillId="0" borderId="12" xfId="0" applyBorder="1"/>
    <xf numFmtId="0" fontId="3" fillId="11" borderId="1" xfId="0" applyFont="1" applyFill="1" applyBorder="1" applyAlignment="1">
      <alignment horizontal="center" vertical="center"/>
    </xf>
    <xf numFmtId="0" fontId="0" fillId="11" borderId="3" xfId="0" applyFill="1" applyBorder="1" applyAlignment="1">
      <alignment horizontal="center" vertical="center"/>
    </xf>
    <xf numFmtId="0" fontId="0" fillId="11" borderId="6" xfId="0" applyFill="1" applyBorder="1" applyAlignment="1">
      <alignment horizontal="center" vertical="center"/>
    </xf>
    <xf numFmtId="0" fontId="0" fillId="11" borderId="8" xfId="0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 textRotation="90" wrapText="1"/>
    </xf>
    <xf numFmtId="0" fontId="3" fillId="0" borderId="14" xfId="0" applyFont="1" applyBorder="1" applyAlignment="1">
      <alignment horizontal="center" vertical="center" textRotation="90" wrapText="1"/>
    </xf>
    <xf numFmtId="0" fontId="3" fillId="0" borderId="15" xfId="0" applyFont="1" applyBorder="1" applyAlignment="1">
      <alignment horizontal="center" vertical="center" textRotation="90" wrapText="1"/>
    </xf>
    <xf numFmtId="3" fontId="0" fillId="0" borderId="5" xfId="0" quotePrefix="1" applyNumberFormat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0" borderId="13" xfId="0" applyFont="1" applyBorder="1" applyAlignment="1">
      <alignment horizontal="center" vertical="center" textRotation="89" wrapText="1"/>
    </xf>
    <xf numFmtId="0" fontId="3" fillId="0" borderId="14" xfId="0" applyFont="1" applyBorder="1" applyAlignment="1">
      <alignment horizontal="center" vertical="center" textRotation="89" wrapText="1"/>
    </xf>
    <xf numFmtId="0" fontId="3" fillId="0" borderId="15" xfId="0" applyFont="1" applyBorder="1" applyAlignment="1">
      <alignment horizontal="center" vertical="center" textRotation="89" wrapText="1"/>
    </xf>
    <xf numFmtId="0" fontId="3" fillId="0" borderId="13" xfId="0" applyFont="1" applyBorder="1" applyAlignment="1">
      <alignment horizontal="center" vertical="center" textRotation="90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0" fillId="0" borderId="3" xfId="0" quotePrefix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8" xfId="0" applyBorder="1" applyAlignment="1">
      <alignment horizontal="center"/>
    </xf>
    <xf numFmtId="0" fontId="3" fillId="0" borderId="14" xfId="0" applyFont="1" applyBorder="1" applyAlignment="1">
      <alignment horizontal="center" vertical="center" textRotation="90"/>
    </xf>
    <xf numFmtId="0" fontId="3" fillId="0" borderId="1" xfId="0" applyFont="1" applyBorder="1" applyAlignment="1">
      <alignment horizontal="center" vertical="center" textRotation="90" wrapText="1"/>
    </xf>
    <xf numFmtId="0" fontId="3" fillId="0" borderId="4" xfId="0" applyFont="1" applyBorder="1" applyAlignment="1">
      <alignment horizontal="center" vertical="center" textRotation="90" wrapText="1"/>
    </xf>
    <xf numFmtId="0" fontId="3" fillId="0" borderId="6" xfId="0" applyFont="1" applyBorder="1" applyAlignment="1">
      <alignment horizontal="center" vertical="center" textRotation="90" wrapText="1"/>
    </xf>
    <xf numFmtId="0" fontId="9" fillId="0" borderId="13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21" fillId="0" borderId="0" xfId="0" applyFont="1" applyAlignment="1">
      <alignment vertical="center"/>
    </xf>
    <xf numFmtId="0" fontId="21" fillId="0" borderId="19" xfId="0" applyFont="1" applyBorder="1" applyAlignment="1">
      <alignment vertical="center"/>
    </xf>
    <xf numFmtId="0" fontId="21" fillId="0" borderId="20" xfId="0" applyFont="1" applyBorder="1" applyAlignment="1">
      <alignment vertical="center"/>
    </xf>
  </cellXfs>
  <cellStyles count="4">
    <cellStyle name="Hyperlink" xfId="3" builtinId="8"/>
    <cellStyle name="Normal" xfId="0" builtinId="0"/>
    <cellStyle name="Normal 3" xfId="2" xr:uid="{00000000-0005-0000-0000-000001000000}"/>
    <cellStyle name="Percent" xfId="1" builtinId="5"/>
  </cellStyles>
  <dxfs count="0"/>
  <tableStyles count="0" defaultTableStyle="TableStyleMedium2" defaultPivotStyle="PivotStyleLight16"/>
  <colors>
    <mruColors>
      <color rgb="FFF4DCDD"/>
      <color rgb="FFEABCBD"/>
      <color rgb="FFCF6366"/>
      <color rgb="FF8D2B2E"/>
      <color rgb="FF006666"/>
      <color rgb="FFB5CFCC"/>
      <color rgb="FF339966"/>
      <color rgb="FF9FC1BD"/>
      <color rgb="FFD5E3E1"/>
      <color rgb="FF05FF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77633552490611"/>
          <c:y val="4.3781094527363187E-2"/>
          <c:w val="0.87957373434841923"/>
          <c:h val="0.85721531855907884"/>
        </c:manualLayout>
      </c:layout>
      <c:barChart>
        <c:barDir val="col"/>
        <c:grouping val="stacked"/>
        <c:varyColors val="0"/>
        <c:ser>
          <c:idx val="0"/>
          <c:order val="0"/>
          <c:tx>
            <c:v>MCR Destination</c:v>
          </c:tx>
          <c:spPr>
            <a:solidFill>
              <a:srgbClr val="8D2B2E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Runs!$A$29:$A$51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Runs!$AS$29:$AS$51</c:f>
              <c:numCache>
                <c:formatCode>#,##0</c:formatCode>
                <c:ptCount val="23"/>
                <c:pt idx="0">
                  <c:v>8958.0262643196438</c:v>
                </c:pt>
                <c:pt idx="1">
                  <c:v>44145.624232639348</c:v>
                </c:pt>
                <c:pt idx="2">
                  <c:v>57281.46227181796</c:v>
                </c:pt>
                <c:pt idx="3">
                  <c:v>19412.883931475659</c:v>
                </c:pt>
                <c:pt idx="4">
                  <c:v>32379.08791725435</c:v>
                </c:pt>
                <c:pt idx="5">
                  <c:v>117718.74810627193</c:v>
                </c:pt>
                <c:pt idx="6">
                  <c:v>114665.48765403929</c:v>
                </c:pt>
                <c:pt idx="7">
                  <c:v>120770.82306137812</c:v>
                </c:pt>
                <c:pt idx="8">
                  <c:v>77836.379353761789</c:v>
                </c:pt>
                <c:pt idx="9">
                  <c:v>59655.61944147489</c:v>
                </c:pt>
                <c:pt idx="10">
                  <c:v>24955.289302971418</c:v>
                </c:pt>
                <c:pt idx="11">
                  <c:v>56330.158611821054</c:v>
                </c:pt>
                <c:pt idx="12">
                  <c:v>31559.598991570158</c:v>
                </c:pt>
                <c:pt idx="13">
                  <c:v>45829.863969408194</c:v>
                </c:pt>
                <c:pt idx="14">
                  <c:v>62310.395239959573</c:v>
                </c:pt>
                <c:pt idx="15">
                  <c:v>73193.544918299915</c:v>
                </c:pt>
                <c:pt idx="16">
                  <c:v>87773.176524236813</c:v>
                </c:pt>
                <c:pt idx="17">
                  <c:v>47113.833317576311</c:v>
                </c:pt>
                <c:pt idx="18">
                  <c:v>32170.544935459387</c:v>
                </c:pt>
                <c:pt idx="19">
                  <c:v>62464.438502054836</c:v>
                </c:pt>
                <c:pt idx="20">
                  <c:v>38610.752588890056</c:v>
                </c:pt>
                <c:pt idx="21">
                  <c:v>34906.488186510964</c:v>
                </c:pt>
                <c:pt idx="22">
                  <c:v>49439.197006652539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D1-4F9D-BEB1-D3A6FBE603CF}"/>
            </c:ext>
          </c:extLst>
        </c:ser>
        <c:ser>
          <c:idx val="1"/>
          <c:order val="1"/>
          <c:tx>
            <c:v>UCR &amp; Snake</c:v>
          </c:tx>
          <c:spPr>
            <a:solidFill>
              <a:srgbClr val="CF6366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Runs!$A$29:$A$51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Runs!$AR$29:$AR$51</c:f>
              <c:numCache>
                <c:formatCode>#,##0</c:formatCode>
                <c:ptCount val="23"/>
                <c:pt idx="0">
                  <c:v>3604.9737356803571</c:v>
                </c:pt>
                <c:pt idx="1">
                  <c:v>12032.375767360654</c:v>
                </c:pt>
                <c:pt idx="2">
                  <c:v>57681.53772818204</c:v>
                </c:pt>
                <c:pt idx="3">
                  <c:v>19704.116068524341</c:v>
                </c:pt>
                <c:pt idx="4">
                  <c:v>14980.912082745652</c:v>
                </c:pt>
                <c:pt idx="5">
                  <c:v>81842.251893728069</c:v>
                </c:pt>
                <c:pt idx="6">
                  <c:v>290873.51234596071</c:v>
                </c:pt>
                <c:pt idx="7">
                  <c:v>154519.17693862188</c:v>
                </c:pt>
                <c:pt idx="8">
                  <c:v>128431.62064623821</c:v>
                </c:pt>
                <c:pt idx="9">
                  <c:v>119381.38055852511</c:v>
                </c:pt>
                <c:pt idx="10">
                  <c:v>53370.710697028582</c:v>
                </c:pt>
                <c:pt idx="11">
                  <c:v>43033.841388178946</c:v>
                </c:pt>
                <c:pt idx="12">
                  <c:v>51670.401008429842</c:v>
                </c:pt>
                <c:pt idx="13">
                  <c:v>97267.136030591806</c:v>
                </c:pt>
                <c:pt idx="14">
                  <c:v>118845.60476004043</c:v>
                </c:pt>
                <c:pt idx="15">
                  <c:v>183803.45508170009</c:v>
                </c:pt>
                <c:pt idx="16">
                  <c:v>130268.82347576319</c:v>
                </c:pt>
                <c:pt idx="17">
                  <c:v>118552.16668242369</c:v>
                </c:pt>
                <c:pt idx="18">
                  <c:v>84947.455064540613</c:v>
                </c:pt>
                <c:pt idx="19">
                  <c:v>151706.56149794516</c:v>
                </c:pt>
                <c:pt idx="20">
                  <c:v>194951.24741110994</c:v>
                </c:pt>
                <c:pt idx="21">
                  <c:v>113412.51181348904</c:v>
                </c:pt>
                <c:pt idx="22">
                  <c:v>52286.802993347461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D1-4F9D-BEB1-D3A6FBE60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45649576"/>
        <c:axId val="245649968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v>Upriver total</c:v>
                </c:tx>
                <c:spPr>
                  <a:solidFill>
                    <a:srgbClr val="006666"/>
                  </a:solidFill>
                  <a:ln>
                    <a:solidFill>
                      <a:schemeClr val="tx1"/>
                    </a:solidFill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Runs!$A$29:$A$51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1995</c:v>
                      </c:pt>
                      <c:pt idx="1">
                        <c:v>1996</c:v>
                      </c:pt>
                      <c:pt idx="2">
                        <c:v>1997</c:v>
                      </c:pt>
                      <c:pt idx="3">
                        <c:v>1998</c:v>
                      </c:pt>
                      <c:pt idx="4">
                        <c:v>1999</c:v>
                      </c:pt>
                      <c:pt idx="5">
                        <c:v>2000</c:v>
                      </c:pt>
                      <c:pt idx="6">
                        <c:v>2001</c:v>
                      </c:pt>
                      <c:pt idx="7">
                        <c:v>2002</c:v>
                      </c:pt>
                      <c:pt idx="8">
                        <c:v>2003</c:v>
                      </c:pt>
                      <c:pt idx="9">
                        <c:v>2004</c:v>
                      </c:pt>
                      <c:pt idx="10">
                        <c:v>2005</c:v>
                      </c:pt>
                      <c:pt idx="11">
                        <c:v>2006</c:v>
                      </c:pt>
                      <c:pt idx="12">
                        <c:v>2007</c:v>
                      </c:pt>
                      <c:pt idx="13">
                        <c:v>2008</c:v>
                      </c:pt>
                      <c:pt idx="14">
                        <c:v>2009</c:v>
                      </c:pt>
                      <c:pt idx="15">
                        <c:v>2010</c:v>
                      </c:pt>
                      <c:pt idx="16">
                        <c:v>2011</c:v>
                      </c:pt>
                      <c:pt idx="17">
                        <c:v>2012</c:v>
                      </c:pt>
                      <c:pt idx="18">
                        <c:v>2013</c:v>
                      </c:pt>
                      <c:pt idx="19">
                        <c:v>2014</c:v>
                      </c:pt>
                      <c:pt idx="20">
                        <c:v>2015</c:v>
                      </c:pt>
                      <c:pt idx="21">
                        <c:v>2016</c:v>
                      </c:pt>
                      <c:pt idx="22">
                        <c:v>2017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Runs!$AU$4:$AU$51</c15:sqref>
                        </c15:formulaRef>
                      </c:ext>
                    </c:extLst>
                    <c:numCache>
                      <c:formatCode>#,##0</c:formatCode>
                      <c:ptCount val="48"/>
                      <c:pt idx="0">
                        <c:v>110952</c:v>
                      </c:pt>
                      <c:pt idx="1">
                        <c:v>125517</c:v>
                      </c:pt>
                      <c:pt idx="2">
                        <c:v>186140</c:v>
                      </c:pt>
                      <c:pt idx="3">
                        <c:v>142148</c:v>
                      </c:pt>
                      <c:pt idx="4">
                        <c:v>134535</c:v>
                      </c:pt>
                      <c:pt idx="5">
                        <c:v>104104</c:v>
                      </c:pt>
                      <c:pt idx="6">
                        <c:v>113448</c:v>
                      </c:pt>
                      <c:pt idx="7">
                        <c:v>119508</c:v>
                      </c:pt>
                      <c:pt idx="8">
                        <c:v>149863</c:v>
                      </c:pt>
                      <c:pt idx="9">
                        <c:v>51462</c:v>
                      </c:pt>
                      <c:pt idx="10">
                        <c:v>60987</c:v>
                      </c:pt>
                      <c:pt idx="11">
                        <c:v>65009</c:v>
                      </c:pt>
                      <c:pt idx="12">
                        <c:v>76044</c:v>
                      </c:pt>
                      <c:pt idx="13">
                        <c:v>56838</c:v>
                      </c:pt>
                      <c:pt idx="14">
                        <c:v>51139</c:v>
                      </c:pt>
                      <c:pt idx="15">
                        <c:v>90961</c:v>
                      </c:pt>
                      <c:pt idx="16">
                        <c:v>123033</c:v>
                      </c:pt>
                      <c:pt idx="17">
                        <c:v>101603</c:v>
                      </c:pt>
                      <c:pt idx="18">
                        <c:v>94572</c:v>
                      </c:pt>
                      <c:pt idx="19">
                        <c:v>87258</c:v>
                      </c:pt>
                      <c:pt idx="20">
                        <c:v>96252</c:v>
                      </c:pt>
                      <c:pt idx="21">
                        <c:v>61228</c:v>
                      </c:pt>
                      <c:pt idx="22">
                        <c:v>90582</c:v>
                      </c:pt>
                      <c:pt idx="23">
                        <c:v>112172</c:v>
                      </c:pt>
                      <c:pt idx="24">
                        <c:v>20566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6D1-4F9D-BEB1-D3A6FBE603CF}"/>
                  </c:ext>
                </c:extLst>
              </c15:ser>
            </c15:filteredBarSeries>
          </c:ext>
        </c:extLst>
      </c:barChart>
      <c:catAx>
        <c:axId val="245649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64996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456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chemeClr val="tx1"/>
                    </a:solidFill>
                  </a:rPr>
                  <a:t>Spring Chinook @ Bonnevile</a:t>
                </a:r>
                <a:r>
                  <a:rPr lang="en-US" sz="1200" baseline="0">
                    <a:solidFill>
                      <a:schemeClr val="tx1"/>
                    </a:solidFill>
                  </a:rPr>
                  <a:t> Dam</a:t>
                </a:r>
                <a:endParaRPr lang="en-US" sz="120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6.2096692341524484E-3"/>
              <c:y val="4.495267400680929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64957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3017597151512728"/>
          <c:y val="7.2188193375212734E-2"/>
          <c:w val="0.18359508315840192"/>
          <c:h val="0.21494924166949067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Current</a:t>
            </a:r>
            <a:r>
              <a:rPr lang="en-US" b="1" baseline="0">
                <a:solidFill>
                  <a:schemeClr val="tx1"/>
                </a:solidFill>
              </a:rPr>
              <a:t> Harvest Distribution</a:t>
            </a:r>
          </a:p>
          <a:p>
            <a:pPr>
              <a:defRPr b="1">
                <a:solidFill>
                  <a:schemeClr val="tx1"/>
                </a:solidFill>
              </a:defRPr>
            </a:pPr>
            <a:r>
              <a:rPr lang="en-US" b="1" baseline="0">
                <a:solidFill>
                  <a:schemeClr val="tx1"/>
                </a:solidFill>
              </a:rPr>
              <a:t>(Natural Exploitation Rates)</a:t>
            </a:r>
            <a:endParaRPr lang="en-US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2696226107803655"/>
          <c:y val="2.30289693018462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456920105684795"/>
          <c:y val="0.24949137099124089"/>
          <c:w val="0.56271074955696399"/>
          <c:h val="0.70897562279878024"/>
        </c:manualLayout>
      </c:layout>
      <c:pieChart>
        <c:varyColors val="1"/>
        <c:ser>
          <c:idx val="0"/>
          <c:order val="0"/>
          <c:spPr>
            <a:solidFill>
              <a:srgbClr val="8D2B2E"/>
            </a:solidFill>
            <a:ln w="31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EABCBD"/>
              </a:solidFill>
              <a:ln w="31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56C-4B50-B535-FB22DF6ABF08}"/>
              </c:ext>
            </c:extLst>
          </c:dPt>
          <c:dPt>
            <c:idx val="1"/>
            <c:bubble3D val="0"/>
            <c:spPr>
              <a:solidFill>
                <a:srgbClr val="8D2B2E"/>
              </a:solidFill>
              <a:ln w="31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56C-4B50-B535-FB22DF6ABF08}"/>
              </c:ext>
            </c:extLst>
          </c:dPt>
          <c:dPt>
            <c:idx val="2"/>
            <c:bubble3D val="0"/>
            <c:spPr>
              <a:solidFill>
                <a:srgbClr val="CF6366"/>
              </a:solidFill>
              <a:ln w="31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56C-4B50-B535-FB22DF6ABF08}"/>
              </c:ext>
            </c:extLst>
          </c:dPt>
          <c:dLbls>
            <c:dLbl>
              <c:idx val="0"/>
              <c:layout>
                <c:manualLayout>
                  <c:x val="2.0448550001841422E-2"/>
                  <c:y val="-1.928589076512657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6C-4B50-B535-FB22DF6ABF08}"/>
                </c:ext>
              </c:extLst>
            </c:dLbl>
            <c:dLbl>
              <c:idx val="1"/>
              <c:layout>
                <c:manualLayout>
                  <c:x val="-8.9392709047206621E-3"/>
                  <c:y val="8.20713829809137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6C-4B50-B535-FB22DF6ABF08}"/>
                </c:ext>
              </c:extLst>
            </c:dLbl>
            <c:dLbl>
              <c:idx val="2"/>
              <c:layout>
                <c:manualLayout>
                  <c:x val="-2.1151896266341339E-3"/>
                  <c:y val="-6.54047408252765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6C-4B50-B535-FB22DF6ABF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Summary!$T$38:$T$40</c:f>
              <c:strCache>
                <c:ptCount val="3"/>
                <c:pt idx="0">
                  <c:v>Mainstem Non-treaty</c:v>
                </c:pt>
                <c:pt idx="1">
                  <c:v>Mainstem Treaty</c:v>
                </c:pt>
                <c:pt idx="2">
                  <c:v>Terminal</c:v>
                </c:pt>
              </c:strCache>
            </c:strRef>
          </c:cat>
          <c:val>
            <c:numRef>
              <c:f>Summary!$U$38:$U$40</c:f>
              <c:numCache>
                <c:formatCode>0.0%</c:formatCode>
                <c:ptCount val="3"/>
                <c:pt idx="0">
                  <c:v>2.1655179781323121E-2</c:v>
                </c:pt>
                <c:pt idx="1">
                  <c:v>9.367072825297118E-2</c:v>
                </c:pt>
                <c:pt idx="2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6C-4B50-B535-FB22DF6AB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9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Current Hatchery Production</a:t>
            </a:r>
          </a:p>
        </c:rich>
      </c:tx>
      <c:layout>
        <c:manualLayout>
          <c:xMode val="edge"/>
          <c:yMode val="edge"/>
          <c:x val="0.2479191089824770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165441681121081"/>
          <c:y val="0.2512048797590144"/>
          <c:w val="0.44628635960916929"/>
          <c:h val="0.6883148876466666"/>
        </c:manualLayout>
      </c:layout>
      <c:pieChart>
        <c:varyColors val="1"/>
        <c:ser>
          <c:idx val="0"/>
          <c:order val="0"/>
          <c:spPr>
            <a:ln w="3175"/>
          </c:spPr>
          <c:dPt>
            <c:idx val="0"/>
            <c:bubble3D val="0"/>
            <c:spPr>
              <a:solidFill>
                <a:schemeClr val="accent2">
                  <a:tint val="43000"/>
                </a:schemeClr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944-434A-9FCE-4CC2A788BC53}"/>
              </c:ext>
            </c:extLst>
          </c:dPt>
          <c:dPt>
            <c:idx val="1"/>
            <c:bubble3D val="0"/>
            <c:spPr>
              <a:solidFill>
                <a:schemeClr val="accent2">
                  <a:tint val="56000"/>
                </a:schemeClr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944-434A-9FCE-4CC2A788BC53}"/>
              </c:ext>
            </c:extLst>
          </c:dPt>
          <c:dPt>
            <c:idx val="2"/>
            <c:bubble3D val="0"/>
            <c:spPr>
              <a:solidFill>
                <a:schemeClr val="accent2">
                  <a:tint val="69000"/>
                </a:schemeClr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944-434A-9FCE-4CC2A788BC53}"/>
              </c:ext>
            </c:extLst>
          </c:dPt>
          <c:dPt>
            <c:idx val="3"/>
            <c:bubble3D val="0"/>
            <c:spPr>
              <a:solidFill>
                <a:schemeClr val="accent2">
                  <a:tint val="81000"/>
                </a:schemeClr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944-434A-9FCE-4CC2A788BC53}"/>
              </c:ext>
            </c:extLst>
          </c:dPt>
          <c:dPt>
            <c:idx val="4"/>
            <c:bubble3D val="0"/>
            <c:spPr>
              <a:solidFill>
                <a:schemeClr val="accent2">
                  <a:tint val="94000"/>
                </a:schemeClr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944-434A-9FCE-4CC2A788BC53}"/>
              </c:ext>
            </c:extLst>
          </c:dPt>
          <c:dPt>
            <c:idx val="5"/>
            <c:bubble3D val="0"/>
            <c:spPr>
              <a:solidFill>
                <a:schemeClr val="accent2">
                  <a:shade val="93000"/>
                </a:schemeClr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944-434A-9FCE-4CC2A788BC53}"/>
              </c:ext>
            </c:extLst>
          </c:dPt>
          <c:dPt>
            <c:idx val="6"/>
            <c:bubble3D val="0"/>
            <c:spPr>
              <a:solidFill>
                <a:schemeClr val="accent2">
                  <a:shade val="80000"/>
                </a:schemeClr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944-434A-9FCE-4CC2A788BC53}"/>
              </c:ext>
            </c:extLst>
          </c:dPt>
          <c:dPt>
            <c:idx val="7"/>
            <c:bubble3D val="0"/>
            <c:spPr>
              <a:solidFill>
                <a:schemeClr val="accent2">
                  <a:shade val="68000"/>
                </a:schemeClr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944-434A-9FCE-4CC2A788BC53}"/>
              </c:ext>
            </c:extLst>
          </c:dPt>
          <c:dPt>
            <c:idx val="8"/>
            <c:bubble3D val="0"/>
            <c:spPr>
              <a:solidFill>
                <a:schemeClr val="accent2">
                  <a:shade val="55000"/>
                </a:schemeClr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F944-434A-9FCE-4CC2A788BC53}"/>
              </c:ext>
            </c:extLst>
          </c:dPt>
          <c:dPt>
            <c:idx val="9"/>
            <c:bubble3D val="0"/>
            <c:spPr>
              <a:solidFill>
                <a:schemeClr val="accent2">
                  <a:shade val="42000"/>
                </a:schemeClr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F944-434A-9FCE-4CC2A788BC53}"/>
              </c:ext>
            </c:extLst>
          </c:dPt>
          <c:dLbls>
            <c:dLbl>
              <c:idx val="0"/>
              <c:layout>
                <c:manualLayout>
                  <c:x val="6.6506780402449589E-2"/>
                  <c:y val="-2.6957932341790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44-434A-9FCE-4CC2A788BC53}"/>
                </c:ext>
              </c:extLst>
            </c:dLbl>
            <c:dLbl>
              <c:idx val="1"/>
              <c:layout>
                <c:manualLayout>
                  <c:x val="-1.603305527403134E-2"/>
                  <c:y val="-1.71760922345279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209890595358749"/>
                      <c:h val="0.135614689958175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F944-434A-9FCE-4CC2A788BC53}"/>
                </c:ext>
              </c:extLst>
            </c:dLbl>
            <c:dLbl>
              <c:idx val="2"/>
              <c:layout>
                <c:manualLayout>
                  <c:x val="-2.0359658013045387E-2"/>
                  <c:y val="5.325672784007600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476567656765672"/>
                      <c:h val="0.105346827345100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F944-434A-9FCE-4CC2A788BC53}"/>
                </c:ext>
              </c:extLst>
            </c:dLbl>
            <c:dLbl>
              <c:idx val="3"/>
              <c:layout>
                <c:manualLayout>
                  <c:x val="-3.7453496530755435E-2"/>
                  <c:y val="1.983396476249955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44-434A-9FCE-4CC2A788BC53}"/>
                </c:ext>
              </c:extLst>
            </c:dLbl>
            <c:dLbl>
              <c:idx val="4"/>
              <c:layout>
                <c:manualLayout>
                  <c:x val="-8.4011850003898034E-2"/>
                  <c:y val="1.337260158760245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130126080416423"/>
                      <c:h val="0.2158906542435146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F944-434A-9FCE-4CC2A788BC53}"/>
                </c:ext>
              </c:extLst>
            </c:dLbl>
            <c:dLbl>
              <c:idx val="5"/>
              <c:layout>
                <c:manualLayout>
                  <c:x val="1.5050821250563454E-2"/>
                  <c:y val="1.74917864654836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44-434A-9FCE-4CC2A788BC53}"/>
                </c:ext>
              </c:extLst>
            </c:dLbl>
            <c:dLbl>
              <c:idx val="6"/>
              <c:layout>
                <c:manualLayout>
                  <c:x val="0.11901717730828201"/>
                  <c:y val="-1.476905923309183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633742942476789"/>
                      <c:h val="0.1469013101094558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F944-434A-9FCE-4CC2A788BC53}"/>
                </c:ext>
              </c:extLst>
            </c:dLbl>
            <c:dLbl>
              <c:idx val="7"/>
              <c:layout>
                <c:manualLayout>
                  <c:x val="5.5888776279202627E-2"/>
                  <c:y val="5.550385866251209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44-434A-9FCE-4CC2A788BC53}"/>
                </c:ext>
              </c:extLst>
            </c:dLbl>
            <c:dLbl>
              <c:idx val="8"/>
              <c:layout>
                <c:manualLayout>
                  <c:x val="2.5360788125298083E-2"/>
                  <c:y val="3.407892525828451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44-434A-9FCE-4CC2A788BC53}"/>
                </c:ext>
              </c:extLst>
            </c:dLbl>
            <c:dLbl>
              <c:idx val="9"/>
              <c:layout>
                <c:manualLayout>
                  <c:x val="2.617412039948655E-2"/>
                  <c:y val="5.55681100468765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44-434A-9FCE-4CC2A788BC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Summary!$AC$23:$AC$32</c:f>
              <c:strCache>
                <c:ptCount val="10"/>
                <c:pt idx="0">
                  <c:v>L. White Salmon</c:v>
                </c:pt>
                <c:pt idx="1">
                  <c:v>Wind R. (Carson)</c:v>
                </c:pt>
                <c:pt idx="2">
                  <c:v>Hood R.</c:v>
                </c:pt>
                <c:pt idx="3">
                  <c:v>Klickitat</c:v>
                </c:pt>
                <c:pt idx="4">
                  <c:v>Deschutes (Round Butte smolts)</c:v>
                </c:pt>
                <c:pt idx="5">
                  <c:v>Deschutes (Round Butte fry)</c:v>
                </c:pt>
                <c:pt idx="6">
                  <c:v>Deschutes (Warm Springs)</c:v>
                </c:pt>
                <c:pt idx="7">
                  <c:v>Umatilla (Umatilla)</c:v>
                </c:pt>
                <c:pt idx="8">
                  <c:v>Walla Walla</c:v>
                </c:pt>
                <c:pt idx="9">
                  <c:v>Yakima</c:v>
                </c:pt>
              </c:strCache>
            </c:strRef>
          </c:cat>
          <c:val>
            <c:numRef>
              <c:f>Summary!$AE$23:$AE$32</c:f>
              <c:numCache>
                <c:formatCode>#,##0</c:formatCode>
                <c:ptCount val="10"/>
                <c:pt idx="0">
                  <c:v>1000000</c:v>
                </c:pt>
                <c:pt idx="1">
                  <c:v>1170000</c:v>
                </c:pt>
                <c:pt idx="2">
                  <c:v>150000</c:v>
                </c:pt>
                <c:pt idx="3">
                  <c:v>600000</c:v>
                </c:pt>
                <c:pt idx="4">
                  <c:v>430000</c:v>
                </c:pt>
                <c:pt idx="5">
                  <c:v>430000</c:v>
                </c:pt>
                <c:pt idx="6">
                  <c:v>750000</c:v>
                </c:pt>
                <c:pt idx="7">
                  <c:v>810000</c:v>
                </c:pt>
                <c:pt idx="8">
                  <c:v>230000</c:v>
                </c:pt>
                <c:pt idx="9">
                  <c:v>810000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944-434A-9FCE-4CC2A788B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15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Natural Production</a:t>
            </a:r>
          </a:p>
        </c:rich>
      </c:tx>
      <c:layout>
        <c:manualLayout>
          <c:xMode val="edge"/>
          <c:yMode val="edge"/>
          <c:x val="0.49759266756581294"/>
          <c:y val="0.1507026736697338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3026120761539878"/>
          <c:y val="4.5670740625599511E-2"/>
          <c:w val="0.68421797911961002"/>
          <c:h val="0.8213344341865577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8D2B2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Summary!$D$22:$D$26</c:f>
              <c:strCache>
                <c:ptCount val="5"/>
                <c:pt idx="0">
                  <c:v>Current</c:v>
                </c:pt>
                <c:pt idx="1">
                  <c:v>Low goal</c:v>
                </c:pt>
                <c:pt idx="2">
                  <c:v>Med goal</c:v>
                </c:pt>
                <c:pt idx="3">
                  <c:v>High goal</c:v>
                </c:pt>
                <c:pt idx="4">
                  <c:v>Historical</c:v>
                </c:pt>
              </c:strCache>
            </c:strRef>
          </c:cat>
          <c:val>
            <c:numRef>
              <c:f>Summary!$E$22:$E$26</c:f>
              <c:numCache>
                <c:formatCode>#,##0</c:formatCode>
                <c:ptCount val="5"/>
                <c:pt idx="0">
                  <c:v>11600</c:v>
                </c:pt>
                <c:pt idx="1">
                  <c:v>17750</c:v>
                </c:pt>
                <c:pt idx="2">
                  <c:v>40425</c:v>
                </c:pt>
                <c:pt idx="3">
                  <c:v>114500</c:v>
                </c:pt>
                <c:pt idx="4">
                  <c:v>246500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86-412F-B8B4-75CD8BE70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38829128"/>
        <c:axId val="238829520"/>
      </c:barChart>
      <c:catAx>
        <c:axId val="2388291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8829520"/>
        <c:crosses val="autoZero"/>
        <c:auto val="1"/>
        <c:lblAlgn val="ctr"/>
        <c:lblOffset val="100"/>
        <c:noMultiLvlLbl val="0"/>
      </c:catAx>
      <c:valAx>
        <c:axId val="238829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8829128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Runs!$M$29:$M$51</c:f>
              <c:numCache>
                <c:formatCode>#,##0</c:formatCode>
                <c:ptCount val="23"/>
                <c:pt idx="0">
                  <c:v>12781</c:v>
                </c:pt>
                <c:pt idx="1">
                  <c:v>55496</c:v>
                </c:pt>
                <c:pt idx="2">
                  <c:v>124252</c:v>
                </c:pt>
                <c:pt idx="3">
                  <c:v>44267</c:v>
                </c:pt>
                <c:pt idx="4">
                  <c:v>43023</c:v>
                </c:pt>
                <c:pt idx="5">
                  <c:v>186340</c:v>
                </c:pt>
                <c:pt idx="6">
                  <c:v>415079</c:v>
                </c:pt>
                <c:pt idx="7">
                  <c:v>308795</c:v>
                </c:pt>
                <c:pt idx="8">
                  <c:v>229501</c:v>
                </c:pt>
                <c:pt idx="9">
                  <c:v>198296</c:v>
                </c:pt>
                <c:pt idx="10">
                  <c:v>97387</c:v>
                </c:pt>
                <c:pt idx="11">
                  <c:v>126158</c:v>
                </c:pt>
                <c:pt idx="12">
                  <c:v>80829</c:v>
                </c:pt>
                <c:pt idx="13">
                  <c:v>151895</c:v>
                </c:pt>
                <c:pt idx="14">
                  <c:v>147489</c:v>
                </c:pt>
                <c:pt idx="15">
                  <c:v>277389</c:v>
                </c:pt>
                <c:pt idx="16">
                  <c:v>205431</c:v>
                </c:pt>
                <c:pt idx="17">
                  <c:v>186448</c:v>
                </c:pt>
                <c:pt idx="18">
                  <c:v>112934</c:v>
                </c:pt>
                <c:pt idx="19">
                  <c:v>224946</c:v>
                </c:pt>
                <c:pt idx="20">
                  <c:v>265558</c:v>
                </c:pt>
                <c:pt idx="21">
                  <c:v>172614</c:v>
                </c:pt>
                <c:pt idx="22">
                  <c:v>107524</c:v>
                </c:pt>
              </c:numCache>
            </c:numRef>
          </c:xVal>
          <c:yVal>
            <c:numRef>
              <c:f>Runs!$P$29:$P$51</c:f>
              <c:numCache>
                <c:formatCode>#,##0</c:formatCode>
                <c:ptCount val="23"/>
                <c:pt idx="0">
                  <c:v>12563</c:v>
                </c:pt>
                <c:pt idx="1">
                  <c:v>56178</c:v>
                </c:pt>
                <c:pt idx="2">
                  <c:v>114963</c:v>
                </c:pt>
                <c:pt idx="3">
                  <c:v>39117</c:v>
                </c:pt>
                <c:pt idx="4">
                  <c:v>47360</c:v>
                </c:pt>
                <c:pt idx="5">
                  <c:v>199561</c:v>
                </c:pt>
                <c:pt idx="6">
                  <c:v>405539</c:v>
                </c:pt>
                <c:pt idx="7">
                  <c:v>275290</c:v>
                </c:pt>
                <c:pt idx="8">
                  <c:v>206268</c:v>
                </c:pt>
                <c:pt idx="9">
                  <c:v>179037</c:v>
                </c:pt>
                <c:pt idx="10">
                  <c:v>78326</c:v>
                </c:pt>
                <c:pt idx="11">
                  <c:v>99364</c:v>
                </c:pt>
                <c:pt idx="12">
                  <c:v>83230</c:v>
                </c:pt>
                <c:pt idx="13">
                  <c:v>143097</c:v>
                </c:pt>
                <c:pt idx="14">
                  <c:v>181156</c:v>
                </c:pt>
                <c:pt idx="15">
                  <c:v>256997</c:v>
                </c:pt>
                <c:pt idx="16">
                  <c:v>218042</c:v>
                </c:pt>
                <c:pt idx="17">
                  <c:v>165666</c:v>
                </c:pt>
                <c:pt idx="18">
                  <c:v>117118</c:v>
                </c:pt>
                <c:pt idx="19">
                  <c:v>214171</c:v>
                </c:pt>
                <c:pt idx="20">
                  <c:v>233562</c:v>
                </c:pt>
                <c:pt idx="21">
                  <c:v>148319</c:v>
                </c:pt>
                <c:pt idx="22">
                  <c:v>101726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E77-4E0F-8A94-8A774ECC6108}"/>
            </c:ext>
          </c:extLst>
        </c:ser>
        <c:ser>
          <c:idx val="1"/>
          <c:order val="1"/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Runs!$M$57:$M$58</c:f>
              <c:numCache>
                <c:formatCode>General</c:formatCode>
                <c:ptCount val="2"/>
                <c:pt idx="0">
                  <c:v>0</c:v>
                </c:pt>
                <c:pt idx="1">
                  <c:v>450000</c:v>
                </c:pt>
              </c:numCache>
            </c:numRef>
          </c:xVal>
          <c:yVal>
            <c:numRef>
              <c:f>Runs!$N$57:$N$58</c:f>
              <c:numCache>
                <c:formatCode>#,##0</c:formatCode>
                <c:ptCount val="2"/>
                <c:pt idx="0">
                  <c:v>0</c:v>
                </c:pt>
                <c:pt idx="1">
                  <c:v>450000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E77-4E0F-8A94-8A774ECC6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2728920"/>
        <c:axId val="242729312"/>
      </c:scatterChart>
      <c:valAx>
        <c:axId val="242728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2729312"/>
        <c:crosses val="autoZero"/>
        <c:crossBetween val="midCat"/>
      </c:valAx>
      <c:valAx>
        <c:axId val="242729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2728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MCR Destination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Runs!$A$29:$A$51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Runs!$AS$29:$AS$51</c:f>
              <c:numCache>
                <c:formatCode>#,##0</c:formatCode>
                <c:ptCount val="23"/>
                <c:pt idx="0">
                  <c:v>8958.0262643196438</c:v>
                </c:pt>
                <c:pt idx="1">
                  <c:v>44145.624232639348</c:v>
                </c:pt>
                <c:pt idx="2">
                  <c:v>57281.46227181796</c:v>
                </c:pt>
                <c:pt idx="3">
                  <c:v>19412.883931475659</c:v>
                </c:pt>
                <c:pt idx="4">
                  <c:v>32379.08791725435</c:v>
                </c:pt>
                <c:pt idx="5">
                  <c:v>117718.74810627193</c:v>
                </c:pt>
                <c:pt idx="6">
                  <c:v>114665.48765403929</c:v>
                </c:pt>
                <c:pt idx="7">
                  <c:v>120770.82306137812</c:v>
                </c:pt>
                <c:pt idx="8">
                  <c:v>77836.379353761789</c:v>
                </c:pt>
                <c:pt idx="9">
                  <c:v>59655.61944147489</c:v>
                </c:pt>
                <c:pt idx="10">
                  <c:v>24955.289302971418</c:v>
                </c:pt>
                <c:pt idx="11">
                  <c:v>56330.158611821054</c:v>
                </c:pt>
                <c:pt idx="12">
                  <c:v>31559.598991570158</c:v>
                </c:pt>
                <c:pt idx="13">
                  <c:v>45829.863969408194</c:v>
                </c:pt>
                <c:pt idx="14">
                  <c:v>62310.395239959573</c:v>
                </c:pt>
                <c:pt idx="15">
                  <c:v>73193.544918299915</c:v>
                </c:pt>
                <c:pt idx="16">
                  <c:v>87773.176524236813</c:v>
                </c:pt>
                <c:pt idx="17">
                  <c:v>47113.833317576311</c:v>
                </c:pt>
                <c:pt idx="18">
                  <c:v>32170.544935459387</c:v>
                </c:pt>
                <c:pt idx="19">
                  <c:v>62464.438502054836</c:v>
                </c:pt>
                <c:pt idx="20">
                  <c:v>38610.752588890056</c:v>
                </c:pt>
                <c:pt idx="21">
                  <c:v>34906.488186510964</c:v>
                </c:pt>
                <c:pt idx="22">
                  <c:v>49439.197006652539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94-4EA3-A7F7-2D4E60D5566C}"/>
            </c:ext>
          </c:extLst>
        </c:ser>
        <c:ser>
          <c:idx val="1"/>
          <c:order val="1"/>
          <c:tx>
            <c:v>UCR &amp; Snake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Runs!$A$29:$A$51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Runs!$AR$29:$AR$51</c:f>
              <c:numCache>
                <c:formatCode>#,##0</c:formatCode>
                <c:ptCount val="23"/>
                <c:pt idx="0">
                  <c:v>3604.9737356803571</c:v>
                </c:pt>
                <c:pt idx="1">
                  <c:v>12032.375767360654</c:v>
                </c:pt>
                <c:pt idx="2">
                  <c:v>57681.53772818204</c:v>
                </c:pt>
                <c:pt idx="3">
                  <c:v>19704.116068524341</c:v>
                </c:pt>
                <c:pt idx="4">
                  <c:v>14980.912082745652</c:v>
                </c:pt>
                <c:pt idx="5">
                  <c:v>81842.251893728069</c:v>
                </c:pt>
                <c:pt idx="6">
                  <c:v>290873.51234596071</c:v>
                </c:pt>
                <c:pt idx="7">
                  <c:v>154519.17693862188</c:v>
                </c:pt>
                <c:pt idx="8">
                  <c:v>128431.62064623821</c:v>
                </c:pt>
                <c:pt idx="9">
                  <c:v>119381.38055852511</c:v>
                </c:pt>
                <c:pt idx="10">
                  <c:v>53370.710697028582</c:v>
                </c:pt>
                <c:pt idx="11">
                  <c:v>43033.841388178946</c:v>
                </c:pt>
                <c:pt idx="12">
                  <c:v>51670.401008429842</c:v>
                </c:pt>
                <c:pt idx="13">
                  <c:v>97267.136030591806</c:v>
                </c:pt>
                <c:pt idx="14">
                  <c:v>118845.60476004043</c:v>
                </c:pt>
                <c:pt idx="15">
                  <c:v>183803.45508170009</c:v>
                </c:pt>
                <c:pt idx="16">
                  <c:v>130268.82347576319</c:v>
                </c:pt>
                <c:pt idx="17">
                  <c:v>118552.16668242369</c:v>
                </c:pt>
                <c:pt idx="18">
                  <c:v>84947.455064540613</c:v>
                </c:pt>
                <c:pt idx="19">
                  <c:v>151706.56149794516</c:v>
                </c:pt>
                <c:pt idx="20">
                  <c:v>194951.24741110994</c:v>
                </c:pt>
                <c:pt idx="21">
                  <c:v>113412.51181348904</c:v>
                </c:pt>
                <c:pt idx="22">
                  <c:v>52286.802993347461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94-4EA3-A7F7-2D4E60D55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5652712"/>
        <c:axId val="245652320"/>
      </c:barChart>
      <c:catAx>
        <c:axId val="245652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652320"/>
        <c:crosses val="autoZero"/>
        <c:auto val="1"/>
        <c:lblAlgn val="ctr"/>
        <c:lblOffset val="100"/>
        <c:noMultiLvlLbl val="0"/>
      </c:catAx>
      <c:valAx>
        <c:axId val="24565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652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jp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22859</xdr:colOff>
      <xdr:row>1</xdr:row>
      <xdr:rowOff>59054</xdr:rowOff>
    </xdr:from>
    <xdr:to>
      <xdr:col>6</xdr:col>
      <xdr:colOff>523875</xdr:colOff>
      <xdr:row>16</xdr:row>
      <xdr:rowOff>62865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2859" y="287654"/>
          <a:ext cx="3606166" cy="263271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buFont typeface="Arial" panose="020B0604020202020204" pitchFamily="34" charset="0"/>
            <a:buChar char="•"/>
          </a:pPr>
          <a:r>
            <a:rPr lang="en-US" sz="1600" i="0"/>
            <a:t>Inhabits mid to high elevation streams draining the eastern Cascades and west Blue Mountains. 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600" i="0"/>
            <a:t>One of</a:t>
          </a:r>
          <a:r>
            <a:rPr lang="en-US" sz="1600" i="0" baseline="0"/>
            <a:t>the healthiest spring Chinooks in the basin with several viable or moderately viable populations</a:t>
          </a:r>
          <a:r>
            <a:rPr lang="en-US" sz="1600" i="0"/>
            <a:t>. 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600" i="0"/>
            <a:t>Limited hatchery production. 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600" i="0"/>
            <a:t>Several populations that were historically extirpated by tributary dams are being reintroduced.</a:t>
          </a:r>
        </a:p>
        <a:p>
          <a:pPr marL="171450" indent="-171450">
            <a:buFont typeface="Arial" panose="020B0604020202020204" pitchFamily="34" charset="0"/>
            <a:buChar char="•"/>
          </a:pPr>
          <a:endParaRPr lang="en-US" sz="1600" i="0"/>
        </a:p>
      </xdr:txBody>
    </xdr:sp>
    <xdr:clientData/>
  </xdr:twoCellAnchor>
  <xdr:twoCellAnchor editAs="oneCell">
    <xdr:from>
      <xdr:col>7</xdr:col>
      <xdr:colOff>9525</xdr:colOff>
      <xdr:row>2</xdr:row>
      <xdr:rowOff>7618</xdr:rowOff>
    </xdr:from>
    <xdr:to>
      <xdr:col>15</xdr:col>
      <xdr:colOff>572452</xdr:colOff>
      <xdr:row>35</xdr:row>
      <xdr:rowOff>54140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" t="612" r="692" b="846"/>
        <a:stretch/>
      </xdr:blipFill>
      <xdr:spPr>
        <a:xfrm>
          <a:off x="3714750" y="331468"/>
          <a:ext cx="5363527" cy="6022507"/>
        </a:xfrm>
        <a:prstGeom prst="rect">
          <a:avLst/>
        </a:prstGeom>
      </xdr:spPr>
    </xdr:pic>
    <xdr:clientData/>
  </xdr:twoCellAnchor>
  <xdr:twoCellAnchor>
    <xdr:from>
      <xdr:col>0</xdr:col>
      <xdr:colOff>55244</xdr:colOff>
      <xdr:row>35</xdr:row>
      <xdr:rowOff>76201</xdr:rowOff>
    </xdr:from>
    <xdr:to>
      <xdr:col>16</xdr:col>
      <xdr:colOff>38099</xdr:colOff>
      <xdr:row>50</xdr:row>
      <xdr:rowOff>130017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146208</xdr:colOff>
      <xdr:row>50</xdr:row>
      <xdr:rowOff>135254</xdr:rowOff>
    </xdr:from>
    <xdr:to>
      <xdr:col>7</xdr:col>
      <xdr:colOff>428625</xdr:colOff>
      <xdr:row>67</xdr:row>
      <xdr:rowOff>102393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497205</xdr:colOff>
      <xdr:row>50</xdr:row>
      <xdr:rowOff>114300</xdr:rowOff>
    </xdr:from>
    <xdr:to>
      <xdr:col>15</xdr:col>
      <xdr:colOff>504825</xdr:colOff>
      <xdr:row>67</xdr:row>
      <xdr:rowOff>117156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60009</xdr:colOff>
      <xdr:row>16</xdr:row>
      <xdr:rowOff>168593</xdr:rowOff>
    </xdr:from>
    <xdr:to>
      <xdr:col>6</xdr:col>
      <xdr:colOff>434340</xdr:colOff>
      <xdr:row>35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C294B11-C982-4B2A-9068-338E49948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476249</xdr:colOff>
      <xdr:row>0</xdr:row>
      <xdr:rowOff>180975</xdr:rowOff>
    </xdr:from>
    <xdr:to>
      <xdr:col>14</xdr:col>
      <xdr:colOff>485774</xdr:colOff>
      <xdr:row>39</xdr:row>
      <xdr:rowOff>82923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97DC1D-C6B4-436A-BA2D-5908C8DC3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49" y="180975"/>
          <a:ext cx="4276725" cy="7331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80962</xdr:colOff>
      <xdr:row>60</xdr:row>
      <xdr:rowOff>33337</xdr:rowOff>
    </xdr:from>
    <xdr:to>
      <xdr:col>17</xdr:col>
      <xdr:colOff>500062</xdr:colOff>
      <xdr:row>74</xdr:row>
      <xdr:rowOff>109537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385762</xdr:colOff>
      <xdr:row>56</xdr:row>
      <xdr:rowOff>23812</xdr:rowOff>
    </xdr:from>
    <xdr:to>
      <xdr:col>48</xdr:col>
      <xdr:colOff>566737</xdr:colOff>
      <xdr:row>70</xdr:row>
      <xdr:rowOff>100012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62</xdr:col>
      <xdr:colOff>272298</xdr:colOff>
      <xdr:row>56</xdr:row>
      <xdr:rowOff>72177</xdr:rowOff>
    </xdr:from>
    <xdr:to>
      <xdr:col>71</xdr:col>
      <xdr:colOff>472648</xdr:colOff>
      <xdr:row>74</xdr:row>
      <xdr:rowOff>150496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74381" y="9967594"/>
          <a:ext cx="5816290" cy="3491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88</xdr:col>
      <xdr:colOff>18201</xdr:colOff>
      <xdr:row>56</xdr:row>
      <xdr:rowOff>43434</xdr:rowOff>
    </xdr:from>
    <xdr:to>
      <xdr:col>94</xdr:col>
      <xdr:colOff>286484</xdr:colOff>
      <xdr:row>70</xdr:row>
      <xdr:rowOff>77467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51E7A7C-3F1D-46BA-8042-3AE06DAB2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71534" y="10108184"/>
          <a:ext cx="3687758" cy="2698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91</xdr:col>
      <xdr:colOff>369933</xdr:colOff>
      <xdr:row>58</xdr:row>
      <xdr:rowOff>158750</xdr:rowOff>
    </xdr:from>
    <xdr:to>
      <xdr:col>98</xdr:col>
      <xdr:colOff>479498</xdr:colOff>
      <xdr:row>74</xdr:row>
      <xdr:rowOff>20109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C72B0F7-9A4E-4370-9651-E2EE556DB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0766" y="10805583"/>
          <a:ext cx="3803995" cy="283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2</xdr:row>
      <xdr:rowOff>57150</xdr:rowOff>
    </xdr:from>
    <xdr:to>
      <xdr:col>12</xdr:col>
      <xdr:colOff>323850</xdr:colOff>
      <xdr:row>23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438150"/>
          <a:ext cx="6962775" cy="400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57150</xdr:colOff>
      <xdr:row>0</xdr:row>
      <xdr:rowOff>104775</xdr:rowOff>
    </xdr:from>
    <xdr:to>
      <xdr:col>22</xdr:col>
      <xdr:colOff>161925</xdr:colOff>
      <xdr:row>40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04775"/>
          <a:ext cx="4981575" cy="760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2</xdr:row>
      <xdr:rowOff>0</xdr:rowOff>
    </xdr:from>
    <xdr:to>
      <xdr:col>31</xdr:col>
      <xdr:colOff>295275</xdr:colOff>
      <xdr:row>31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381000"/>
          <a:ext cx="5172075" cy="561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24</xdr:row>
      <xdr:rowOff>28575</xdr:rowOff>
    </xdr:from>
    <xdr:to>
      <xdr:col>13</xdr:col>
      <xdr:colOff>133350</xdr:colOff>
      <xdr:row>37</xdr:row>
      <xdr:rowOff>66675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4600575"/>
          <a:ext cx="6124575" cy="251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37</xdr:row>
      <xdr:rowOff>171449</xdr:rowOff>
    </xdr:from>
    <xdr:to>
      <xdr:col>13</xdr:col>
      <xdr:colOff>94285</xdr:colOff>
      <xdr:row>45</xdr:row>
      <xdr:rowOff>123824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7219949"/>
          <a:ext cx="6095035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nwcouncil.org/sites/default/files/Front_Cover.pdf" TargetMode="External"/><Relationship Id="rId13" Type="http://schemas.openxmlformats.org/officeDocument/2006/relationships/hyperlink" Target="https://www.nwcouncil.org/sites/default/files/EntirePlan_12.pdf" TargetMode="External"/><Relationship Id="rId18" Type="http://schemas.openxmlformats.org/officeDocument/2006/relationships/hyperlink" Target="https://www.nwcouncil.org/sites/default/files/Front_Cover.pdf" TargetMode="External"/><Relationship Id="rId3" Type="http://schemas.openxmlformats.org/officeDocument/2006/relationships/hyperlink" Target="https://www.nwcouncil.org/subbasin-plans/deschutes-subbasin-plan" TargetMode="External"/><Relationship Id="rId21" Type="http://schemas.openxmlformats.org/officeDocument/2006/relationships/hyperlink" Target="https://www.nwcouncil.org/subbasin-plans/klickitat-subbasin-plan" TargetMode="External"/><Relationship Id="rId7" Type="http://schemas.openxmlformats.org/officeDocument/2006/relationships/hyperlink" Target="https://www.nwcouncil.org/subbasin-plans/walla-walla-subbasin-plan" TargetMode="External"/><Relationship Id="rId12" Type="http://schemas.openxmlformats.org/officeDocument/2006/relationships/hyperlink" Target="https://www.nwcouncil.org/subbasin-plans/deschutes-subbasin-plan" TargetMode="External"/><Relationship Id="rId17" Type="http://schemas.openxmlformats.org/officeDocument/2006/relationships/hyperlink" Target="https://www.nwcouncil.org/sites/default/files/Front_Cover.pdf" TargetMode="External"/><Relationship Id="rId2" Type="http://schemas.openxmlformats.org/officeDocument/2006/relationships/hyperlink" Target="https://www.nwcouncil.org/subbasin-plans/deschutes-subbasin-plan" TargetMode="External"/><Relationship Id="rId16" Type="http://schemas.openxmlformats.org/officeDocument/2006/relationships/hyperlink" Target="https://www.nwcouncil.org/subbasin-plans/walla-walla-subbasin-plan" TargetMode="External"/><Relationship Id="rId20" Type="http://schemas.openxmlformats.org/officeDocument/2006/relationships/hyperlink" Target="https://www.nwcouncil.org/subbasin-plans/john-day-subbasin-plan" TargetMode="External"/><Relationship Id="rId1" Type="http://schemas.openxmlformats.org/officeDocument/2006/relationships/hyperlink" Target="https://www.nwcouncil.org/subbasin-plans/deschutes-subbasin-plan" TargetMode="External"/><Relationship Id="rId6" Type="http://schemas.openxmlformats.org/officeDocument/2006/relationships/hyperlink" Target="https://www.nwcouncil.org/subbasin-plans/walla-walla-subbasin-plan" TargetMode="External"/><Relationship Id="rId11" Type="http://schemas.openxmlformats.org/officeDocument/2006/relationships/hyperlink" Target="https://www.nwcouncil.org/subbasin-plans/deschutes-subbasin-plan" TargetMode="External"/><Relationship Id="rId5" Type="http://schemas.openxmlformats.org/officeDocument/2006/relationships/hyperlink" Target="https://www.nwcouncil.org/subbasin-plans/walla-walla-subbasin-plan" TargetMode="External"/><Relationship Id="rId15" Type="http://schemas.openxmlformats.org/officeDocument/2006/relationships/hyperlink" Target="https://www.nwcouncil.org/subbasin-plans/walla-walla-subbasin-plan" TargetMode="External"/><Relationship Id="rId23" Type="http://schemas.openxmlformats.org/officeDocument/2006/relationships/comments" Target="../comments1.xml"/><Relationship Id="rId10" Type="http://schemas.openxmlformats.org/officeDocument/2006/relationships/hyperlink" Target="https://www.nwcouncil.org/subbasin-plans/deschutes-subbasin-plan" TargetMode="External"/><Relationship Id="rId19" Type="http://schemas.openxmlformats.org/officeDocument/2006/relationships/hyperlink" Target="https://www.nwcouncil.org/subbasin-plans/john-day-subbasin-plan" TargetMode="External"/><Relationship Id="rId4" Type="http://schemas.openxmlformats.org/officeDocument/2006/relationships/hyperlink" Target="https://www.nwcouncil.org/sites/default/files/EntirePlan_12.pdf" TargetMode="External"/><Relationship Id="rId9" Type="http://schemas.openxmlformats.org/officeDocument/2006/relationships/hyperlink" Target="https://www.nwcouncil.org/sites/default/files/Front_Cover.pdf" TargetMode="External"/><Relationship Id="rId14" Type="http://schemas.openxmlformats.org/officeDocument/2006/relationships/hyperlink" Target="https://www.nwcouncil.org/subbasin-plans/walla-walla-subbasin-plan" TargetMode="External"/><Relationship Id="rId2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P79"/>
  <sheetViews>
    <sheetView tabSelected="1" zoomScale="80" zoomScaleNormal="80" workbookViewId="0">
      <selection activeCell="AB14" sqref="AB14"/>
    </sheetView>
  </sheetViews>
  <sheetFormatPr defaultRowHeight="14.4" x14ac:dyDescent="0.3"/>
  <cols>
    <col min="1" max="1" width="1.5546875" customWidth="1"/>
    <col min="2" max="16" width="8.77734375" customWidth="1"/>
    <col min="17" max="17" width="1.21875" customWidth="1"/>
    <col min="18" max="18" width="1.77734375" style="1" customWidth="1"/>
    <col min="19" max="19" width="7.77734375" customWidth="1"/>
    <col min="20" max="20" width="25.88671875" customWidth="1"/>
    <col min="21" max="21" width="11.6640625" customWidth="1"/>
    <col min="22" max="22" width="10.88671875" customWidth="1"/>
    <col min="23" max="23" width="10" customWidth="1"/>
    <col min="24" max="24" width="10.6640625" customWidth="1"/>
    <col min="25" max="25" width="11.77734375" customWidth="1"/>
    <col min="26" max="26" width="0.6640625" style="1" customWidth="1"/>
    <col min="28" max="28" width="9.5546875" bestFit="1" customWidth="1"/>
    <col min="29" max="29" width="12.21875" customWidth="1"/>
  </cols>
  <sheetData>
    <row r="1" spans="1:42" s="257" customFormat="1" ht="18" x14ac:dyDescent="0.35">
      <c r="A1" s="253"/>
      <c r="B1" s="254" t="s">
        <v>10</v>
      </c>
      <c r="C1" s="255"/>
      <c r="D1" s="255"/>
      <c r="E1" s="255"/>
      <c r="F1" s="255"/>
      <c r="G1" s="254" t="s">
        <v>11</v>
      </c>
      <c r="H1" s="255"/>
      <c r="I1" s="255"/>
      <c r="J1" s="255"/>
      <c r="K1" s="254" t="s">
        <v>249</v>
      </c>
      <c r="L1" s="254"/>
      <c r="M1" s="254"/>
      <c r="N1" s="253"/>
      <c r="O1" s="253"/>
      <c r="P1" s="253"/>
      <c r="Q1" s="253"/>
      <c r="R1" s="256"/>
      <c r="Z1" s="256"/>
    </row>
    <row r="2" spans="1:42" ht="8.25" customHeigh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S2" s="1"/>
      <c r="T2" s="1"/>
      <c r="U2" s="1"/>
      <c r="V2" s="1"/>
      <c r="W2" s="1"/>
      <c r="X2" s="1"/>
      <c r="Y2" s="1"/>
    </row>
    <row r="3" spans="1:42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S3" s="267" t="s">
        <v>12</v>
      </c>
      <c r="T3" s="268"/>
      <c r="U3" s="269" t="s">
        <v>13</v>
      </c>
      <c r="V3" s="270"/>
      <c r="W3" s="271" t="s">
        <v>14</v>
      </c>
      <c r="X3" s="272"/>
      <c r="Y3" s="273"/>
      <c r="AA3" s="1"/>
      <c r="AB3" s="228" t="s">
        <v>347</v>
      </c>
      <c r="AK3" s="1"/>
    </row>
    <row r="4" spans="1:42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S4" s="279" t="s">
        <v>15</v>
      </c>
      <c r="T4" s="280" t="s">
        <v>16</v>
      </c>
      <c r="U4" s="274" t="s">
        <v>208</v>
      </c>
      <c r="V4" s="275" t="s">
        <v>17</v>
      </c>
      <c r="W4" s="276" t="s">
        <v>18</v>
      </c>
      <c r="X4" s="277" t="s">
        <v>19</v>
      </c>
      <c r="Y4" s="278" t="s">
        <v>20</v>
      </c>
      <c r="AA4" s="1"/>
      <c r="AB4" s="245" t="s">
        <v>366</v>
      </c>
      <c r="AK4" s="1"/>
      <c r="AO4" t="s">
        <v>244</v>
      </c>
    </row>
    <row r="5" spans="1:42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S5" s="323" t="s">
        <v>29</v>
      </c>
      <c r="T5" s="101" t="s">
        <v>21</v>
      </c>
      <c r="U5" s="173">
        <v>500</v>
      </c>
      <c r="V5" s="103">
        <v>2500</v>
      </c>
      <c r="W5" s="53">
        <f>Spawners!S4</f>
        <v>750</v>
      </c>
      <c r="X5" s="53">
        <f>Spawners!T4</f>
        <v>975</v>
      </c>
      <c r="Y5" s="91">
        <f>Spawners!U4</f>
        <v>1200</v>
      </c>
      <c r="AA5" s="1"/>
      <c r="AK5" s="1"/>
      <c r="AO5" t="s">
        <v>200</v>
      </c>
      <c r="AP5">
        <v>500</v>
      </c>
    </row>
    <row r="6" spans="1:42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S6" s="324"/>
      <c r="T6" s="99" t="s">
        <v>158</v>
      </c>
      <c r="U6" s="232">
        <f>ROUND(Runs!CD55,-2)</f>
        <v>1000</v>
      </c>
      <c r="V6" s="104">
        <f>ROUND(Spawners!I5,-2)</f>
        <v>5700</v>
      </c>
      <c r="W6" s="15">
        <f>Spawners!S5</f>
        <v>1000</v>
      </c>
      <c r="X6" s="15">
        <f>Spawners!T5</f>
        <v>2100</v>
      </c>
      <c r="Y6" s="92">
        <f>Spawners!U5</f>
        <v>3200</v>
      </c>
      <c r="AA6" s="1"/>
      <c r="AK6" s="1"/>
      <c r="AO6" t="s">
        <v>22</v>
      </c>
      <c r="AP6">
        <v>4000</v>
      </c>
    </row>
    <row r="7" spans="1:42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S7" s="324"/>
      <c r="T7" s="99" t="s">
        <v>32</v>
      </c>
      <c r="U7" s="320">
        <f>ROUND(Runs!CI55,-2)</f>
        <v>100</v>
      </c>
      <c r="V7" s="104">
        <f>ROUND(Spawners!I6,-2)</f>
        <v>1300</v>
      </c>
      <c r="W7" s="15">
        <f>Spawners!S6</f>
        <v>750</v>
      </c>
      <c r="X7" s="15">
        <f>Spawners!T6</f>
        <v>1075</v>
      </c>
      <c r="Y7" s="92">
        <f>Spawners!U6</f>
        <v>1400</v>
      </c>
      <c r="AA7" s="1"/>
      <c r="AK7" s="1"/>
      <c r="AO7" t="s">
        <v>213</v>
      </c>
      <c r="AP7">
        <v>1500</v>
      </c>
    </row>
    <row r="8" spans="1:42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S8" s="325"/>
      <c r="T8" s="100" t="s">
        <v>159</v>
      </c>
      <c r="U8" s="321"/>
      <c r="V8" s="105">
        <f>ROUND(Spawners!I7,-2)</f>
        <v>3800</v>
      </c>
      <c r="W8" s="21">
        <f>Spawners!S7</f>
        <v>750</v>
      </c>
      <c r="X8" s="21">
        <f>Spawners!T7</f>
        <v>1025</v>
      </c>
      <c r="Y8" s="93">
        <f>Spawners!U7</f>
        <v>1300</v>
      </c>
      <c r="AA8" s="1"/>
      <c r="AK8" s="1"/>
      <c r="AO8" t="s">
        <v>186</v>
      </c>
      <c r="AP8">
        <v>300</v>
      </c>
    </row>
    <row r="9" spans="1:42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S9" s="326" t="s">
        <v>22</v>
      </c>
      <c r="T9" s="101" t="s">
        <v>25</v>
      </c>
      <c r="U9" s="175">
        <f>ROUND(Runs!BO55,-2)</f>
        <v>1400</v>
      </c>
      <c r="V9" s="103">
        <f>ROUND(Spawners!I8,-2)</f>
        <v>1800</v>
      </c>
      <c r="W9" s="53">
        <f>Spawners!S8</f>
        <v>1000</v>
      </c>
      <c r="X9" s="53">
        <f>Spawners!T8</f>
        <v>2000</v>
      </c>
      <c r="Y9" s="91">
        <f>Spawners!U8</f>
        <v>3000</v>
      </c>
      <c r="AA9" s="1"/>
      <c r="AK9" s="1"/>
      <c r="AO9" t="s">
        <v>243</v>
      </c>
      <c r="AP9">
        <v>2500</v>
      </c>
    </row>
    <row r="10" spans="1:42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S10" s="317"/>
      <c r="T10" s="18" t="s">
        <v>23</v>
      </c>
      <c r="U10" s="172">
        <f>ROUND(Runs!BQ55,-2)</f>
        <v>1400</v>
      </c>
      <c r="V10" s="104">
        <f>ROUND(Spawners!I9,-2)</f>
        <v>7300</v>
      </c>
      <c r="W10" s="15">
        <f>Spawners!S9</f>
        <v>2000</v>
      </c>
      <c r="X10" s="15">
        <f>Spawners!T9</f>
        <v>4000</v>
      </c>
      <c r="Y10" s="92">
        <f>Spawners!U9</f>
        <v>6000</v>
      </c>
      <c r="AA10" s="1"/>
      <c r="AK10" s="1"/>
    </row>
    <row r="11" spans="1:42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S11" s="318"/>
      <c r="T11" s="37" t="s">
        <v>24</v>
      </c>
      <c r="U11" s="176">
        <f>ROUND(Runs!BP55,-2)</f>
        <v>700</v>
      </c>
      <c r="V11" s="105">
        <f>ROUND(Spawners!I10,-2)</f>
        <v>2200</v>
      </c>
      <c r="W11" s="21">
        <f>Spawners!S10</f>
        <v>1000</v>
      </c>
      <c r="X11" s="21">
        <f>Spawners!T10</f>
        <v>2000</v>
      </c>
      <c r="Y11" s="93">
        <f>Spawners!U10</f>
        <v>3000</v>
      </c>
      <c r="AA11" s="1"/>
      <c r="AK11" s="1"/>
      <c r="AP11">
        <f>SUM(AP5:AP9)</f>
        <v>8800</v>
      </c>
    </row>
    <row r="12" spans="1:42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S12" s="326" t="s">
        <v>31</v>
      </c>
      <c r="T12" s="101" t="s">
        <v>26</v>
      </c>
      <c r="U12" s="173">
        <f>ROUND(Runs!CO54,-2)</f>
        <v>300</v>
      </c>
      <c r="V12" s="103">
        <f>ROUND(Spawners!I11,-2)</f>
        <v>5000</v>
      </c>
      <c r="W12" s="106">
        <f>Spawners!S11</f>
        <v>1000</v>
      </c>
      <c r="X12" s="53">
        <f>Spawners!T11</f>
        <v>1350</v>
      </c>
      <c r="Y12" s="91">
        <f>Spawners!U11</f>
        <v>1700</v>
      </c>
      <c r="AA12" s="1"/>
      <c r="AK12" s="1"/>
    </row>
    <row r="13" spans="1:42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S13" s="317"/>
      <c r="T13" s="18" t="s">
        <v>188</v>
      </c>
      <c r="U13" s="320">
        <v>200</v>
      </c>
      <c r="V13" s="104">
        <f>ROUND(Spawners!I12,-2)</f>
        <v>4900</v>
      </c>
      <c r="W13" s="16">
        <f>Spawners!S12</f>
        <v>1000</v>
      </c>
      <c r="X13" s="15">
        <f>Spawners!T12</f>
        <v>1800</v>
      </c>
      <c r="Y13" s="92">
        <f>Spawners!U12</f>
        <v>2600</v>
      </c>
      <c r="AA13" s="1"/>
      <c r="AK13" s="1"/>
    </row>
    <row r="14" spans="1:42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S14" s="317"/>
      <c r="T14" s="18" t="s">
        <v>189</v>
      </c>
      <c r="U14" s="322"/>
      <c r="V14" s="104">
        <f>ROUND(Spawners!I13,-2)</f>
        <v>2700</v>
      </c>
      <c r="W14" s="16">
        <f>Spawners!S13</f>
        <v>750</v>
      </c>
      <c r="X14" s="15">
        <f>Spawners!T13</f>
        <v>975</v>
      </c>
      <c r="Y14" s="92">
        <f>Spawners!U13</f>
        <v>1200</v>
      </c>
      <c r="AA14" s="1"/>
      <c r="AK14" s="1"/>
    </row>
    <row r="15" spans="1:42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S15" s="317"/>
      <c r="T15" s="18" t="s">
        <v>187</v>
      </c>
      <c r="U15" s="322"/>
      <c r="V15" s="104">
        <f>ROUND(Spawners!I14,-2)</f>
        <v>1900</v>
      </c>
      <c r="W15" s="16">
        <f>Spawners!S14</f>
        <v>750</v>
      </c>
      <c r="X15" s="15">
        <f>Spawners!T14</f>
        <v>875</v>
      </c>
      <c r="Y15" s="92">
        <f>Spawners!U14</f>
        <v>1000</v>
      </c>
      <c r="AA15" s="1"/>
      <c r="AK15" s="1"/>
    </row>
    <row r="16" spans="1:42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S16" s="318"/>
      <c r="T16" s="37" t="s">
        <v>185</v>
      </c>
      <c r="U16" s="321"/>
      <c r="V16" s="105">
        <f>ROUND(Spawners!I15,-2)</f>
        <v>8400</v>
      </c>
      <c r="W16" s="19">
        <f>Spawners!S15</f>
        <v>1000</v>
      </c>
      <c r="X16" s="21">
        <f>Spawners!T15</f>
        <v>2750</v>
      </c>
      <c r="Y16" s="93">
        <f>Spawners!U15</f>
        <v>4500</v>
      </c>
      <c r="AA16" s="1"/>
      <c r="AK16" s="1"/>
    </row>
    <row r="17" spans="1:37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S17" s="327" t="s">
        <v>27</v>
      </c>
      <c r="T17" s="101" t="s">
        <v>25</v>
      </c>
      <c r="U17" s="173">
        <v>4000</v>
      </c>
      <c r="V17" s="103">
        <v>124500</v>
      </c>
      <c r="W17" s="106">
        <v>4000</v>
      </c>
      <c r="X17" s="53">
        <v>12870</v>
      </c>
      <c r="Y17" s="91">
        <v>55700</v>
      </c>
      <c r="AA17" s="1"/>
      <c r="AK17" s="1"/>
    </row>
    <row r="18" spans="1:37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S18" s="328"/>
      <c r="T18" s="18" t="s">
        <v>33</v>
      </c>
      <c r="U18" s="232">
        <v>2000</v>
      </c>
      <c r="V18" s="104">
        <v>74500</v>
      </c>
      <c r="W18" s="19">
        <f>Spawners!S17</f>
        <v>2000</v>
      </c>
      <c r="X18" s="21">
        <v>6630</v>
      </c>
      <c r="Y18" s="93">
        <v>28700</v>
      </c>
      <c r="AA18" s="1"/>
      <c r="AK18" s="1"/>
    </row>
    <row r="19" spans="1:37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S19" s="281" t="s">
        <v>28</v>
      </c>
      <c r="T19" s="282"/>
      <c r="U19" s="283">
        <f>SUM(U5:U18)</f>
        <v>11600</v>
      </c>
      <c r="V19" s="284">
        <f>SUM(V5:V18)</f>
        <v>246500</v>
      </c>
      <c r="W19" s="285">
        <f>SUM(W5:W18)</f>
        <v>17750</v>
      </c>
      <c r="X19" s="285">
        <f>SUM(X5:X18)</f>
        <v>40425</v>
      </c>
      <c r="Y19" s="286">
        <f>SUM(Y5:Y18)</f>
        <v>114500</v>
      </c>
      <c r="AA19" s="1"/>
      <c r="AB19" t="s">
        <v>301</v>
      </c>
      <c r="AK19" s="1"/>
    </row>
    <row r="20" spans="1:37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S20" s="1"/>
      <c r="T20" s="1"/>
      <c r="U20" s="233"/>
      <c r="V20" s="1"/>
      <c r="W20" s="1"/>
      <c r="X20" s="1"/>
      <c r="Y20" s="1"/>
      <c r="AA20" s="1"/>
      <c r="AK20" s="1"/>
    </row>
    <row r="21" spans="1:37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S21" s="11" t="s">
        <v>34</v>
      </c>
      <c r="T21" s="25"/>
      <c r="U21" s="183" t="s">
        <v>35</v>
      </c>
      <c r="V21" s="184"/>
      <c r="W21" s="184"/>
      <c r="X21" s="66" t="s">
        <v>36</v>
      </c>
      <c r="Y21" s="26" t="s">
        <v>253</v>
      </c>
      <c r="AA21" s="1"/>
      <c r="AC21" t="s">
        <v>103</v>
      </c>
      <c r="AK21" s="1"/>
    </row>
    <row r="22" spans="1:37" x14ac:dyDescent="0.3">
      <c r="A22" s="1"/>
      <c r="B22" s="1"/>
      <c r="C22" s="1"/>
      <c r="D22" s="1" t="s">
        <v>41</v>
      </c>
      <c r="E22" s="181">
        <f>U19</f>
        <v>11600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S22" s="27" t="s">
        <v>37</v>
      </c>
      <c r="T22" s="28"/>
      <c r="U22" s="29" t="s">
        <v>38</v>
      </c>
      <c r="V22" s="29" t="s">
        <v>39</v>
      </c>
      <c r="W22" s="29" t="s">
        <v>40</v>
      </c>
      <c r="X22" s="29" t="s">
        <v>42</v>
      </c>
      <c r="Y22" s="182" t="s">
        <v>43</v>
      </c>
      <c r="AA22" s="1"/>
      <c r="AC22" s="63" t="s">
        <v>37</v>
      </c>
      <c r="AD22" s="63"/>
      <c r="AE22" s="64" t="s">
        <v>39</v>
      </c>
      <c r="AK22" s="1"/>
    </row>
    <row r="23" spans="1:37" x14ac:dyDescent="0.3">
      <c r="A23" s="1"/>
      <c r="B23" s="1"/>
      <c r="C23" s="1"/>
      <c r="D23" s="1" t="s">
        <v>250</v>
      </c>
      <c r="E23" s="181">
        <f>W19</f>
        <v>17750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S23" s="316" t="s">
        <v>255</v>
      </c>
      <c r="T23" s="65" t="s">
        <v>200</v>
      </c>
      <c r="U23" s="166">
        <v>500</v>
      </c>
      <c r="V23" s="16">
        <v>600000</v>
      </c>
      <c r="W23" s="50" t="s">
        <v>170</v>
      </c>
      <c r="X23" s="12">
        <f>138+411</f>
        <v>549</v>
      </c>
      <c r="Y23" s="195">
        <v>800000</v>
      </c>
      <c r="AA23" s="1"/>
      <c r="AC23" s="1" t="s">
        <v>109</v>
      </c>
      <c r="AD23" s="1"/>
      <c r="AE23" s="16">
        <f>Summary!V30</f>
        <v>1000000</v>
      </c>
      <c r="AK23" s="1"/>
    </row>
    <row r="24" spans="1:37" x14ac:dyDescent="0.3">
      <c r="A24" s="1"/>
      <c r="B24" s="1"/>
      <c r="C24" s="1"/>
      <c r="D24" s="1" t="s">
        <v>251</v>
      </c>
      <c r="E24" s="181">
        <f>X19</f>
        <v>40425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S24" s="317"/>
      <c r="T24" s="65" t="s">
        <v>176</v>
      </c>
      <c r="U24" s="118"/>
      <c r="V24" s="16">
        <v>430000</v>
      </c>
      <c r="W24" s="16">
        <v>430000</v>
      </c>
      <c r="X24" s="36">
        <v>1200</v>
      </c>
      <c r="Y24" s="195">
        <f>W24+V24</f>
        <v>860000</v>
      </c>
      <c r="AA24" s="1"/>
      <c r="AC24" s="1" t="s">
        <v>110</v>
      </c>
      <c r="AD24" s="1"/>
      <c r="AE24" s="16">
        <f>Summary!V31</f>
        <v>1170000</v>
      </c>
      <c r="AK24" s="1"/>
    </row>
    <row r="25" spans="1:37" x14ac:dyDescent="0.3">
      <c r="A25" s="1"/>
      <c r="B25" s="1"/>
      <c r="C25" s="1"/>
      <c r="D25" s="1" t="s">
        <v>252</v>
      </c>
      <c r="E25" s="181">
        <f>Y19</f>
        <v>114500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S25" s="317"/>
      <c r="T25" s="65" t="s">
        <v>107</v>
      </c>
      <c r="U25" s="118"/>
      <c r="V25" s="16">
        <v>750000</v>
      </c>
      <c r="W25" s="50" t="s">
        <v>170</v>
      </c>
      <c r="X25" s="174"/>
      <c r="Y25" s="195">
        <f>V25</f>
        <v>750000</v>
      </c>
      <c r="AA25" s="1"/>
      <c r="AC25" s="1" t="s">
        <v>30</v>
      </c>
      <c r="AD25" s="1"/>
      <c r="AE25" s="16">
        <f>V32</f>
        <v>150000</v>
      </c>
      <c r="AK25" s="1"/>
    </row>
    <row r="26" spans="1:37" x14ac:dyDescent="0.3">
      <c r="A26" s="1"/>
      <c r="B26" s="1"/>
      <c r="C26" s="1"/>
      <c r="D26" s="1" t="s">
        <v>17</v>
      </c>
      <c r="E26" s="181">
        <f>V19</f>
        <v>246500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S26" s="317"/>
      <c r="T26" s="65" t="s">
        <v>44</v>
      </c>
      <c r="U26" s="118"/>
      <c r="V26" s="16">
        <v>810000</v>
      </c>
      <c r="W26" s="50" t="s">
        <v>170</v>
      </c>
      <c r="X26" s="174"/>
      <c r="Y26" s="195">
        <f>V26</f>
        <v>810000</v>
      </c>
      <c r="AA26" s="1"/>
      <c r="AC26" s="1" t="s">
        <v>200</v>
      </c>
      <c r="AD26" s="1"/>
      <c r="AE26" s="16">
        <f>V23</f>
        <v>600000</v>
      </c>
      <c r="AK26" s="1"/>
    </row>
    <row r="27" spans="1:37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S27" s="317"/>
      <c r="T27" s="65" t="s">
        <v>108</v>
      </c>
      <c r="U27" s="305">
        <v>165</v>
      </c>
      <c r="V27" s="16">
        <v>230000</v>
      </c>
      <c r="W27" s="50" t="s">
        <v>170</v>
      </c>
      <c r="X27" s="174"/>
      <c r="Y27" s="195">
        <v>480000</v>
      </c>
      <c r="AA27" s="1"/>
      <c r="AC27" s="1" t="s">
        <v>178</v>
      </c>
      <c r="AD27" s="1"/>
      <c r="AE27" s="16">
        <f>V24</f>
        <v>430000</v>
      </c>
      <c r="AK27" s="1"/>
    </row>
    <row r="28" spans="1:37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S28" s="318"/>
      <c r="T28" s="65" t="s">
        <v>27</v>
      </c>
      <c r="U28" s="119"/>
      <c r="V28" s="16">
        <v>810000</v>
      </c>
      <c r="W28" s="50" t="s">
        <v>170</v>
      </c>
      <c r="X28" s="174"/>
      <c r="Y28" s="195">
        <f>V28</f>
        <v>810000</v>
      </c>
      <c r="AA28" s="1"/>
      <c r="AC28" s="1" t="s">
        <v>177</v>
      </c>
      <c r="AE28" s="16">
        <f>W24</f>
        <v>430000</v>
      </c>
      <c r="AK28" s="1"/>
    </row>
    <row r="29" spans="1:37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S29" s="109" t="s">
        <v>28</v>
      </c>
      <c r="T29" s="110"/>
      <c r="U29" s="116"/>
      <c r="V29" s="111">
        <f t="shared" ref="V29:Y29" si="0">SUM(V23:V28)</f>
        <v>3630000</v>
      </c>
      <c r="W29" s="111">
        <f t="shared" si="0"/>
        <v>430000</v>
      </c>
      <c r="X29" s="116"/>
      <c r="Y29" s="197">
        <f t="shared" si="0"/>
        <v>4510000</v>
      </c>
      <c r="AA29" s="1"/>
      <c r="AC29" s="1" t="s">
        <v>107</v>
      </c>
      <c r="AD29" s="1"/>
      <c r="AE29" s="16">
        <f>V25</f>
        <v>750000</v>
      </c>
      <c r="AK29" s="1"/>
    </row>
    <row r="30" spans="1:37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S30" s="316" t="s">
        <v>254</v>
      </c>
      <c r="T30" s="65" t="s">
        <v>154</v>
      </c>
      <c r="U30" s="117"/>
      <c r="V30" s="16">
        <v>1000000</v>
      </c>
      <c r="W30" s="50" t="s">
        <v>170</v>
      </c>
      <c r="X30" s="174"/>
      <c r="Y30" s="195">
        <f>V30</f>
        <v>1000000</v>
      </c>
      <c r="AA30" s="1"/>
      <c r="AC30" s="1" t="s">
        <v>44</v>
      </c>
      <c r="AD30" s="1"/>
      <c r="AE30" s="16">
        <f>V26</f>
        <v>810000</v>
      </c>
      <c r="AK30" s="1"/>
    </row>
    <row r="31" spans="1:37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S31" s="317"/>
      <c r="T31" s="65" t="s">
        <v>155</v>
      </c>
      <c r="U31" s="118"/>
      <c r="V31" s="16">
        <v>1170000</v>
      </c>
      <c r="W31" s="50" t="s">
        <v>170</v>
      </c>
      <c r="X31" s="174"/>
      <c r="Y31" s="195">
        <f>V31</f>
        <v>1170000</v>
      </c>
      <c r="AA31" s="1"/>
      <c r="AC31" s="1" t="s">
        <v>108</v>
      </c>
      <c r="AD31" s="1"/>
      <c r="AE31" s="16">
        <f>V27</f>
        <v>230000</v>
      </c>
      <c r="AK31" s="1"/>
    </row>
    <row r="32" spans="1:37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S32" s="318"/>
      <c r="T32" s="65" t="s">
        <v>156</v>
      </c>
      <c r="U32" s="118"/>
      <c r="V32" s="16">
        <v>150000</v>
      </c>
      <c r="W32" s="50" t="s">
        <v>170</v>
      </c>
      <c r="X32" s="174"/>
      <c r="Y32" s="195">
        <v>250000</v>
      </c>
      <c r="AA32" s="1"/>
      <c r="AC32" s="1" t="s">
        <v>27</v>
      </c>
      <c r="AD32" s="1"/>
      <c r="AE32" s="16">
        <f>V28</f>
        <v>810000</v>
      </c>
      <c r="AK32" s="1"/>
    </row>
    <row r="33" spans="1:37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S33" s="109" t="s">
        <v>28</v>
      </c>
      <c r="T33" s="110"/>
      <c r="U33" s="116"/>
      <c r="V33" s="111">
        <f>SUM(V30:V32)</f>
        <v>2320000</v>
      </c>
      <c r="W33" s="111">
        <f>SUM(W30:W32)</f>
        <v>0</v>
      </c>
      <c r="X33" s="116"/>
      <c r="Y33" s="196">
        <f>SUM(Y30:Y32)</f>
        <v>2420000</v>
      </c>
      <c r="AA33" s="1"/>
      <c r="AB33" s="251">
        <f>V33+V29</f>
        <v>5950000</v>
      </c>
      <c r="AC33" s="181">
        <f>Y33+Y29</f>
        <v>6930000</v>
      </c>
      <c r="AD33" s="1"/>
      <c r="AE33" s="1"/>
      <c r="AF33" s="1"/>
      <c r="AG33" s="1"/>
      <c r="AH33" s="1"/>
      <c r="AK33" s="1"/>
    </row>
    <row r="34" spans="1:37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S34" s="258"/>
      <c r="T34" s="258"/>
      <c r="U34" s="259"/>
      <c r="V34" s="260"/>
      <c r="W34" s="260"/>
      <c r="X34" s="259"/>
      <c r="Y34" s="260"/>
      <c r="AA34" s="1"/>
      <c r="AB34" s="251"/>
      <c r="AC34" s="181"/>
      <c r="AD34" s="1"/>
      <c r="AE34" s="1"/>
      <c r="AF34" s="1"/>
      <c r="AG34" s="1"/>
      <c r="AH34" s="1"/>
      <c r="AK34" s="1"/>
    </row>
    <row r="35" spans="1:37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S35" s="30" t="s">
        <v>45</v>
      </c>
      <c r="T35" s="185"/>
      <c r="U35" s="186" t="s">
        <v>333</v>
      </c>
      <c r="V35" s="31"/>
      <c r="W35" s="187"/>
      <c r="X35" s="31" t="s">
        <v>46</v>
      </c>
      <c r="Y35" s="32"/>
      <c r="AA35" s="1"/>
      <c r="AB35" s="251"/>
      <c r="AC35" s="181"/>
      <c r="AD35" s="1"/>
      <c r="AE35" s="1"/>
      <c r="AF35" s="1"/>
      <c r="AG35" s="1"/>
      <c r="AH35" s="1"/>
      <c r="AK35" s="1"/>
    </row>
    <row r="36" spans="1:37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S36" s="33"/>
      <c r="T36" s="113" t="s">
        <v>47</v>
      </c>
      <c r="U36" s="188" t="s">
        <v>48</v>
      </c>
      <c r="V36" s="171" t="s">
        <v>334</v>
      </c>
      <c r="W36" s="112" t="s">
        <v>167</v>
      </c>
      <c r="X36" s="171" t="s">
        <v>208</v>
      </c>
      <c r="Y36" s="112" t="s">
        <v>167</v>
      </c>
      <c r="AA36" s="1"/>
      <c r="AB36" s="251"/>
      <c r="AC36" s="181"/>
      <c r="AD36" s="1"/>
      <c r="AE36" s="1"/>
      <c r="AF36" s="1"/>
      <c r="AG36" s="1"/>
      <c r="AH36" s="1"/>
      <c r="AK36" s="1"/>
    </row>
    <row r="37" spans="1:37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S37" s="332" t="s">
        <v>49</v>
      </c>
      <c r="T37" s="101" t="s">
        <v>50</v>
      </c>
      <c r="U37" s="189">
        <v>0</v>
      </c>
      <c r="V37" s="115" t="s">
        <v>170</v>
      </c>
      <c r="W37" s="190" t="s">
        <v>170</v>
      </c>
      <c r="X37" s="239">
        <v>0</v>
      </c>
      <c r="Y37" s="190">
        <v>0</v>
      </c>
    </row>
    <row r="38" spans="1:37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S38" s="332"/>
      <c r="T38" s="18" t="s">
        <v>51</v>
      </c>
      <c r="U38" s="191">
        <f>Runs!H54+Runs!J54</f>
        <v>2.1655179781323121E-2</v>
      </c>
      <c r="V38" s="330" t="s">
        <v>100</v>
      </c>
      <c r="W38" s="307" t="s">
        <v>371</v>
      </c>
      <c r="X38" s="237">
        <f>ROUND(U38*U$51,-2)</f>
        <v>300</v>
      </c>
      <c r="Y38" s="319">
        <f>ROUND(Conv!U9,-2)</f>
        <v>81600</v>
      </c>
    </row>
    <row r="39" spans="1:37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S39" s="332"/>
      <c r="T39" s="18" t="s">
        <v>52</v>
      </c>
      <c r="U39" s="191">
        <f>Runs!K54+Runs!Z54</f>
        <v>9.367072825297118E-2</v>
      </c>
      <c r="V39" s="330"/>
      <c r="W39" s="307"/>
      <c r="X39" s="237">
        <f>ROUND(U39*U$51,-2)</f>
        <v>1400</v>
      </c>
      <c r="Y39" s="307"/>
    </row>
    <row r="40" spans="1:37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S40" s="332"/>
      <c r="T40" s="37" t="s">
        <v>53</v>
      </c>
      <c r="U40" s="235">
        <v>0.03</v>
      </c>
      <c r="V40" s="38"/>
      <c r="W40" s="331"/>
      <c r="X40" s="238">
        <f>ROUND(U40*U$51,-2)</f>
        <v>400</v>
      </c>
      <c r="Y40" s="308"/>
      <c r="AB40" t="s">
        <v>344</v>
      </c>
    </row>
    <row r="41" spans="1:37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S41" s="332"/>
      <c r="T41" s="114" t="s">
        <v>0</v>
      </c>
      <c r="U41" s="192">
        <f>SUM(U37:U40)</f>
        <v>0.14532590803429429</v>
      </c>
      <c r="V41" s="108" t="str">
        <f>V38</f>
        <v>5.5-17%</v>
      </c>
      <c r="W41" s="193" t="str">
        <f>W38</f>
        <v>20-60%</v>
      </c>
      <c r="X41" s="240">
        <f>SUM(X37:X40)</f>
        <v>2100</v>
      </c>
      <c r="Y41" s="287">
        <f>Y38</f>
        <v>81600</v>
      </c>
    </row>
    <row r="42" spans="1:37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S42" s="333" t="s">
        <v>1</v>
      </c>
      <c r="T42" s="18" t="s">
        <v>50</v>
      </c>
      <c r="U42" s="189">
        <v>0</v>
      </c>
      <c r="V42" s="219" t="s">
        <v>170</v>
      </c>
      <c r="W42" s="329" t="s">
        <v>256</v>
      </c>
      <c r="X42" s="241">
        <v>0</v>
      </c>
      <c r="Y42" s="252">
        <v>0</v>
      </c>
    </row>
    <row r="43" spans="1:37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S43" s="334"/>
      <c r="T43" s="18" t="s">
        <v>51</v>
      </c>
      <c r="U43" s="191">
        <f>Runs!L54+Runs!Y54</f>
        <v>0.10262678308121709</v>
      </c>
      <c r="V43" s="222" t="s">
        <v>170</v>
      </c>
      <c r="W43" s="307"/>
      <c r="X43" s="237">
        <f>ROUND(U43*U$52,-2)</f>
        <v>4800</v>
      </c>
      <c r="Y43" s="306">
        <f>ROUND(Conv!S18,-2)</f>
        <v>39100</v>
      </c>
      <c r="AB43" t="s">
        <v>345</v>
      </c>
    </row>
    <row r="44" spans="1:37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S44" s="334"/>
      <c r="T44" s="18" t="s">
        <v>52</v>
      </c>
      <c r="U44" s="194">
        <f>U39</f>
        <v>9.367072825297118E-2</v>
      </c>
      <c r="V44" s="222" t="s">
        <v>170</v>
      </c>
      <c r="W44" s="307"/>
      <c r="X44" s="237">
        <f>ROUND(U44*U$52,-2)</f>
        <v>4400</v>
      </c>
      <c r="Y44" s="307"/>
    </row>
    <row r="45" spans="1:37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S45" s="334"/>
      <c r="T45" s="18" t="s">
        <v>53</v>
      </c>
      <c r="U45" s="236">
        <v>0.05</v>
      </c>
      <c r="V45" s="224" t="s">
        <v>170</v>
      </c>
      <c r="W45" s="308"/>
      <c r="X45" s="238">
        <f>ROUND(U45*U$52,-2)</f>
        <v>2400</v>
      </c>
      <c r="Y45" s="308"/>
    </row>
    <row r="46" spans="1:37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S46" s="335"/>
      <c r="T46" s="34" t="s">
        <v>0</v>
      </c>
      <c r="U46" s="192">
        <f>SUM(U43:U45)</f>
        <v>0.24629751133418826</v>
      </c>
      <c r="V46" s="221" t="str">
        <f>V42</f>
        <v>--</v>
      </c>
      <c r="W46" s="223" t="str">
        <f>W42</f>
        <v>~70%</v>
      </c>
      <c r="X46" s="240">
        <f>SUM(X42:X45)</f>
        <v>11600</v>
      </c>
      <c r="Y46" s="287">
        <f>Y43</f>
        <v>39100</v>
      </c>
    </row>
    <row r="47" spans="1:37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S47" s="1"/>
      <c r="T47" s="1"/>
      <c r="U47" s="1"/>
      <c r="V47" s="1"/>
      <c r="W47" s="1"/>
      <c r="X47" s="1"/>
      <c r="Y47" s="1"/>
    </row>
    <row r="48" spans="1:37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S48" s="312" t="s">
        <v>54</v>
      </c>
      <c r="T48" s="313"/>
      <c r="U48" s="261" t="s">
        <v>373</v>
      </c>
      <c r="V48" s="262" t="s">
        <v>55</v>
      </c>
      <c r="W48" s="263"/>
      <c r="X48" s="264"/>
      <c r="Y48" s="1"/>
    </row>
    <row r="49" spans="1:27" ht="1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S49" s="314"/>
      <c r="T49" s="315"/>
      <c r="U49" s="265" t="s">
        <v>374</v>
      </c>
      <c r="V49" s="266" t="s">
        <v>18</v>
      </c>
      <c r="W49" s="266" t="s">
        <v>19</v>
      </c>
      <c r="X49" s="102" t="s">
        <v>20</v>
      </c>
      <c r="Y49" s="1"/>
    </row>
    <row r="50" spans="1:27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S50" s="35" t="s">
        <v>3</v>
      </c>
      <c r="U50" s="296">
        <f>U51+U52</f>
        <v>61900</v>
      </c>
      <c r="V50" s="297">
        <f t="shared" ref="V50:X50" si="1">V51+V52</f>
        <v>73900</v>
      </c>
      <c r="W50" s="297">
        <f t="shared" si="1"/>
        <v>113500</v>
      </c>
      <c r="X50" s="298">
        <f t="shared" si="1"/>
        <v>260000</v>
      </c>
      <c r="Y50" s="1"/>
      <c r="AA50" s="1"/>
    </row>
    <row r="51" spans="1:27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S51" s="18"/>
      <c r="T51" t="s">
        <v>49</v>
      </c>
      <c r="U51" s="299">
        <f>ROUND(Conv!N5,-2)</f>
        <v>14700</v>
      </c>
      <c r="V51" s="300">
        <f>ROUND(Conv!N7,-2)</f>
        <v>22500</v>
      </c>
      <c r="W51" s="300">
        <f>ROUND(Conv!N8,-2)</f>
        <v>59900</v>
      </c>
      <c r="X51" s="301">
        <f>ROUND(Conv!N9,-2)</f>
        <v>204200</v>
      </c>
      <c r="Y51" s="1"/>
      <c r="AA51" s="1"/>
    </row>
    <row r="52" spans="1:27" ht="1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S52" s="18"/>
      <c r="T52" t="s">
        <v>1</v>
      </c>
      <c r="U52" s="299">
        <f>ROUND(Conv!F14,-2)</f>
        <v>47200</v>
      </c>
      <c r="V52" s="300">
        <f>ROUND(Conv!F16,-2)</f>
        <v>51400</v>
      </c>
      <c r="W52" s="300">
        <f>ROUND(Conv!F17,-2)</f>
        <v>53600</v>
      </c>
      <c r="X52" s="301">
        <f>ROUND(Conv!F18,-2)</f>
        <v>55800</v>
      </c>
      <c r="Y52" s="1"/>
      <c r="AA52" s="1"/>
    </row>
    <row r="53" spans="1:27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S53" s="37"/>
      <c r="T53" s="38" t="s">
        <v>56</v>
      </c>
      <c r="U53" s="302">
        <f>U52/U50</f>
        <v>0.76252019386106629</v>
      </c>
      <c r="V53" s="303">
        <f t="shared" ref="V53:X53" si="2">V52/V50</f>
        <v>0.69553450608930989</v>
      </c>
      <c r="W53" s="303">
        <f t="shared" si="2"/>
        <v>0.47224669603524227</v>
      </c>
      <c r="X53" s="304">
        <f t="shared" si="2"/>
        <v>0.21461538461538462</v>
      </c>
      <c r="Y53" s="1"/>
      <c r="AA53" s="1"/>
    </row>
    <row r="54" spans="1:27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S54" s="5" t="s">
        <v>4</v>
      </c>
      <c r="U54" s="296">
        <f>ROUND(Runs!AS54,-2)</f>
        <v>53400</v>
      </c>
      <c r="V54" s="297">
        <f t="shared" ref="V54:X54" si="3">V55+V56</f>
        <v>68600</v>
      </c>
      <c r="W54" s="297">
        <f t="shared" si="3"/>
        <v>100200</v>
      </c>
      <c r="X54" s="298">
        <f t="shared" si="3"/>
        <v>228600</v>
      </c>
      <c r="Y54" s="1"/>
      <c r="AA54" s="1"/>
    </row>
    <row r="55" spans="1:27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S55" s="18"/>
      <c r="T55" t="s">
        <v>49</v>
      </c>
      <c r="U55" s="299">
        <f>ROUND(Conv!K5,-2)</f>
        <v>14400</v>
      </c>
      <c r="V55" s="300">
        <f>ROUND(Conv!K7,-2)</f>
        <v>22000</v>
      </c>
      <c r="W55" s="300">
        <f>ROUND(Conv!K8,-2)</f>
        <v>57500</v>
      </c>
      <c r="X55" s="301">
        <f>ROUND(Conv!K9,-2)</f>
        <v>192200</v>
      </c>
      <c r="Y55" s="1"/>
      <c r="AA55" s="1"/>
    </row>
    <row r="56" spans="1:27" ht="1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S56" s="18"/>
      <c r="T56" t="s">
        <v>1</v>
      </c>
      <c r="U56" s="299">
        <f>ROUND(Conv!I14,-2)</f>
        <v>42800</v>
      </c>
      <c r="V56" s="300">
        <f>ROUND(Conv!I16,-2)</f>
        <v>46600</v>
      </c>
      <c r="W56" s="300">
        <f>ROUND(Conv!I17,-2)</f>
        <v>42700</v>
      </c>
      <c r="X56" s="301">
        <f>ROUND(Conv!I18,-2)</f>
        <v>36400</v>
      </c>
      <c r="Y56" s="1"/>
      <c r="AA56" s="1"/>
    </row>
    <row r="57" spans="1:27" ht="1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S57" s="37"/>
      <c r="T57" s="38" t="s">
        <v>56</v>
      </c>
      <c r="U57" s="302">
        <f t="shared" ref="U57:X57" si="4">U56/U54</f>
        <v>0.80149812734082393</v>
      </c>
      <c r="V57" s="303">
        <f t="shared" si="4"/>
        <v>0.67930029154518945</v>
      </c>
      <c r="W57" s="303">
        <f t="shared" si="4"/>
        <v>0.42614770459081835</v>
      </c>
      <c r="X57" s="304">
        <f t="shared" si="4"/>
        <v>0.15923009623797024</v>
      </c>
      <c r="Y57" s="1"/>
      <c r="AA57" s="1"/>
    </row>
    <row r="58" spans="1:27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S58" s="2" t="s">
        <v>174</v>
      </c>
      <c r="T58" s="20"/>
      <c r="U58" s="296">
        <f t="shared" ref="U58:X58" si="5">U59+U60</f>
        <v>45400</v>
      </c>
      <c r="V58" s="297">
        <f t="shared" si="5"/>
        <v>54600</v>
      </c>
      <c r="W58" s="297">
        <f t="shared" si="5"/>
        <v>67100</v>
      </c>
      <c r="X58" s="298">
        <f t="shared" si="5"/>
        <v>130200</v>
      </c>
      <c r="Y58" s="1"/>
      <c r="AA58" s="1"/>
    </row>
    <row r="59" spans="1:27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S59" s="18"/>
      <c r="T59" t="s">
        <v>49</v>
      </c>
      <c r="U59" s="299">
        <f>U19</f>
        <v>11600</v>
      </c>
      <c r="V59" s="300">
        <f>ROUND(Conv!D7,-2)</f>
        <v>17800</v>
      </c>
      <c r="W59" s="300">
        <f>ROUND(Conv!D8,-2)</f>
        <v>40400</v>
      </c>
      <c r="X59" s="301">
        <f>ROUND(Conv!D9,-2)</f>
        <v>114500</v>
      </c>
      <c r="Y59" s="1"/>
      <c r="AA59" s="1"/>
    </row>
    <row r="60" spans="1:27" ht="1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S60" s="18"/>
      <c r="T60" t="s">
        <v>1</v>
      </c>
      <c r="U60" s="299">
        <f>ROUND(Conv!P14,-2)</f>
        <v>33800</v>
      </c>
      <c r="V60" s="300">
        <f>ROUND(Conv!P16,-2)</f>
        <v>36800</v>
      </c>
      <c r="W60" s="300">
        <f>ROUND(Conv!P17,-2)</f>
        <v>26700</v>
      </c>
      <c r="X60" s="301">
        <f>ROUND(Conv!P18,-2)</f>
        <v>15700</v>
      </c>
      <c r="Y60" s="1"/>
      <c r="AA60" s="1"/>
    </row>
    <row r="61" spans="1:27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S61" s="37"/>
      <c r="T61" s="38" t="s">
        <v>56</v>
      </c>
      <c r="U61" s="302">
        <f t="shared" ref="U61:X61" si="6">U60/U58</f>
        <v>0.74449339207048459</v>
      </c>
      <c r="V61" s="303">
        <f t="shared" si="6"/>
        <v>0.67399267399267404</v>
      </c>
      <c r="W61" s="303">
        <f t="shared" si="6"/>
        <v>0.3979135618479881</v>
      </c>
      <c r="X61" s="304">
        <f t="shared" si="6"/>
        <v>0.1205837173579109</v>
      </c>
      <c r="Y61" s="1"/>
      <c r="AA61" s="1"/>
    </row>
    <row r="62" spans="1:27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S62" s="2" t="s">
        <v>372</v>
      </c>
      <c r="T62" s="20"/>
      <c r="U62" s="296">
        <f t="shared" ref="U62:X62" si="7">U63+U64</f>
        <v>13600</v>
      </c>
      <c r="V62" s="297">
        <f t="shared" si="7"/>
        <v>16100</v>
      </c>
      <c r="W62" s="297">
        <f t="shared" si="7"/>
        <v>42000</v>
      </c>
      <c r="X62" s="298">
        <f t="shared" si="7"/>
        <v>120700</v>
      </c>
      <c r="Y62" s="1"/>
      <c r="AA62" s="1"/>
    </row>
    <row r="63" spans="1:27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S63" s="18"/>
      <c r="T63" t="s">
        <v>49</v>
      </c>
      <c r="U63" s="299">
        <f>X41</f>
        <v>2100</v>
      </c>
      <c r="V63" s="300">
        <f>ROUND(Conv!U7,-2)</f>
        <v>3600</v>
      </c>
      <c r="W63" s="300">
        <f>ROUND(Conv!U8,-2)</f>
        <v>16700</v>
      </c>
      <c r="X63" s="301">
        <f>ROUND(Conv!U9,-2)</f>
        <v>81600</v>
      </c>
      <c r="Y63" s="1"/>
      <c r="AA63" s="1"/>
    </row>
    <row r="64" spans="1:27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S64" s="18"/>
      <c r="T64" t="s">
        <v>1</v>
      </c>
      <c r="U64" s="299">
        <f>ROUND(Conv!S14,-2)</f>
        <v>11500</v>
      </c>
      <c r="V64" s="300">
        <f>ROUND(Conv!S16,-2)</f>
        <v>12500</v>
      </c>
      <c r="W64" s="300">
        <f>ROUND(Conv!S17,-2)</f>
        <v>25300</v>
      </c>
      <c r="X64" s="301">
        <f>ROUND(Conv!S18,-2)</f>
        <v>39100</v>
      </c>
      <c r="Y64" s="1"/>
      <c r="AA64" s="1"/>
    </row>
    <row r="65" spans="1:27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S65" s="37"/>
      <c r="T65" s="38" t="s">
        <v>56</v>
      </c>
      <c r="U65" s="302">
        <f t="shared" ref="U65:X65" si="8">U64/U62</f>
        <v>0.84558823529411764</v>
      </c>
      <c r="V65" s="303">
        <f t="shared" si="8"/>
        <v>0.77639751552795033</v>
      </c>
      <c r="W65" s="303">
        <f t="shared" si="8"/>
        <v>0.60238095238095235</v>
      </c>
      <c r="X65" s="304">
        <f t="shared" si="8"/>
        <v>0.323943661971831</v>
      </c>
      <c r="Y65" s="1"/>
      <c r="AA65" s="1"/>
    </row>
    <row r="66" spans="1:27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S66" s="1"/>
      <c r="T66" s="1"/>
      <c r="U66" s="295"/>
      <c r="V66" s="295"/>
      <c r="W66" s="295"/>
      <c r="X66" s="295"/>
      <c r="Y66" s="1"/>
      <c r="AA66" s="1"/>
    </row>
    <row r="67" spans="1:27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U67" s="294"/>
      <c r="V67" s="294"/>
      <c r="W67" s="294"/>
      <c r="X67" s="294"/>
      <c r="Y67" s="1"/>
      <c r="AA67" s="1"/>
    </row>
    <row r="68" spans="1:27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AA68" s="1"/>
    </row>
    <row r="69" spans="1:27" s="291" customFormat="1" ht="18" x14ac:dyDescent="0.35">
      <c r="A69" s="288"/>
      <c r="B69" s="288"/>
      <c r="C69" s="288"/>
      <c r="D69" s="289" t="s">
        <v>28</v>
      </c>
      <c r="E69" s="290">
        <f>U41</f>
        <v>0.14532590803429429</v>
      </c>
      <c r="F69" s="288"/>
      <c r="G69" s="288"/>
      <c r="H69" s="288"/>
      <c r="I69" s="292" t="s">
        <v>0</v>
      </c>
      <c r="J69" s="293" t="s">
        <v>179</v>
      </c>
      <c r="K69" s="309">
        <f>V29</f>
        <v>3630000</v>
      </c>
      <c r="L69" s="310"/>
      <c r="M69" s="293" t="s">
        <v>180</v>
      </c>
      <c r="N69" s="309">
        <f>W29</f>
        <v>430000</v>
      </c>
      <c r="O69" s="311"/>
      <c r="P69" s="288"/>
      <c r="Q69" s="288"/>
      <c r="R69" s="288"/>
      <c r="Z69" s="288"/>
      <c r="AA69" s="288"/>
    </row>
    <row r="70" spans="1:27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AA70" s="1"/>
    </row>
    <row r="71" spans="1:27" x14ac:dyDescent="0.3">
      <c r="A71" s="1"/>
      <c r="S71" s="1"/>
      <c r="T71" s="1"/>
      <c r="U71" s="1"/>
      <c r="V71" s="1"/>
      <c r="W71" s="1"/>
      <c r="X71" s="1"/>
      <c r="Y71" s="1"/>
    </row>
    <row r="72" spans="1:27" x14ac:dyDescent="0.3">
      <c r="A72" s="1"/>
    </row>
    <row r="73" spans="1:27" x14ac:dyDescent="0.3">
      <c r="A73" s="1"/>
    </row>
    <row r="74" spans="1:27" x14ac:dyDescent="0.3">
      <c r="A74" s="1"/>
    </row>
    <row r="75" spans="1:27" x14ac:dyDescent="0.3">
      <c r="A75" s="1"/>
    </row>
    <row r="76" spans="1:27" x14ac:dyDescent="0.3">
      <c r="A76" s="1"/>
    </row>
    <row r="77" spans="1:27" x14ac:dyDescent="0.3">
      <c r="A77" s="1"/>
    </row>
    <row r="78" spans="1:27" x14ac:dyDescent="0.3">
      <c r="A78" s="1"/>
    </row>
    <row r="79" spans="1:27" x14ac:dyDescent="0.3">
      <c r="A79" s="1"/>
    </row>
  </sheetData>
  <customSheetViews>
    <customSheetView guid="{3A7DA3C1-0173-4B47-BB0F-573706FF66D2}" scale="80">
      <selection activeCell="AF44" sqref="AF44"/>
      <pageMargins left="0.7" right="0.7" top="0.75" bottom="0.75" header="0.3" footer="0.3"/>
    </customSheetView>
  </customSheetViews>
  <mergeCells count="18">
    <mergeCell ref="S23:S28"/>
    <mergeCell ref="W42:W45"/>
    <mergeCell ref="V38:V39"/>
    <mergeCell ref="W38:W40"/>
    <mergeCell ref="S37:S41"/>
    <mergeCell ref="S42:S46"/>
    <mergeCell ref="U7:U8"/>
    <mergeCell ref="U13:U16"/>
    <mergeCell ref="S5:S8"/>
    <mergeCell ref="S9:S11"/>
    <mergeCell ref="S17:S18"/>
    <mergeCell ref="S12:S16"/>
    <mergeCell ref="Y43:Y45"/>
    <mergeCell ref="K69:L69"/>
    <mergeCell ref="N69:O69"/>
    <mergeCell ref="S48:T49"/>
    <mergeCell ref="S30:S32"/>
    <mergeCell ref="Y38:Y4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0FF0D-2E37-45E6-80F7-690E83BCDF99}">
  <dimension ref="A1:O71"/>
  <sheetViews>
    <sheetView workbookViewId="0">
      <pane ySplit="1" topLeftCell="A2" activePane="bottomLeft" state="frozen"/>
      <selection pane="bottomLeft" activeCell="I26" sqref="I26"/>
    </sheetView>
  </sheetViews>
  <sheetFormatPr defaultRowHeight="14.4" x14ac:dyDescent="0.3"/>
  <cols>
    <col min="1" max="1" width="2.6640625" customWidth="1"/>
    <col min="2" max="2" width="31" customWidth="1"/>
    <col min="3" max="3" width="19.21875" customWidth="1"/>
    <col min="4" max="4" width="20.109375" customWidth="1"/>
    <col min="7" max="7" width="29.77734375" customWidth="1"/>
    <col min="9" max="9" width="29.44140625" customWidth="1"/>
    <col min="10" max="10" width="14.77734375" customWidth="1"/>
    <col min="11" max="11" width="19.33203125" style="12" customWidth="1"/>
    <col min="12" max="12" width="24.88671875" customWidth="1"/>
    <col min="13" max="13" width="31.77734375" customWidth="1"/>
    <col min="14" max="14" width="35" customWidth="1"/>
  </cols>
  <sheetData>
    <row r="1" spans="1:15" x14ac:dyDescent="0.3">
      <c r="A1" s="212"/>
      <c r="B1" s="212" t="s">
        <v>284</v>
      </c>
      <c r="C1" s="212" t="s">
        <v>285</v>
      </c>
      <c r="D1" s="212" t="s">
        <v>286</v>
      </c>
      <c r="E1" s="212" t="s">
        <v>287</v>
      </c>
      <c r="F1" s="213" t="s">
        <v>288</v>
      </c>
      <c r="G1" s="213" t="s">
        <v>289</v>
      </c>
      <c r="H1" s="213" t="s">
        <v>290</v>
      </c>
      <c r="I1" s="212" t="s">
        <v>291</v>
      </c>
      <c r="J1" s="213" t="s">
        <v>292</v>
      </c>
      <c r="K1" s="213" t="s">
        <v>293</v>
      </c>
      <c r="L1" s="212" t="s">
        <v>294</v>
      </c>
      <c r="M1" s="212" t="s">
        <v>295</v>
      </c>
      <c r="N1" s="212" t="s">
        <v>296</v>
      </c>
    </row>
    <row r="2" spans="1:15" x14ac:dyDescent="0.3">
      <c r="B2" t="s">
        <v>297</v>
      </c>
      <c r="C2" t="s">
        <v>12</v>
      </c>
      <c r="D2" t="s">
        <v>21</v>
      </c>
      <c r="E2" t="s">
        <v>208</v>
      </c>
      <c r="F2" s="16">
        <f>Summary!U5</f>
        <v>500</v>
      </c>
      <c r="G2" t="s">
        <v>298</v>
      </c>
      <c r="H2" t="s">
        <v>212</v>
      </c>
      <c r="I2" t="s">
        <v>353</v>
      </c>
      <c r="J2" t="s">
        <v>358</v>
      </c>
      <c r="K2" t="s">
        <v>299</v>
      </c>
      <c r="L2" t="s">
        <v>352</v>
      </c>
      <c r="N2" t="s">
        <v>348</v>
      </c>
    </row>
    <row r="3" spans="1:15" x14ac:dyDescent="0.3">
      <c r="B3" t="s">
        <v>297</v>
      </c>
      <c r="C3" t="s">
        <v>12</v>
      </c>
      <c r="D3" t="s">
        <v>158</v>
      </c>
      <c r="E3" t="s">
        <v>208</v>
      </c>
      <c r="F3" s="16">
        <f>Summary!U6</f>
        <v>1000</v>
      </c>
      <c r="G3" t="s">
        <v>298</v>
      </c>
      <c r="H3" t="s">
        <v>212</v>
      </c>
      <c r="I3" t="s">
        <v>350</v>
      </c>
      <c r="K3" t="s">
        <v>299</v>
      </c>
      <c r="N3" t="s">
        <v>357</v>
      </c>
    </row>
    <row r="4" spans="1:15" x14ac:dyDescent="0.3">
      <c r="B4" t="s">
        <v>297</v>
      </c>
      <c r="C4" t="s">
        <v>12</v>
      </c>
      <c r="D4" t="s">
        <v>32</v>
      </c>
      <c r="E4" t="s">
        <v>208</v>
      </c>
      <c r="F4" s="16">
        <f>Summary!U7</f>
        <v>100</v>
      </c>
      <c r="G4" t="s">
        <v>298</v>
      </c>
      <c r="H4" t="s">
        <v>212</v>
      </c>
      <c r="I4" t="s">
        <v>354</v>
      </c>
      <c r="K4" t="s">
        <v>299</v>
      </c>
      <c r="N4" t="s">
        <v>356</v>
      </c>
    </row>
    <row r="5" spans="1:15" x14ac:dyDescent="0.3">
      <c r="B5" t="s">
        <v>297</v>
      </c>
      <c r="C5" t="s">
        <v>12</v>
      </c>
      <c r="D5" t="s">
        <v>159</v>
      </c>
      <c r="E5" t="s">
        <v>208</v>
      </c>
      <c r="F5" s="16"/>
      <c r="G5" t="s">
        <v>298</v>
      </c>
      <c r="H5" t="s">
        <v>212</v>
      </c>
      <c r="K5" t="s">
        <v>299</v>
      </c>
    </row>
    <row r="6" spans="1:15" x14ac:dyDescent="0.3">
      <c r="B6" t="s">
        <v>297</v>
      </c>
      <c r="C6" t="s">
        <v>12</v>
      </c>
      <c r="D6" t="s">
        <v>310</v>
      </c>
      <c r="E6" t="s">
        <v>208</v>
      </c>
      <c r="F6" s="16">
        <f>Summary!U9</f>
        <v>1400</v>
      </c>
      <c r="G6" t="s">
        <v>298</v>
      </c>
      <c r="H6" t="s">
        <v>212</v>
      </c>
      <c r="I6" t="s">
        <v>350</v>
      </c>
      <c r="J6" s="50" t="s">
        <v>349</v>
      </c>
      <c r="K6" t="s">
        <v>299</v>
      </c>
      <c r="L6" t="s">
        <v>359</v>
      </c>
    </row>
    <row r="7" spans="1:15" x14ac:dyDescent="0.3">
      <c r="B7" t="s">
        <v>297</v>
      </c>
      <c r="C7" t="s">
        <v>12</v>
      </c>
      <c r="D7" t="s">
        <v>311</v>
      </c>
      <c r="E7" t="s">
        <v>208</v>
      </c>
      <c r="F7" s="16">
        <f>Summary!U10</f>
        <v>1400</v>
      </c>
      <c r="G7" t="s">
        <v>298</v>
      </c>
      <c r="H7" t="s">
        <v>212</v>
      </c>
      <c r="I7" t="s">
        <v>350</v>
      </c>
      <c r="J7" s="50" t="s">
        <v>349</v>
      </c>
      <c r="K7" t="s">
        <v>299</v>
      </c>
      <c r="L7" t="s">
        <v>359</v>
      </c>
    </row>
    <row r="8" spans="1:15" x14ac:dyDescent="0.3">
      <c r="B8" t="s">
        <v>297</v>
      </c>
      <c r="C8" t="s">
        <v>12</v>
      </c>
      <c r="D8" t="s">
        <v>312</v>
      </c>
      <c r="E8" t="s">
        <v>208</v>
      </c>
      <c r="F8" s="16">
        <f>Summary!U11</f>
        <v>700</v>
      </c>
      <c r="G8" t="s">
        <v>298</v>
      </c>
      <c r="H8" t="s">
        <v>212</v>
      </c>
      <c r="I8" t="s">
        <v>350</v>
      </c>
      <c r="J8" s="50" t="s">
        <v>349</v>
      </c>
      <c r="K8" t="s">
        <v>299</v>
      </c>
      <c r="L8" t="s">
        <v>359</v>
      </c>
    </row>
    <row r="9" spans="1:15" x14ac:dyDescent="0.3">
      <c r="B9" t="s">
        <v>297</v>
      </c>
      <c r="C9" t="s">
        <v>12</v>
      </c>
      <c r="D9" t="s">
        <v>26</v>
      </c>
      <c r="E9" t="s">
        <v>208</v>
      </c>
      <c r="F9" s="16">
        <f>Summary!U12</f>
        <v>300</v>
      </c>
      <c r="G9" t="s">
        <v>298</v>
      </c>
      <c r="H9" t="s">
        <v>212</v>
      </c>
      <c r="I9" t="s">
        <v>351</v>
      </c>
      <c r="K9" t="s">
        <v>299</v>
      </c>
    </row>
    <row r="10" spans="1:15" x14ac:dyDescent="0.3">
      <c r="B10" t="s">
        <v>297</v>
      </c>
      <c r="C10" t="s">
        <v>12</v>
      </c>
      <c r="D10" t="s">
        <v>188</v>
      </c>
      <c r="E10" t="s">
        <v>208</v>
      </c>
      <c r="F10" s="16">
        <f>Summary!U13</f>
        <v>200</v>
      </c>
      <c r="G10" t="s">
        <v>298</v>
      </c>
      <c r="H10" t="s">
        <v>212</v>
      </c>
      <c r="I10" t="s">
        <v>350</v>
      </c>
      <c r="K10" t="s">
        <v>299</v>
      </c>
      <c r="L10" t="s">
        <v>360</v>
      </c>
      <c r="N10" t="s">
        <v>355</v>
      </c>
      <c r="O10" t="s">
        <v>343</v>
      </c>
    </row>
    <row r="11" spans="1:15" x14ac:dyDescent="0.3">
      <c r="B11" t="s">
        <v>297</v>
      </c>
      <c r="C11" t="s">
        <v>12</v>
      </c>
      <c r="D11" t="s">
        <v>189</v>
      </c>
      <c r="E11" t="s">
        <v>208</v>
      </c>
      <c r="F11" s="16"/>
      <c r="G11" t="s">
        <v>298</v>
      </c>
      <c r="H11" t="s">
        <v>212</v>
      </c>
      <c r="K11" t="s">
        <v>299</v>
      </c>
    </row>
    <row r="12" spans="1:15" x14ac:dyDescent="0.3">
      <c r="B12" t="s">
        <v>297</v>
      </c>
      <c r="C12" t="s">
        <v>12</v>
      </c>
      <c r="D12" t="s">
        <v>187</v>
      </c>
      <c r="E12" t="s">
        <v>208</v>
      </c>
      <c r="F12" s="16"/>
      <c r="G12" t="s">
        <v>298</v>
      </c>
      <c r="H12" t="s">
        <v>212</v>
      </c>
      <c r="K12" t="s">
        <v>299</v>
      </c>
    </row>
    <row r="13" spans="1:15" x14ac:dyDescent="0.3">
      <c r="B13" t="s">
        <v>297</v>
      </c>
      <c r="C13" t="s">
        <v>12</v>
      </c>
      <c r="D13" t="s">
        <v>185</v>
      </c>
      <c r="E13" t="s">
        <v>208</v>
      </c>
      <c r="F13" s="16"/>
      <c r="G13" t="s">
        <v>298</v>
      </c>
      <c r="H13" t="s">
        <v>212</v>
      </c>
      <c r="K13" t="s">
        <v>299</v>
      </c>
    </row>
    <row r="14" spans="1:15" x14ac:dyDescent="0.3">
      <c r="B14" t="s">
        <v>297</v>
      </c>
      <c r="C14" t="s">
        <v>12</v>
      </c>
      <c r="D14" t="s">
        <v>321</v>
      </c>
      <c r="E14" t="s">
        <v>208</v>
      </c>
      <c r="F14" s="16">
        <f>Summary!U17</f>
        <v>4000</v>
      </c>
      <c r="G14" t="s">
        <v>298</v>
      </c>
      <c r="H14" t="s">
        <v>212</v>
      </c>
      <c r="I14" t="s">
        <v>350</v>
      </c>
      <c r="K14" t="s">
        <v>299</v>
      </c>
      <c r="L14" s="228"/>
      <c r="N14" t="s">
        <v>339</v>
      </c>
    </row>
    <row r="15" spans="1:15" s="38" customFormat="1" x14ac:dyDescent="0.3">
      <c r="B15" s="38" t="s">
        <v>297</v>
      </c>
      <c r="C15" s="38" t="s">
        <v>12</v>
      </c>
      <c r="D15" s="38" t="s">
        <v>33</v>
      </c>
      <c r="E15" s="38" t="s">
        <v>208</v>
      </c>
      <c r="F15" s="19">
        <f>Summary!U18</f>
        <v>2000</v>
      </c>
      <c r="G15" s="38" t="s">
        <v>298</v>
      </c>
      <c r="H15" s="38" t="s">
        <v>212</v>
      </c>
      <c r="I15" s="38" t="s">
        <v>350</v>
      </c>
      <c r="K15" s="38" t="s">
        <v>299</v>
      </c>
      <c r="L15" s="243"/>
      <c r="N15" s="38" t="s">
        <v>339</v>
      </c>
    </row>
    <row r="16" spans="1:15" x14ac:dyDescent="0.3">
      <c r="B16" t="s">
        <v>297</v>
      </c>
      <c r="C16" t="s">
        <v>12</v>
      </c>
      <c r="D16" t="s">
        <v>21</v>
      </c>
      <c r="E16" t="s">
        <v>17</v>
      </c>
      <c r="F16" s="16">
        <f>Summary!V5</f>
        <v>2500</v>
      </c>
      <c r="G16" t="s">
        <v>298</v>
      </c>
      <c r="H16" t="s">
        <v>212</v>
      </c>
      <c r="K16" t="s">
        <v>299</v>
      </c>
      <c r="L16" t="s">
        <v>364</v>
      </c>
      <c r="M16" s="215" t="s">
        <v>365</v>
      </c>
      <c r="N16" t="s">
        <v>300</v>
      </c>
    </row>
    <row r="17" spans="2:14" x14ac:dyDescent="0.3">
      <c r="B17" t="s">
        <v>297</v>
      </c>
      <c r="C17" t="s">
        <v>12</v>
      </c>
      <c r="D17" t="s">
        <v>158</v>
      </c>
      <c r="E17" t="s">
        <v>17</v>
      </c>
      <c r="F17" s="16">
        <f>Summary!V6</f>
        <v>5700</v>
      </c>
      <c r="G17" t="s">
        <v>298</v>
      </c>
      <c r="H17" t="s">
        <v>212</v>
      </c>
      <c r="I17" t="s">
        <v>361</v>
      </c>
      <c r="K17" t="s">
        <v>299</v>
      </c>
      <c r="L17" t="s">
        <v>316</v>
      </c>
      <c r="M17" s="215" t="s">
        <v>315</v>
      </c>
    </row>
    <row r="18" spans="2:14" x14ac:dyDescent="0.3">
      <c r="B18" t="s">
        <v>297</v>
      </c>
      <c r="C18" t="s">
        <v>12</v>
      </c>
      <c r="D18" t="s">
        <v>32</v>
      </c>
      <c r="E18" t="s">
        <v>17</v>
      </c>
      <c r="F18" s="16">
        <f>Summary!V7</f>
        <v>1300</v>
      </c>
      <c r="G18" t="s">
        <v>298</v>
      </c>
      <c r="H18" t="s">
        <v>212</v>
      </c>
      <c r="I18" t="s">
        <v>361</v>
      </c>
      <c r="K18" t="s">
        <v>299</v>
      </c>
      <c r="L18" t="s">
        <v>316</v>
      </c>
      <c r="M18" s="215" t="s">
        <v>315</v>
      </c>
    </row>
    <row r="19" spans="2:14" x14ac:dyDescent="0.3">
      <c r="B19" t="s">
        <v>297</v>
      </c>
      <c r="C19" t="s">
        <v>12</v>
      </c>
      <c r="D19" t="s">
        <v>159</v>
      </c>
      <c r="E19" t="s">
        <v>17</v>
      </c>
      <c r="F19" s="16">
        <f>Summary!V8</f>
        <v>3800</v>
      </c>
      <c r="G19" t="s">
        <v>298</v>
      </c>
      <c r="H19" t="s">
        <v>212</v>
      </c>
      <c r="I19" t="s">
        <v>361</v>
      </c>
      <c r="K19" t="s">
        <v>299</v>
      </c>
      <c r="L19" t="s">
        <v>316</v>
      </c>
      <c r="M19" s="215" t="s">
        <v>315</v>
      </c>
    </row>
    <row r="20" spans="2:14" x14ac:dyDescent="0.3">
      <c r="B20" t="s">
        <v>297</v>
      </c>
      <c r="C20" t="s">
        <v>12</v>
      </c>
      <c r="D20" t="s">
        <v>310</v>
      </c>
      <c r="E20" t="s">
        <v>17</v>
      </c>
      <c r="F20" s="16">
        <f>Summary!V9</f>
        <v>1800</v>
      </c>
      <c r="G20" t="s">
        <v>298</v>
      </c>
      <c r="H20" t="s">
        <v>212</v>
      </c>
      <c r="I20" t="s">
        <v>361</v>
      </c>
      <c r="K20" t="s">
        <v>299</v>
      </c>
      <c r="L20" t="s">
        <v>362</v>
      </c>
      <c r="M20" s="215" t="s">
        <v>363</v>
      </c>
    </row>
    <row r="21" spans="2:14" x14ac:dyDescent="0.3">
      <c r="B21" t="s">
        <v>297</v>
      </c>
      <c r="C21" t="s">
        <v>12</v>
      </c>
      <c r="D21" t="s">
        <v>311</v>
      </c>
      <c r="E21" t="s">
        <v>17</v>
      </c>
      <c r="F21" s="16">
        <f>Summary!V10</f>
        <v>7300</v>
      </c>
      <c r="G21" t="s">
        <v>298</v>
      </c>
      <c r="H21" t="s">
        <v>212</v>
      </c>
      <c r="I21" t="s">
        <v>361</v>
      </c>
      <c r="K21" t="s">
        <v>299</v>
      </c>
      <c r="L21" t="s">
        <v>362</v>
      </c>
      <c r="M21" s="215" t="s">
        <v>363</v>
      </c>
    </row>
    <row r="22" spans="2:14" x14ac:dyDescent="0.3">
      <c r="B22" t="s">
        <v>297</v>
      </c>
      <c r="C22" t="s">
        <v>12</v>
      </c>
      <c r="D22" t="s">
        <v>312</v>
      </c>
      <c r="E22" t="s">
        <v>17</v>
      </c>
      <c r="F22" s="16">
        <f>Summary!V11</f>
        <v>2200</v>
      </c>
      <c r="G22" t="s">
        <v>298</v>
      </c>
      <c r="H22" t="s">
        <v>212</v>
      </c>
      <c r="I22" t="s">
        <v>361</v>
      </c>
      <c r="K22" t="s">
        <v>299</v>
      </c>
      <c r="L22" t="s">
        <v>362</v>
      </c>
      <c r="M22" s="215" t="s">
        <v>363</v>
      </c>
    </row>
    <row r="23" spans="2:14" x14ac:dyDescent="0.3">
      <c r="B23" t="s">
        <v>297</v>
      </c>
      <c r="C23" t="s">
        <v>12</v>
      </c>
      <c r="D23" t="s">
        <v>26</v>
      </c>
      <c r="E23" t="s">
        <v>17</v>
      </c>
      <c r="F23" s="16">
        <f>Summary!V12</f>
        <v>5000</v>
      </c>
      <c r="G23" t="s">
        <v>298</v>
      </c>
      <c r="H23" t="s">
        <v>212</v>
      </c>
      <c r="I23" t="s">
        <v>361</v>
      </c>
      <c r="K23" t="s">
        <v>299</v>
      </c>
      <c r="L23" t="s">
        <v>317</v>
      </c>
      <c r="M23" s="215" t="s">
        <v>318</v>
      </c>
    </row>
    <row r="24" spans="2:14" x14ac:dyDescent="0.3">
      <c r="B24" t="s">
        <v>297</v>
      </c>
      <c r="C24" t="s">
        <v>12</v>
      </c>
      <c r="D24" t="s">
        <v>188</v>
      </c>
      <c r="E24" t="s">
        <v>17</v>
      </c>
      <c r="F24" s="16">
        <f>Summary!V13</f>
        <v>4900</v>
      </c>
      <c r="G24" t="s">
        <v>298</v>
      </c>
      <c r="H24" t="s">
        <v>212</v>
      </c>
      <c r="I24" t="s">
        <v>361</v>
      </c>
      <c r="K24" t="s">
        <v>299</v>
      </c>
      <c r="L24" t="s">
        <v>320</v>
      </c>
      <c r="M24" s="215" t="s">
        <v>319</v>
      </c>
    </row>
    <row r="25" spans="2:14" x14ac:dyDescent="0.3">
      <c r="B25" t="s">
        <v>297</v>
      </c>
      <c r="C25" t="s">
        <v>12</v>
      </c>
      <c r="D25" t="s">
        <v>189</v>
      </c>
      <c r="E25" t="s">
        <v>17</v>
      </c>
      <c r="F25" s="16">
        <f>Summary!V14</f>
        <v>2700</v>
      </c>
      <c r="G25" t="s">
        <v>298</v>
      </c>
      <c r="H25" t="s">
        <v>212</v>
      </c>
      <c r="I25" t="s">
        <v>361</v>
      </c>
      <c r="K25" t="s">
        <v>299</v>
      </c>
      <c r="L25" t="s">
        <v>320</v>
      </c>
      <c r="M25" s="215" t="s">
        <v>319</v>
      </c>
    </row>
    <row r="26" spans="2:14" x14ac:dyDescent="0.3">
      <c r="B26" t="s">
        <v>297</v>
      </c>
      <c r="C26" t="s">
        <v>12</v>
      </c>
      <c r="D26" t="s">
        <v>187</v>
      </c>
      <c r="E26" t="s">
        <v>17</v>
      </c>
      <c r="F26" s="16">
        <f>Summary!V15</f>
        <v>1900</v>
      </c>
      <c r="G26" t="s">
        <v>298</v>
      </c>
      <c r="H26" t="s">
        <v>212</v>
      </c>
      <c r="I26" t="s">
        <v>361</v>
      </c>
      <c r="K26" t="s">
        <v>299</v>
      </c>
      <c r="L26" t="s">
        <v>320</v>
      </c>
      <c r="M26" s="215" t="s">
        <v>319</v>
      </c>
    </row>
    <row r="27" spans="2:14" x14ac:dyDescent="0.3">
      <c r="B27" t="s">
        <v>297</v>
      </c>
      <c r="C27" t="s">
        <v>12</v>
      </c>
      <c r="D27" t="s">
        <v>185</v>
      </c>
      <c r="E27" t="s">
        <v>17</v>
      </c>
      <c r="F27" s="16">
        <f>Summary!V16</f>
        <v>8400</v>
      </c>
      <c r="G27" t="s">
        <v>298</v>
      </c>
      <c r="H27" t="s">
        <v>212</v>
      </c>
      <c r="I27" t="s">
        <v>361</v>
      </c>
      <c r="K27" t="s">
        <v>299</v>
      </c>
      <c r="L27" t="s">
        <v>320</v>
      </c>
      <c r="M27" s="215" t="s">
        <v>319</v>
      </c>
    </row>
    <row r="28" spans="2:14" x14ac:dyDescent="0.3">
      <c r="B28" t="s">
        <v>297</v>
      </c>
      <c r="C28" t="s">
        <v>12</v>
      </c>
      <c r="D28" t="s">
        <v>321</v>
      </c>
      <c r="E28" t="s">
        <v>17</v>
      </c>
      <c r="F28" s="16">
        <f>Summary!V17</f>
        <v>124500</v>
      </c>
      <c r="G28" t="s">
        <v>298</v>
      </c>
      <c r="H28" t="s">
        <v>212</v>
      </c>
      <c r="I28" t="s">
        <v>361</v>
      </c>
      <c r="K28" t="s">
        <v>299</v>
      </c>
      <c r="L28" t="s">
        <v>323</v>
      </c>
      <c r="M28" s="215" t="s">
        <v>322</v>
      </c>
    </row>
    <row r="29" spans="2:14" s="38" customFormat="1" x14ac:dyDescent="0.3">
      <c r="B29" s="38" t="s">
        <v>297</v>
      </c>
      <c r="C29" s="38" t="s">
        <v>12</v>
      </c>
      <c r="D29" s="38" t="s">
        <v>33</v>
      </c>
      <c r="E29" s="38" t="s">
        <v>17</v>
      </c>
      <c r="F29" s="19">
        <f>Summary!V18</f>
        <v>74500</v>
      </c>
      <c r="G29" s="38" t="s">
        <v>298</v>
      </c>
      <c r="H29" s="38" t="s">
        <v>212</v>
      </c>
      <c r="I29" s="38" t="s">
        <v>361</v>
      </c>
      <c r="K29" s="38" t="s">
        <v>299</v>
      </c>
      <c r="L29" s="38" t="s">
        <v>323</v>
      </c>
      <c r="M29" s="244" t="s">
        <v>322</v>
      </c>
    </row>
    <row r="30" spans="2:14" x14ac:dyDescent="0.3">
      <c r="B30" t="s">
        <v>297</v>
      </c>
      <c r="C30" t="s">
        <v>12</v>
      </c>
      <c r="D30" t="s">
        <v>21</v>
      </c>
      <c r="E30" t="s">
        <v>250</v>
      </c>
      <c r="F30" s="16">
        <f>Summary!W5</f>
        <v>750</v>
      </c>
      <c r="G30" t="s">
        <v>298</v>
      </c>
      <c r="H30" t="s">
        <v>212</v>
      </c>
      <c r="I30" t="s">
        <v>303</v>
      </c>
      <c r="J30" t="s">
        <v>299</v>
      </c>
      <c r="K30" s="12" t="s">
        <v>304</v>
      </c>
      <c r="N30" t="s">
        <v>302</v>
      </c>
    </row>
    <row r="31" spans="2:14" x14ac:dyDescent="0.3">
      <c r="B31" t="s">
        <v>297</v>
      </c>
      <c r="C31" t="s">
        <v>12</v>
      </c>
      <c r="D31" t="s">
        <v>158</v>
      </c>
      <c r="E31" t="s">
        <v>250</v>
      </c>
      <c r="F31" s="16">
        <f>Summary!W6</f>
        <v>1000</v>
      </c>
      <c r="G31" t="s">
        <v>298</v>
      </c>
      <c r="H31" t="s">
        <v>212</v>
      </c>
      <c r="I31" t="s">
        <v>303</v>
      </c>
      <c r="J31" t="s">
        <v>299</v>
      </c>
      <c r="K31" s="12" t="s">
        <v>304</v>
      </c>
      <c r="N31" t="s">
        <v>302</v>
      </c>
    </row>
    <row r="32" spans="2:14" x14ac:dyDescent="0.3">
      <c r="B32" t="s">
        <v>297</v>
      </c>
      <c r="C32" t="s">
        <v>12</v>
      </c>
      <c r="D32" t="s">
        <v>32</v>
      </c>
      <c r="E32" t="s">
        <v>250</v>
      </c>
      <c r="F32" s="16">
        <f>Summary!W7</f>
        <v>750</v>
      </c>
      <c r="G32" t="s">
        <v>298</v>
      </c>
      <c r="H32" t="s">
        <v>212</v>
      </c>
      <c r="I32" t="s">
        <v>303</v>
      </c>
      <c r="J32" t="s">
        <v>299</v>
      </c>
      <c r="K32" s="12" t="s">
        <v>304</v>
      </c>
      <c r="N32" t="s">
        <v>302</v>
      </c>
    </row>
    <row r="33" spans="2:14" x14ac:dyDescent="0.3">
      <c r="B33" t="s">
        <v>297</v>
      </c>
      <c r="C33" t="s">
        <v>12</v>
      </c>
      <c r="D33" t="s">
        <v>159</v>
      </c>
      <c r="E33" t="s">
        <v>250</v>
      </c>
      <c r="F33" s="16">
        <f>Summary!W8</f>
        <v>750</v>
      </c>
      <c r="G33" t="s">
        <v>298</v>
      </c>
      <c r="H33" t="s">
        <v>212</v>
      </c>
      <c r="I33" t="s">
        <v>303</v>
      </c>
      <c r="J33" t="s">
        <v>299</v>
      </c>
      <c r="K33" s="12" t="s">
        <v>304</v>
      </c>
      <c r="N33" t="s">
        <v>302</v>
      </c>
    </row>
    <row r="34" spans="2:14" x14ac:dyDescent="0.3">
      <c r="B34" t="s">
        <v>297</v>
      </c>
      <c r="C34" t="s">
        <v>12</v>
      </c>
      <c r="D34" t="s">
        <v>25</v>
      </c>
      <c r="E34" t="s">
        <v>250</v>
      </c>
      <c r="F34" s="16">
        <f>Summary!W9</f>
        <v>1000</v>
      </c>
      <c r="G34" t="s">
        <v>298</v>
      </c>
      <c r="H34" t="s">
        <v>212</v>
      </c>
      <c r="I34" t="s">
        <v>303</v>
      </c>
      <c r="J34" t="s">
        <v>299</v>
      </c>
      <c r="K34" s="12" t="s">
        <v>304</v>
      </c>
      <c r="N34" t="s">
        <v>302</v>
      </c>
    </row>
    <row r="35" spans="2:14" x14ac:dyDescent="0.3">
      <c r="B35" t="s">
        <v>297</v>
      </c>
      <c r="C35" t="s">
        <v>12</v>
      </c>
      <c r="D35" t="s">
        <v>310</v>
      </c>
      <c r="E35" t="s">
        <v>250</v>
      </c>
      <c r="F35" s="16">
        <f>Summary!W10</f>
        <v>2000</v>
      </c>
      <c r="G35" t="s">
        <v>298</v>
      </c>
      <c r="H35" t="s">
        <v>212</v>
      </c>
      <c r="I35" t="s">
        <v>303</v>
      </c>
      <c r="J35" t="s">
        <v>299</v>
      </c>
      <c r="K35" s="12" t="s">
        <v>304</v>
      </c>
      <c r="N35" t="s">
        <v>302</v>
      </c>
    </row>
    <row r="36" spans="2:14" x14ac:dyDescent="0.3">
      <c r="B36" t="s">
        <v>297</v>
      </c>
      <c r="C36" t="s">
        <v>12</v>
      </c>
      <c r="D36" t="s">
        <v>311</v>
      </c>
      <c r="E36" t="s">
        <v>250</v>
      </c>
      <c r="F36" s="16">
        <f>Summary!W11</f>
        <v>1000</v>
      </c>
      <c r="G36" t="s">
        <v>298</v>
      </c>
      <c r="H36" t="s">
        <v>212</v>
      </c>
      <c r="I36" t="s">
        <v>303</v>
      </c>
      <c r="J36" t="s">
        <v>299</v>
      </c>
      <c r="K36" s="12" t="s">
        <v>304</v>
      </c>
      <c r="N36" t="s">
        <v>302</v>
      </c>
    </row>
    <row r="37" spans="2:14" x14ac:dyDescent="0.3">
      <c r="B37" t="s">
        <v>297</v>
      </c>
      <c r="C37" t="s">
        <v>12</v>
      </c>
      <c r="D37" t="s">
        <v>312</v>
      </c>
      <c r="E37" t="s">
        <v>250</v>
      </c>
      <c r="F37" s="16">
        <f>Summary!W12</f>
        <v>1000</v>
      </c>
      <c r="G37" t="s">
        <v>298</v>
      </c>
      <c r="H37" t="s">
        <v>212</v>
      </c>
      <c r="I37" t="s">
        <v>303</v>
      </c>
      <c r="J37" t="s">
        <v>299</v>
      </c>
      <c r="K37" s="12" t="s">
        <v>304</v>
      </c>
      <c r="N37" t="s">
        <v>302</v>
      </c>
    </row>
    <row r="38" spans="2:14" x14ac:dyDescent="0.3">
      <c r="B38" t="s">
        <v>297</v>
      </c>
      <c r="C38" t="s">
        <v>12</v>
      </c>
      <c r="D38" t="s">
        <v>188</v>
      </c>
      <c r="E38" t="s">
        <v>250</v>
      </c>
      <c r="F38" s="16">
        <f>Summary!W13</f>
        <v>1000</v>
      </c>
      <c r="G38" t="s">
        <v>298</v>
      </c>
      <c r="H38" t="s">
        <v>212</v>
      </c>
      <c r="I38" t="s">
        <v>303</v>
      </c>
      <c r="J38" t="s">
        <v>299</v>
      </c>
      <c r="K38" s="12" t="s">
        <v>304</v>
      </c>
      <c r="N38" t="s">
        <v>302</v>
      </c>
    </row>
    <row r="39" spans="2:14" x14ac:dyDescent="0.3">
      <c r="B39" t="s">
        <v>297</v>
      </c>
      <c r="C39" t="s">
        <v>12</v>
      </c>
      <c r="D39" t="s">
        <v>189</v>
      </c>
      <c r="E39" t="s">
        <v>250</v>
      </c>
      <c r="F39" s="16">
        <f>Summary!W14</f>
        <v>750</v>
      </c>
      <c r="G39" t="s">
        <v>298</v>
      </c>
      <c r="H39" t="s">
        <v>212</v>
      </c>
      <c r="I39" t="s">
        <v>303</v>
      </c>
      <c r="J39" t="s">
        <v>299</v>
      </c>
      <c r="K39" s="12" t="s">
        <v>304</v>
      </c>
      <c r="N39" t="s">
        <v>302</v>
      </c>
    </row>
    <row r="40" spans="2:14" x14ac:dyDescent="0.3">
      <c r="B40" t="s">
        <v>297</v>
      </c>
      <c r="C40" t="s">
        <v>12</v>
      </c>
      <c r="D40" t="s">
        <v>187</v>
      </c>
      <c r="E40" t="s">
        <v>250</v>
      </c>
      <c r="F40" s="16">
        <f>Summary!W15</f>
        <v>750</v>
      </c>
      <c r="G40" t="s">
        <v>298</v>
      </c>
      <c r="H40" t="s">
        <v>212</v>
      </c>
      <c r="I40" t="s">
        <v>303</v>
      </c>
      <c r="J40" t="s">
        <v>299</v>
      </c>
      <c r="K40" s="12" t="s">
        <v>304</v>
      </c>
      <c r="N40" t="s">
        <v>302</v>
      </c>
    </row>
    <row r="41" spans="2:14" x14ac:dyDescent="0.3">
      <c r="B41" t="s">
        <v>297</v>
      </c>
      <c r="C41" t="s">
        <v>12</v>
      </c>
      <c r="D41" t="s">
        <v>185</v>
      </c>
      <c r="E41" t="s">
        <v>250</v>
      </c>
      <c r="F41" s="16">
        <f>Summary!W16</f>
        <v>1000</v>
      </c>
      <c r="G41" t="s">
        <v>298</v>
      </c>
      <c r="H41" t="s">
        <v>212</v>
      </c>
      <c r="I41" t="s">
        <v>303</v>
      </c>
      <c r="J41" t="s">
        <v>299</v>
      </c>
      <c r="K41" s="12" t="s">
        <v>304</v>
      </c>
      <c r="N41" t="s">
        <v>302</v>
      </c>
    </row>
    <row r="42" spans="2:14" x14ac:dyDescent="0.3">
      <c r="B42" t="s">
        <v>297</v>
      </c>
      <c r="C42" t="s">
        <v>12</v>
      </c>
      <c r="D42" t="s">
        <v>321</v>
      </c>
      <c r="E42" t="s">
        <v>250</v>
      </c>
      <c r="F42" s="16">
        <f>Summary!W17</f>
        <v>4000</v>
      </c>
      <c r="G42" t="s">
        <v>298</v>
      </c>
      <c r="H42" t="s">
        <v>212</v>
      </c>
      <c r="I42" t="s">
        <v>303</v>
      </c>
      <c r="J42" t="s">
        <v>299</v>
      </c>
      <c r="K42" s="12" t="s">
        <v>304</v>
      </c>
      <c r="N42" t="s">
        <v>302</v>
      </c>
    </row>
    <row r="43" spans="2:14" s="38" customFormat="1" x14ac:dyDescent="0.3">
      <c r="B43" s="38" t="s">
        <v>297</v>
      </c>
      <c r="C43" s="38" t="s">
        <v>12</v>
      </c>
      <c r="D43" s="38" t="s">
        <v>33</v>
      </c>
      <c r="E43" s="38" t="s">
        <v>250</v>
      </c>
      <c r="F43" s="19">
        <f>Summary!W18</f>
        <v>2000</v>
      </c>
      <c r="G43" s="38" t="s">
        <v>298</v>
      </c>
      <c r="H43" s="38" t="s">
        <v>212</v>
      </c>
      <c r="I43" s="38" t="s">
        <v>303</v>
      </c>
      <c r="J43" s="38" t="s">
        <v>299</v>
      </c>
      <c r="K43" s="214" t="s">
        <v>304</v>
      </c>
      <c r="N43" s="38" t="s">
        <v>302</v>
      </c>
    </row>
    <row r="44" spans="2:14" x14ac:dyDescent="0.3">
      <c r="B44" t="s">
        <v>297</v>
      </c>
      <c r="C44" t="s">
        <v>12</v>
      </c>
      <c r="D44" t="s">
        <v>21</v>
      </c>
      <c r="E44" t="s">
        <v>251</v>
      </c>
      <c r="F44" s="16">
        <f>Summary!X5</f>
        <v>975</v>
      </c>
      <c r="G44" t="s">
        <v>298</v>
      </c>
      <c r="H44" t="s">
        <v>212</v>
      </c>
      <c r="I44" t="s">
        <v>309</v>
      </c>
      <c r="J44" t="s">
        <v>299</v>
      </c>
      <c r="K44" s="12" t="s">
        <v>308</v>
      </c>
    </row>
    <row r="45" spans="2:14" x14ac:dyDescent="0.3">
      <c r="B45" t="s">
        <v>297</v>
      </c>
      <c r="C45" t="s">
        <v>12</v>
      </c>
      <c r="D45" t="s">
        <v>158</v>
      </c>
      <c r="E45" t="s">
        <v>251</v>
      </c>
      <c r="F45" s="16">
        <f>Summary!X6</f>
        <v>2100</v>
      </c>
      <c r="G45" t="s">
        <v>298</v>
      </c>
      <c r="H45" t="s">
        <v>212</v>
      </c>
      <c r="I45" t="s">
        <v>309</v>
      </c>
      <c r="J45" t="s">
        <v>299</v>
      </c>
      <c r="K45" s="12" t="s">
        <v>308</v>
      </c>
    </row>
    <row r="46" spans="2:14" x14ac:dyDescent="0.3">
      <c r="B46" t="s">
        <v>297</v>
      </c>
      <c r="C46" t="s">
        <v>12</v>
      </c>
      <c r="D46" t="s">
        <v>32</v>
      </c>
      <c r="E46" t="s">
        <v>251</v>
      </c>
      <c r="F46" s="16">
        <f>Summary!X7</f>
        <v>1075</v>
      </c>
      <c r="G46" t="s">
        <v>298</v>
      </c>
      <c r="H46" t="s">
        <v>212</v>
      </c>
      <c r="I46" t="s">
        <v>309</v>
      </c>
      <c r="J46" t="s">
        <v>299</v>
      </c>
      <c r="K46" s="12" t="s">
        <v>308</v>
      </c>
    </row>
    <row r="47" spans="2:14" x14ac:dyDescent="0.3">
      <c r="B47" t="s">
        <v>297</v>
      </c>
      <c r="C47" t="s">
        <v>12</v>
      </c>
      <c r="D47" t="s">
        <v>159</v>
      </c>
      <c r="E47" t="s">
        <v>251</v>
      </c>
      <c r="F47" s="16">
        <f>Summary!X8</f>
        <v>1025</v>
      </c>
      <c r="G47" t="s">
        <v>298</v>
      </c>
      <c r="H47" t="s">
        <v>212</v>
      </c>
      <c r="I47" t="s">
        <v>309</v>
      </c>
      <c r="J47" t="s">
        <v>299</v>
      </c>
      <c r="K47" s="12" t="s">
        <v>308</v>
      </c>
    </row>
    <row r="48" spans="2:14" x14ac:dyDescent="0.3">
      <c r="B48" t="s">
        <v>297</v>
      </c>
      <c r="C48" t="s">
        <v>12</v>
      </c>
      <c r="D48" t="s">
        <v>310</v>
      </c>
      <c r="E48" t="s">
        <v>251</v>
      </c>
      <c r="F48" s="16">
        <f>Summary!X9</f>
        <v>2000</v>
      </c>
      <c r="G48" t="s">
        <v>298</v>
      </c>
      <c r="H48" t="s">
        <v>212</v>
      </c>
      <c r="I48" t="s">
        <v>309</v>
      </c>
      <c r="J48" t="s">
        <v>299</v>
      </c>
      <c r="K48" s="12" t="s">
        <v>308</v>
      </c>
    </row>
    <row r="49" spans="2:14" x14ac:dyDescent="0.3">
      <c r="B49" t="s">
        <v>297</v>
      </c>
      <c r="C49" t="s">
        <v>12</v>
      </c>
      <c r="D49" t="s">
        <v>311</v>
      </c>
      <c r="E49" t="s">
        <v>251</v>
      </c>
      <c r="F49" s="16">
        <f>Summary!X10</f>
        <v>4000</v>
      </c>
      <c r="G49" t="s">
        <v>298</v>
      </c>
      <c r="H49" t="s">
        <v>212</v>
      </c>
      <c r="I49" t="s">
        <v>309</v>
      </c>
      <c r="J49" t="s">
        <v>299</v>
      </c>
      <c r="K49" s="12" t="s">
        <v>308</v>
      </c>
    </row>
    <row r="50" spans="2:14" x14ac:dyDescent="0.3">
      <c r="B50" t="s">
        <v>297</v>
      </c>
      <c r="C50" t="s">
        <v>12</v>
      </c>
      <c r="D50" t="s">
        <v>312</v>
      </c>
      <c r="E50" t="s">
        <v>251</v>
      </c>
      <c r="F50" s="16">
        <f>Summary!X11</f>
        <v>2000</v>
      </c>
      <c r="G50" t="s">
        <v>298</v>
      </c>
      <c r="H50" t="s">
        <v>212</v>
      </c>
      <c r="I50" t="s">
        <v>309</v>
      </c>
      <c r="J50" t="s">
        <v>299</v>
      </c>
      <c r="K50" s="12" t="s">
        <v>308</v>
      </c>
    </row>
    <row r="51" spans="2:14" x14ac:dyDescent="0.3">
      <c r="B51" t="s">
        <v>297</v>
      </c>
      <c r="C51" t="s">
        <v>12</v>
      </c>
      <c r="D51" t="s">
        <v>26</v>
      </c>
      <c r="E51" t="s">
        <v>251</v>
      </c>
      <c r="F51" s="16">
        <f>Summary!X12</f>
        <v>1350</v>
      </c>
      <c r="G51" t="s">
        <v>298</v>
      </c>
      <c r="H51" t="s">
        <v>212</v>
      </c>
      <c r="I51" t="s">
        <v>309</v>
      </c>
      <c r="J51" t="s">
        <v>299</v>
      </c>
      <c r="K51" s="12" t="s">
        <v>308</v>
      </c>
    </row>
    <row r="52" spans="2:14" x14ac:dyDescent="0.3">
      <c r="B52" t="s">
        <v>297</v>
      </c>
      <c r="C52" t="s">
        <v>12</v>
      </c>
      <c r="D52" t="s">
        <v>188</v>
      </c>
      <c r="E52" t="s">
        <v>251</v>
      </c>
      <c r="F52" s="16">
        <f>Summary!X13</f>
        <v>1800</v>
      </c>
      <c r="G52" t="s">
        <v>298</v>
      </c>
      <c r="H52" t="s">
        <v>212</v>
      </c>
      <c r="I52" t="s">
        <v>309</v>
      </c>
      <c r="J52" t="s">
        <v>299</v>
      </c>
      <c r="K52" s="12" t="s">
        <v>308</v>
      </c>
    </row>
    <row r="53" spans="2:14" x14ac:dyDescent="0.3">
      <c r="B53" t="s">
        <v>297</v>
      </c>
      <c r="C53" t="s">
        <v>12</v>
      </c>
      <c r="D53" t="s">
        <v>189</v>
      </c>
      <c r="E53" t="s">
        <v>251</v>
      </c>
      <c r="F53" s="16">
        <f>Summary!X14</f>
        <v>975</v>
      </c>
      <c r="G53" t="s">
        <v>298</v>
      </c>
      <c r="H53" t="s">
        <v>212</v>
      </c>
      <c r="I53" t="s">
        <v>309</v>
      </c>
      <c r="J53" t="s">
        <v>299</v>
      </c>
      <c r="K53" s="12" t="s">
        <v>308</v>
      </c>
    </row>
    <row r="54" spans="2:14" x14ac:dyDescent="0.3">
      <c r="B54" t="s">
        <v>297</v>
      </c>
      <c r="C54" t="s">
        <v>12</v>
      </c>
      <c r="D54" t="s">
        <v>187</v>
      </c>
      <c r="E54" t="s">
        <v>251</v>
      </c>
      <c r="F54" s="16">
        <f>Summary!X15</f>
        <v>875</v>
      </c>
      <c r="G54" t="s">
        <v>298</v>
      </c>
      <c r="H54" t="s">
        <v>212</v>
      </c>
      <c r="I54" t="s">
        <v>309</v>
      </c>
      <c r="J54" t="s">
        <v>299</v>
      </c>
      <c r="K54" s="12" t="s">
        <v>308</v>
      </c>
    </row>
    <row r="55" spans="2:14" x14ac:dyDescent="0.3">
      <c r="B55" t="s">
        <v>297</v>
      </c>
      <c r="C55" t="s">
        <v>12</v>
      </c>
      <c r="D55" t="s">
        <v>185</v>
      </c>
      <c r="E55" t="s">
        <v>251</v>
      </c>
      <c r="F55" s="16">
        <f>Summary!X16</f>
        <v>2750</v>
      </c>
      <c r="G55" t="s">
        <v>298</v>
      </c>
      <c r="H55" t="s">
        <v>212</v>
      </c>
      <c r="I55" t="s">
        <v>309</v>
      </c>
      <c r="J55" t="s">
        <v>299</v>
      </c>
      <c r="K55" s="12" t="s">
        <v>308</v>
      </c>
    </row>
    <row r="56" spans="2:14" x14ac:dyDescent="0.3">
      <c r="B56" t="s">
        <v>297</v>
      </c>
      <c r="C56" t="s">
        <v>12</v>
      </c>
      <c r="D56" t="s">
        <v>321</v>
      </c>
      <c r="E56" t="s">
        <v>251</v>
      </c>
      <c r="F56" s="16">
        <f>Summary!X17</f>
        <v>12870</v>
      </c>
      <c r="G56" t="s">
        <v>298</v>
      </c>
      <c r="H56" t="s">
        <v>212</v>
      </c>
      <c r="I56" t="s">
        <v>309</v>
      </c>
      <c r="J56" t="s">
        <v>299</v>
      </c>
      <c r="K56" s="12" t="s">
        <v>308</v>
      </c>
    </row>
    <row r="57" spans="2:14" s="38" customFormat="1" x14ac:dyDescent="0.3">
      <c r="B57" s="38" t="s">
        <v>297</v>
      </c>
      <c r="C57" s="38" t="s">
        <v>12</v>
      </c>
      <c r="D57" s="38" t="s">
        <v>33</v>
      </c>
      <c r="E57" s="38" t="s">
        <v>251</v>
      </c>
      <c r="F57" s="19">
        <f>Summary!X18</f>
        <v>6630</v>
      </c>
      <c r="G57" s="38" t="s">
        <v>298</v>
      </c>
      <c r="H57" s="38" t="s">
        <v>212</v>
      </c>
      <c r="I57" s="38" t="s">
        <v>309</v>
      </c>
      <c r="J57" s="38" t="s">
        <v>299</v>
      </c>
      <c r="K57" s="214" t="s">
        <v>308</v>
      </c>
    </row>
    <row r="58" spans="2:14" x14ac:dyDescent="0.3">
      <c r="B58" t="s">
        <v>297</v>
      </c>
      <c r="C58" t="s">
        <v>12</v>
      </c>
      <c r="D58" t="s">
        <v>21</v>
      </c>
      <c r="E58" t="s">
        <v>252</v>
      </c>
      <c r="F58" s="16">
        <f>Summary!Y5</f>
        <v>1200</v>
      </c>
      <c r="G58" t="s">
        <v>298</v>
      </c>
      <c r="H58" t="s">
        <v>212</v>
      </c>
      <c r="I58" t="s">
        <v>306</v>
      </c>
      <c r="J58" t="s">
        <v>299</v>
      </c>
      <c r="K58" s="12" t="s">
        <v>305</v>
      </c>
      <c r="N58" t="s">
        <v>307</v>
      </c>
    </row>
    <row r="59" spans="2:14" x14ac:dyDescent="0.3">
      <c r="B59" t="s">
        <v>297</v>
      </c>
      <c r="C59" t="s">
        <v>12</v>
      </c>
      <c r="D59" t="s">
        <v>158</v>
      </c>
      <c r="E59" t="s">
        <v>252</v>
      </c>
      <c r="F59" s="16">
        <f>Summary!Y6</f>
        <v>3200</v>
      </c>
      <c r="G59" t="s">
        <v>298</v>
      </c>
      <c r="H59" t="s">
        <v>212</v>
      </c>
      <c r="I59" t="s">
        <v>306</v>
      </c>
      <c r="J59" t="s">
        <v>299</v>
      </c>
      <c r="K59" s="12" t="s">
        <v>305</v>
      </c>
      <c r="L59" t="s">
        <v>316</v>
      </c>
      <c r="M59" s="215" t="s">
        <v>315</v>
      </c>
      <c r="N59" t="s">
        <v>307</v>
      </c>
    </row>
    <row r="60" spans="2:14" x14ac:dyDescent="0.3">
      <c r="B60" t="s">
        <v>297</v>
      </c>
      <c r="C60" t="s">
        <v>12</v>
      </c>
      <c r="D60" t="s">
        <v>32</v>
      </c>
      <c r="E60" t="s">
        <v>252</v>
      </c>
      <c r="F60" s="16">
        <f>Summary!Y7</f>
        <v>1400</v>
      </c>
      <c r="G60" t="s">
        <v>298</v>
      </c>
      <c r="H60" t="s">
        <v>212</v>
      </c>
      <c r="I60" t="s">
        <v>306</v>
      </c>
      <c r="J60" t="s">
        <v>299</v>
      </c>
      <c r="K60" s="12" t="s">
        <v>305</v>
      </c>
      <c r="L60" t="s">
        <v>316</v>
      </c>
      <c r="M60" s="215" t="s">
        <v>315</v>
      </c>
      <c r="N60" t="s">
        <v>307</v>
      </c>
    </row>
    <row r="61" spans="2:14" x14ac:dyDescent="0.3">
      <c r="B61" t="s">
        <v>297</v>
      </c>
      <c r="C61" t="s">
        <v>12</v>
      </c>
      <c r="D61" t="s">
        <v>159</v>
      </c>
      <c r="E61" t="s">
        <v>252</v>
      </c>
      <c r="F61" s="16">
        <f>Summary!Y8</f>
        <v>1300</v>
      </c>
      <c r="G61" t="s">
        <v>298</v>
      </c>
      <c r="H61" t="s">
        <v>212</v>
      </c>
      <c r="I61" t="s">
        <v>306</v>
      </c>
      <c r="J61" t="s">
        <v>299</v>
      </c>
      <c r="K61" s="12" t="s">
        <v>305</v>
      </c>
      <c r="L61" t="s">
        <v>316</v>
      </c>
      <c r="M61" s="215" t="s">
        <v>315</v>
      </c>
      <c r="N61" t="s">
        <v>307</v>
      </c>
    </row>
    <row r="62" spans="2:14" x14ac:dyDescent="0.3">
      <c r="B62" t="s">
        <v>297</v>
      </c>
      <c r="C62" t="s">
        <v>12</v>
      </c>
      <c r="D62" t="s">
        <v>310</v>
      </c>
      <c r="E62" t="s">
        <v>252</v>
      </c>
      <c r="F62" s="16">
        <f>Summary!Y9</f>
        <v>3000</v>
      </c>
      <c r="G62" t="s">
        <v>298</v>
      </c>
      <c r="H62" t="s">
        <v>212</v>
      </c>
      <c r="I62" t="s">
        <v>313</v>
      </c>
      <c r="J62" t="s">
        <v>299</v>
      </c>
      <c r="K62" s="12" t="s">
        <v>314</v>
      </c>
    </row>
    <row r="63" spans="2:14" x14ac:dyDescent="0.3">
      <c r="B63" t="s">
        <v>297</v>
      </c>
      <c r="C63" t="s">
        <v>12</v>
      </c>
      <c r="D63" t="s">
        <v>311</v>
      </c>
      <c r="E63" t="s">
        <v>252</v>
      </c>
      <c r="F63" s="16">
        <f>Summary!Y10</f>
        <v>6000</v>
      </c>
      <c r="G63" t="s">
        <v>298</v>
      </c>
      <c r="H63" t="s">
        <v>212</v>
      </c>
      <c r="I63" t="s">
        <v>313</v>
      </c>
      <c r="J63" t="s">
        <v>299</v>
      </c>
      <c r="K63" s="12" t="s">
        <v>314</v>
      </c>
    </row>
    <row r="64" spans="2:14" x14ac:dyDescent="0.3">
      <c r="B64" t="s">
        <v>297</v>
      </c>
      <c r="C64" t="s">
        <v>12</v>
      </c>
      <c r="D64" t="s">
        <v>312</v>
      </c>
      <c r="E64" t="s">
        <v>252</v>
      </c>
      <c r="F64" s="16">
        <f>Summary!Y11</f>
        <v>3000</v>
      </c>
      <c r="G64" t="s">
        <v>298</v>
      </c>
      <c r="H64" t="s">
        <v>212</v>
      </c>
      <c r="I64" t="s">
        <v>313</v>
      </c>
      <c r="J64" t="s">
        <v>299</v>
      </c>
      <c r="K64" s="12" t="s">
        <v>314</v>
      </c>
    </row>
    <row r="65" spans="2:14" x14ac:dyDescent="0.3">
      <c r="B65" t="s">
        <v>297</v>
      </c>
      <c r="C65" t="s">
        <v>12</v>
      </c>
      <c r="D65" t="s">
        <v>26</v>
      </c>
      <c r="E65" t="s">
        <v>252</v>
      </c>
      <c r="F65" s="16">
        <f>Summary!Y12</f>
        <v>1700</v>
      </c>
      <c r="G65" t="s">
        <v>298</v>
      </c>
      <c r="H65" t="s">
        <v>212</v>
      </c>
      <c r="I65" t="s">
        <v>306</v>
      </c>
      <c r="J65" t="s">
        <v>299</v>
      </c>
      <c r="K65" s="12" t="s">
        <v>305</v>
      </c>
      <c r="L65" t="s">
        <v>317</v>
      </c>
      <c r="M65" s="215" t="s">
        <v>318</v>
      </c>
      <c r="N65" t="s">
        <v>307</v>
      </c>
    </row>
    <row r="66" spans="2:14" x14ac:dyDescent="0.3">
      <c r="B66" t="s">
        <v>297</v>
      </c>
      <c r="C66" t="s">
        <v>12</v>
      </c>
      <c r="D66" t="s">
        <v>188</v>
      </c>
      <c r="E66" t="s">
        <v>252</v>
      </c>
      <c r="F66" s="16">
        <f>Summary!Y13</f>
        <v>2600</v>
      </c>
      <c r="G66" t="s">
        <v>298</v>
      </c>
      <c r="H66" t="s">
        <v>212</v>
      </c>
      <c r="I66" t="s">
        <v>306</v>
      </c>
      <c r="J66" t="s">
        <v>299</v>
      </c>
      <c r="K66" s="12" t="s">
        <v>305</v>
      </c>
      <c r="L66" t="s">
        <v>320</v>
      </c>
      <c r="M66" s="215" t="s">
        <v>319</v>
      </c>
      <c r="N66" t="s">
        <v>307</v>
      </c>
    </row>
    <row r="67" spans="2:14" x14ac:dyDescent="0.3">
      <c r="B67" t="s">
        <v>297</v>
      </c>
      <c r="C67" t="s">
        <v>12</v>
      </c>
      <c r="D67" t="s">
        <v>189</v>
      </c>
      <c r="E67" t="s">
        <v>252</v>
      </c>
      <c r="F67" s="16">
        <f>Summary!Y14</f>
        <v>1200</v>
      </c>
      <c r="G67" t="s">
        <v>298</v>
      </c>
      <c r="H67" t="s">
        <v>212</v>
      </c>
      <c r="I67" t="s">
        <v>306</v>
      </c>
      <c r="J67" t="s">
        <v>299</v>
      </c>
      <c r="K67" s="12" t="s">
        <v>305</v>
      </c>
      <c r="L67" t="s">
        <v>320</v>
      </c>
      <c r="M67" s="215" t="s">
        <v>319</v>
      </c>
      <c r="N67" t="s">
        <v>307</v>
      </c>
    </row>
    <row r="68" spans="2:14" x14ac:dyDescent="0.3">
      <c r="B68" t="s">
        <v>297</v>
      </c>
      <c r="C68" t="s">
        <v>12</v>
      </c>
      <c r="D68" t="s">
        <v>187</v>
      </c>
      <c r="E68" t="s">
        <v>252</v>
      </c>
      <c r="F68" s="16">
        <f>Summary!Y15</f>
        <v>1000</v>
      </c>
      <c r="G68" t="s">
        <v>298</v>
      </c>
      <c r="H68" t="s">
        <v>212</v>
      </c>
      <c r="I68" t="s">
        <v>306</v>
      </c>
      <c r="J68" t="s">
        <v>299</v>
      </c>
      <c r="K68" s="12" t="s">
        <v>305</v>
      </c>
      <c r="L68" t="s">
        <v>320</v>
      </c>
      <c r="M68" s="215" t="s">
        <v>319</v>
      </c>
      <c r="N68" t="s">
        <v>307</v>
      </c>
    </row>
    <row r="69" spans="2:14" x14ac:dyDescent="0.3">
      <c r="B69" t="s">
        <v>297</v>
      </c>
      <c r="C69" t="s">
        <v>12</v>
      </c>
      <c r="D69" t="s">
        <v>185</v>
      </c>
      <c r="E69" t="s">
        <v>252</v>
      </c>
      <c r="F69" s="16">
        <f>Summary!Y16</f>
        <v>4500</v>
      </c>
      <c r="G69" t="s">
        <v>298</v>
      </c>
      <c r="H69" t="s">
        <v>212</v>
      </c>
      <c r="I69" t="s">
        <v>306</v>
      </c>
      <c r="J69" t="s">
        <v>299</v>
      </c>
      <c r="K69" s="12" t="s">
        <v>305</v>
      </c>
      <c r="L69" t="s">
        <v>320</v>
      </c>
      <c r="M69" s="215" t="s">
        <v>319</v>
      </c>
      <c r="N69" t="s">
        <v>307</v>
      </c>
    </row>
    <row r="70" spans="2:14" x14ac:dyDescent="0.3">
      <c r="B70" t="s">
        <v>297</v>
      </c>
      <c r="C70" t="s">
        <v>12</v>
      </c>
      <c r="D70" t="s">
        <v>321</v>
      </c>
      <c r="E70" t="s">
        <v>252</v>
      </c>
      <c r="F70" s="16">
        <f>Summary!Y17</f>
        <v>55700</v>
      </c>
      <c r="G70" t="s">
        <v>298</v>
      </c>
      <c r="H70" t="s">
        <v>212</v>
      </c>
      <c r="I70" t="s">
        <v>306</v>
      </c>
      <c r="J70" t="s">
        <v>299</v>
      </c>
      <c r="K70" s="12" t="s">
        <v>305</v>
      </c>
      <c r="L70" t="s">
        <v>323</v>
      </c>
      <c r="M70" s="215" t="s">
        <v>322</v>
      </c>
      <c r="N70" t="s">
        <v>307</v>
      </c>
    </row>
    <row r="71" spans="2:14" s="38" customFormat="1" x14ac:dyDescent="0.3">
      <c r="B71" s="38" t="s">
        <v>297</v>
      </c>
      <c r="C71" s="38" t="s">
        <v>12</v>
      </c>
      <c r="D71" s="38" t="s">
        <v>33</v>
      </c>
      <c r="E71" s="38" t="s">
        <v>252</v>
      </c>
      <c r="F71" s="19">
        <f>Summary!Y18</f>
        <v>28700</v>
      </c>
      <c r="G71" s="38" t="s">
        <v>298</v>
      </c>
      <c r="H71" s="38" t="s">
        <v>212</v>
      </c>
      <c r="I71" s="38" t="s">
        <v>306</v>
      </c>
      <c r="J71" s="38" t="s">
        <v>299</v>
      </c>
      <c r="K71" s="214" t="s">
        <v>305</v>
      </c>
      <c r="L71" t="s">
        <v>323</v>
      </c>
      <c r="M71" s="215" t="s">
        <v>322</v>
      </c>
      <c r="N71" s="38" t="s">
        <v>307</v>
      </c>
    </row>
  </sheetData>
  <hyperlinks>
    <hyperlink ref="M59" r:id="rId1" xr:uid="{9921E976-379C-458F-9F21-75B4023515EC}"/>
    <hyperlink ref="M60" r:id="rId2" xr:uid="{D2354113-8712-4E43-AEBA-963B9230BF2F}"/>
    <hyperlink ref="M61" r:id="rId3" xr:uid="{A4B4A5D9-B1ED-467B-9A90-E36F80C18369}"/>
    <hyperlink ref="M65" r:id="rId4" xr:uid="{F5345B8E-47F3-4AAF-B040-4D16CEE67C58}"/>
    <hyperlink ref="M66" r:id="rId5" xr:uid="{8A72248A-E057-4B18-9178-0C1312208F14}"/>
    <hyperlink ref="M67:M68" r:id="rId6" display="https://www.nwcouncil.org/subbasin-plans/walla-walla-subbasin-plan" xr:uid="{AB2FE2CF-22C4-4709-B883-E4258667F527}"/>
    <hyperlink ref="M69" r:id="rId7" xr:uid="{F00CDFDC-5D50-47D6-919E-B64C9C4CEA7F}"/>
    <hyperlink ref="M70" r:id="rId8" xr:uid="{F2035319-1499-4E69-BFE4-EE03E9D20B4D}"/>
    <hyperlink ref="M71" r:id="rId9" xr:uid="{DC1ACF17-597F-4D15-9E5B-1B3DC76C621A}"/>
    <hyperlink ref="M17" r:id="rId10" xr:uid="{F745A719-3FE2-4B38-99A6-24C51E293DEB}"/>
    <hyperlink ref="M18" r:id="rId11" xr:uid="{EF0B375C-E40C-4268-874F-2B975A053A61}"/>
    <hyperlink ref="M19" r:id="rId12" xr:uid="{EB9B2B6A-7AAB-475D-95FE-E799825DE97C}"/>
    <hyperlink ref="M23" r:id="rId13" xr:uid="{D3CCAF45-3E06-4630-B190-568FA76D993A}"/>
    <hyperlink ref="M24" r:id="rId14" xr:uid="{EB053494-970D-4E35-9A5F-C33EAEC06FC0}"/>
    <hyperlink ref="M25:M26" r:id="rId15" display="https://www.nwcouncil.org/subbasin-plans/walla-walla-subbasin-plan" xr:uid="{91E15ABF-8F5E-489F-B97B-F269222843F8}"/>
    <hyperlink ref="M27" r:id="rId16" xr:uid="{488D06FB-CDE5-46F8-A9FB-B105984EC3AF}"/>
    <hyperlink ref="M28" r:id="rId17" xr:uid="{D0450629-B119-4A37-8AE7-06A8E4D58FF2}"/>
    <hyperlink ref="M29" r:id="rId18" xr:uid="{953D0F00-3A49-434F-AA76-9101C4165FF5}"/>
    <hyperlink ref="M20" r:id="rId19" xr:uid="{523C1FCE-31B5-4B2A-B414-4015D5217E45}"/>
    <hyperlink ref="M21:M22" r:id="rId20" display="https://www.nwcouncil.org/subbasin-plans/john-day-subbasin-plan" xr:uid="{830C1718-15F0-4853-BCB5-86A704ECF449}"/>
    <hyperlink ref="M16" r:id="rId21" xr:uid="{3AA964FB-C69A-4FA2-BF38-CE80BBC44374}"/>
  </hyperlinks>
  <pageMargins left="0.7" right="0.7" top="0.75" bottom="0.75" header="0.3" footer="0.3"/>
  <legacy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6F96F-7EF5-40ED-B29A-5BC2C195DBC3}">
  <dimension ref="B1:AA18"/>
  <sheetViews>
    <sheetView workbookViewId="0">
      <selection activeCell="D7" sqref="D7"/>
    </sheetView>
  </sheetViews>
  <sheetFormatPr defaultRowHeight="14.4" x14ac:dyDescent="0.3"/>
  <cols>
    <col min="1" max="1" width="3" customWidth="1"/>
    <col min="3" max="3" width="18.21875" customWidth="1"/>
    <col min="7" max="7" width="11" bestFit="1" customWidth="1"/>
    <col min="11" max="11" width="9.5546875" bestFit="1" customWidth="1"/>
    <col min="13" max="13" width="10.5546875" customWidth="1"/>
    <col min="16" max="16" width="9.5546875" bestFit="1" customWidth="1"/>
    <col min="19" max="19" width="9.5546875" bestFit="1" customWidth="1"/>
  </cols>
  <sheetData>
    <row r="1" spans="2:27" x14ac:dyDescent="0.3">
      <c r="C1" t="s">
        <v>257</v>
      </c>
    </row>
    <row r="3" spans="2:27" s="198" customFormat="1" ht="83.4" customHeight="1" x14ac:dyDescent="0.3">
      <c r="D3" s="198" t="s">
        <v>258</v>
      </c>
      <c r="E3" s="198" t="s">
        <v>259</v>
      </c>
      <c r="F3" s="198" t="s">
        <v>260</v>
      </c>
      <c r="G3" s="198" t="s">
        <v>346</v>
      </c>
      <c r="H3" s="198" t="s">
        <v>261</v>
      </c>
      <c r="I3" s="198" t="s">
        <v>262</v>
      </c>
      <c r="J3" s="198" t="s">
        <v>263</v>
      </c>
      <c r="K3" s="198" t="s">
        <v>264</v>
      </c>
      <c r="L3" s="198" t="s">
        <v>265</v>
      </c>
      <c r="M3" s="198" t="s">
        <v>266</v>
      </c>
      <c r="N3" s="198" t="s">
        <v>267</v>
      </c>
      <c r="O3" s="198" t="s">
        <v>268</v>
      </c>
      <c r="P3" s="198" t="s">
        <v>269</v>
      </c>
      <c r="Q3" s="198" t="s">
        <v>270</v>
      </c>
      <c r="S3" s="198" t="s">
        <v>271</v>
      </c>
      <c r="T3" s="198" t="s">
        <v>272</v>
      </c>
      <c r="U3" s="198" t="s">
        <v>273</v>
      </c>
      <c r="V3" s="198" t="s">
        <v>274</v>
      </c>
      <c r="X3" s="198" t="s">
        <v>275</v>
      </c>
      <c r="Y3" s="198" t="s">
        <v>276</v>
      </c>
      <c r="Z3" s="198" t="s">
        <v>277</v>
      </c>
    </row>
    <row r="4" spans="2:27" x14ac:dyDescent="0.3">
      <c r="B4" t="s">
        <v>278</v>
      </c>
      <c r="C4" t="s">
        <v>279</v>
      </c>
      <c r="D4" s="67">
        <f>Summary!U19</f>
        <v>11600</v>
      </c>
      <c r="E4" s="67">
        <f>Summary!X40</f>
        <v>400</v>
      </c>
      <c r="F4" s="199">
        <f>0.03/(1-H4)/(1-J4)/(1-M4)</f>
        <v>3.6619750205053321E-2</v>
      </c>
      <c r="G4" s="200">
        <f>(K4-I4)*(1-H4)</f>
        <v>12058.031645082163</v>
      </c>
      <c r="H4" s="242">
        <v>0.06</v>
      </c>
      <c r="I4" s="98">
        <f>K4*J4</f>
        <v>1572.3067605508902</v>
      </c>
      <c r="J4" s="199">
        <f>Runs!AA54</f>
        <v>0.10918796948270071</v>
      </c>
      <c r="K4" s="98">
        <f>Summary!U55</f>
        <v>14400</v>
      </c>
      <c r="L4" s="98">
        <f>Summary!X38</f>
        <v>300</v>
      </c>
      <c r="M4" s="202">
        <f>Summary!U38</f>
        <v>2.1655179781323121E-2</v>
      </c>
      <c r="N4" s="67">
        <f>Summary!U51</f>
        <v>14700</v>
      </c>
      <c r="O4" s="203"/>
      <c r="P4" s="16"/>
      <c r="Q4" s="16"/>
    </row>
    <row r="5" spans="2:27" x14ac:dyDescent="0.3">
      <c r="C5" t="s">
        <v>280</v>
      </c>
      <c r="D5" s="16">
        <f>D4</f>
        <v>11600</v>
      </c>
      <c r="E5" s="16">
        <f>G5*F5</f>
        <v>440.93607116092937</v>
      </c>
      <c r="F5" s="204">
        <f>F$4</f>
        <v>3.6619750205053321E-2</v>
      </c>
      <c r="G5" s="205">
        <f>D5/(1-F5)</f>
        <v>12040.93607116093</v>
      </c>
      <c r="H5" s="204">
        <f>H$4</f>
        <v>0.06</v>
      </c>
      <c r="I5" s="36">
        <f>K5*J5</f>
        <v>1570.077583580467</v>
      </c>
      <c r="J5" s="204">
        <f>J$4</f>
        <v>0.10918796948270071</v>
      </c>
      <c r="K5" s="36">
        <f>G5/(1-H5)/(1-J5)</f>
        <v>14379.584042262308</v>
      </c>
      <c r="L5" s="36">
        <f>N5*M5</f>
        <v>318.28499643534042</v>
      </c>
      <c r="M5" s="204">
        <f>M$4</f>
        <v>2.1655179781323121E-2</v>
      </c>
      <c r="N5" s="16">
        <f>K5/(1-M5)</f>
        <v>14697.869038697649</v>
      </c>
      <c r="O5" s="204">
        <f>O$4</f>
        <v>0</v>
      </c>
      <c r="P5" s="16">
        <f>Q5*O5</f>
        <v>0</v>
      </c>
      <c r="Q5" s="16">
        <f>N5/(1-O5)</f>
        <v>14697.869038697649</v>
      </c>
      <c r="S5" s="16">
        <f>E5+I5+L5</f>
        <v>2329.2986511767367</v>
      </c>
      <c r="T5" s="16"/>
      <c r="U5" s="16">
        <f>L5+P5+E5+I5</f>
        <v>2329.2986511767367</v>
      </c>
      <c r="V5" s="206">
        <f>U5/Q5</f>
        <v>0.15847866415491832</v>
      </c>
    </row>
    <row r="6" spans="2:27" x14ac:dyDescent="0.3">
      <c r="V6" s="207"/>
    </row>
    <row r="7" spans="2:27" x14ac:dyDescent="0.3">
      <c r="C7" t="s">
        <v>250</v>
      </c>
      <c r="D7" s="16">
        <f>Summary!W19</f>
        <v>17750</v>
      </c>
      <c r="E7" s="16">
        <f t="shared" ref="E7:E9" si="0">G7*F7</f>
        <v>674.70821233676702</v>
      </c>
      <c r="F7" s="204">
        <f t="shared" ref="F7" si="1">F$4</f>
        <v>3.6619750205053321E-2</v>
      </c>
      <c r="G7" s="205">
        <f t="shared" ref="G7:G9" si="2">D7/(1-F7)</f>
        <v>18424.708212336769</v>
      </c>
      <c r="H7" s="204">
        <f t="shared" ref="H7:H9" si="3">H$4</f>
        <v>0.06</v>
      </c>
      <c r="I7" s="36">
        <f t="shared" ref="I7:I9" si="4">K7*J7</f>
        <v>2402.4894059097664</v>
      </c>
      <c r="J7" s="204">
        <f t="shared" ref="J7" si="5">J$4</f>
        <v>0.10918796948270071</v>
      </c>
      <c r="K7" s="36">
        <f t="shared" ref="K7:K9" si="6">G7/(1-H7)/(1-J7)</f>
        <v>22003.242823289311</v>
      </c>
      <c r="L7" s="36">
        <f t="shared" ref="L7:L9" si="7">N7*M7</f>
        <v>487.03092126959422</v>
      </c>
      <c r="M7" s="204">
        <f t="shared" ref="M7" si="8">M$4</f>
        <v>2.1655179781323121E-2</v>
      </c>
      <c r="N7" s="16">
        <f t="shared" ref="N7:N9" si="9">K7/(1-M7)</f>
        <v>22490.273744558905</v>
      </c>
      <c r="O7" s="204">
        <f t="shared" ref="O7:O9" si="10">O$4</f>
        <v>0</v>
      </c>
      <c r="P7" s="16">
        <f t="shared" ref="P7:P9" si="11">Q7*O7</f>
        <v>0</v>
      </c>
      <c r="Q7" s="16">
        <f t="shared" ref="Q7:Q9" si="12">N7/(1-O7)</f>
        <v>22490.273744558905</v>
      </c>
      <c r="S7" s="16">
        <f t="shared" ref="S7:S9" si="13">E7+I7+L7</f>
        <v>3564.2285395161275</v>
      </c>
      <c r="T7" s="60">
        <f t="shared" ref="T7:T8" si="14">S7/N7</f>
        <v>0.15847866415491829</v>
      </c>
      <c r="U7" s="16">
        <f t="shared" ref="U7:U9" si="15">L7+P7+E7+I7</f>
        <v>3564.228539516128</v>
      </c>
      <c r="V7" s="206">
        <f t="shared" ref="V7:V9" si="16">U7/Q7</f>
        <v>0.15847866415491832</v>
      </c>
      <c r="X7" s="201">
        <f>V5</f>
        <v>0.15847866415491832</v>
      </c>
      <c r="Y7" s="207">
        <f>(X7-O7)/(1-O7)</f>
        <v>0.15847866415491832</v>
      </c>
    </row>
    <row r="8" spans="2:27" x14ac:dyDescent="0.3">
      <c r="C8" t="s">
        <v>281</v>
      </c>
      <c r="D8" s="16">
        <f>Summary!X19</f>
        <v>40425</v>
      </c>
      <c r="E8" s="16">
        <f t="shared" si="0"/>
        <v>2890.3405275396949</v>
      </c>
      <c r="F8" s="204">
        <f>F$4*$Z8</f>
        <v>6.6727872673701588E-2</v>
      </c>
      <c r="G8" s="205">
        <f t="shared" si="2"/>
        <v>43315.340527539694</v>
      </c>
      <c r="H8" s="204">
        <f t="shared" si="3"/>
        <v>0.06</v>
      </c>
      <c r="I8" s="36">
        <f t="shared" si="4"/>
        <v>11445.284597370641</v>
      </c>
      <c r="J8" s="204">
        <f t="shared" ref="J8:J9" si="17">J$4*$Z8</f>
        <v>0.19896042120288021</v>
      </c>
      <c r="K8" s="36">
        <f t="shared" si="6"/>
        <v>57525.434094753291</v>
      </c>
      <c r="L8" s="36">
        <f t="shared" si="7"/>
        <v>2363.1865493985952</v>
      </c>
      <c r="M8" s="204">
        <f t="shared" ref="M8:M9" si="18">M$4*$Z8</f>
        <v>3.945969240868398E-2</v>
      </c>
      <c r="N8" s="16">
        <f t="shared" si="9"/>
        <v>59888.620644151888</v>
      </c>
      <c r="O8" s="204">
        <f t="shared" si="10"/>
        <v>0</v>
      </c>
      <c r="P8" s="16">
        <f t="shared" si="11"/>
        <v>0</v>
      </c>
      <c r="Q8" s="16">
        <f t="shared" si="12"/>
        <v>59888.620644151888</v>
      </c>
      <c r="S8" s="16">
        <f t="shared" si="13"/>
        <v>16698.81167430893</v>
      </c>
      <c r="T8" s="60">
        <f t="shared" si="14"/>
        <v>0.27883112842973062</v>
      </c>
      <c r="U8" s="16">
        <f t="shared" si="15"/>
        <v>16698.81167430893</v>
      </c>
      <c r="V8" s="206">
        <f t="shared" si="16"/>
        <v>0.27883112842973062</v>
      </c>
      <c r="X8" s="201">
        <f>AVERAGE(X7,X9)</f>
        <v>0.27923933207745916</v>
      </c>
      <c r="Y8" s="207">
        <f>(X8-O8)/(1-O8)</f>
        <v>0.27923933207745916</v>
      </c>
      <c r="Z8" s="209">
        <v>1.8221826282281279</v>
      </c>
    </row>
    <row r="9" spans="2:27" x14ac:dyDescent="0.3">
      <c r="C9" t="s">
        <v>252</v>
      </c>
      <c r="D9" s="16">
        <f>Summary!Y19</f>
        <v>114500</v>
      </c>
      <c r="E9" s="16">
        <f t="shared" si="0"/>
        <v>12638.402101647318</v>
      </c>
      <c r="F9" s="204">
        <f>F$4*$Z9</f>
        <v>9.9406645771298111E-2</v>
      </c>
      <c r="G9" s="205">
        <f t="shared" si="2"/>
        <v>127138.40210164731</v>
      </c>
      <c r="H9" s="204">
        <f t="shared" si="3"/>
        <v>0.06</v>
      </c>
      <c r="I9" s="36">
        <f t="shared" si="4"/>
        <v>56976.593210840343</v>
      </c>
      <c r="J9" s="204">
        <f t="shared" si="17"/>
        <v>0.29639770189793224</v>
      </c>
      <c r="K9" s="36">
        <f t="shared" si="6"/>
        <v>192230.21246791194</v>
      </c>
      <c r="L9" s="36">
        <f t="shared" si="7"/>
        <v>12005.889706770471</v>
      </c>
      <c r="M9" s="204">
        <f t="shared" si="18"/>
        <v>5.878436563826446E-2</v>
      </c>
      <c r="N9" s="16">
        <f t="shared" si="9"/>
        <v>204236.10217468243</v>
      </c>
      <c r="O9" s="204">
        <f t="shared" si="10"/>
        <v>0</v>
      </c>
      <c r="P9" s="16">
        <f t="shared" si="11"/>
        <v>0</v>
      </c>
      <c r="Q9" s="16">
        <f t="shared" si="12"/>
        <v>204236.10217468243</v>
      </c>
      <c r="S9" s="16">
        <f t="shared" si="13"/>
        <v>81620.88501925813</v>
      </c>
      <c r="T9" s="60">
        <f>S9/N9</f>
        <v>0.39963984893056798</v>
      </c>
      <c r="U9" s="16">
        <f t="shared" si="15"/>
        <v>81620.88501925813</v>
      </c>
      <c r="V9" s="206">
        <f t="shared" si="16"/>
        <v>0.39963984893056798</v>
      </c>
      <c r="X9" s="208">
        <v>0.4</v>
      </c>
      <c r="Y9" s="207">
        <f>(X9-O9)/(1-O9)</f>
        <v>0.4</v>
      </c>
      <c r="Z9" s="209">
        <v>2.7145637317203914</v>
      </c>
    </row>
    <row r="11" spans="2:27" x14ac:dyDescent="0.3">
      <c r="D11" s="16"/>
      <c r="L11" s="16"/>
    </row>
    <row r="12" spans="2:27" s="210" customFormat="1" ht="76.8" customHeight="1" x14ac:dyDescent="0.3">
      <c r="D12" s="210" t="s">
        <v>282</v>
      </c>
      <c r="E12" s="210" t="s">
        <v>283</v>
      </c>
      <c r="F12" s="198" t="s">
        <v>267</v>
      </c>
      <c r="G12" s="198" t="s">
        <v>266</v>
      </c>
      <c r="H12" s="198" t="s">
        <v>265</v>
      </c>
      <c r="I12" s="198" t="s">
        <v>264</v>
      </c>
      <c r="J12" s="198" t="s">
        <v>263</v>
      </c>
      <c r="K12" s="198" t="s">
        <v>262</v>
      </c>
      <c r="L12" s="198" t="s">
        <v>261</v>
      </c>
      <c r="M12" s="198" t="s">
        <v>346</v>
      </c>
      <c r="N12" s="198" t="s">
        <v>260</v>
      </c>
      <c r="O12" s="198" t="s">
        <v>259</v>
      </c>
      <c r="P12" s="198" t="s">
        <v>174</v>
      </c>
      <c r="Q12" s="198"/>
      <c r="R12" s="198"/>
      <c r="S12" s="198" t="s">
        <v>271</v>
      </c>
      <c r="T12" s="198" t="s">
        <v>272</v>
      </c>
      <c r="U12" s="198"/>
      <c r="V12" s="198"/>
      <c r="W12" s="198"/>
      <c r="X12" s="198" t="s">
        <v>275</v>
      </c>
      <c r="Y12" s="198" t="s">
        <v>276</v>
      </c>
      <c r="Z12" s="198" t="s">
        <v>277</v>
      </c>
      <c r="AA12" s="198"/>
    </row>
    <row r="13" spans="2:27" x14ac:dyDescent="0.3">
      <c r="B13" t="s">
        <v>1</v>
      </c>
      <c r="C13" t="s">
        <v>279</v>
      </c>
      <c r="D13" s="67">
        <v>5860000</v>
      </c>
      <c r="E13" s="203">
        <f>F13/D13</f>
        <v>8.0566042524381157E-3</v>
      </c>
      <c r="F13" s="247">
        <f>Runs!AW54*0.8</f>
        <v>47211.700919287359</v>
      </c>
      <c r="G13" s="199">
        <f>Runs!L54</f>
        <v>9.4131913707407144E-2</v>
      </c>
      <c r="H13" s="67">
        <f>Runs!AX54</f>
        <v>5633.4026302043412</v>
      </c>
      <c r="I13" s="247">
        <f>Runs!AS54*0.8</f>
        <v>42704.97881512389</v>
      </c>
      <c r="J13" s="248">
        <f>Runs!AA54</f>
        <v>0.10918796948270071</v>
      </c>
      <c r="K13" s="67">
        <f>Runs!AY54</f>
        <v>5813.6901855715232</v>
      </c>
      <c r="L13" s="250">
        <f>(1-(Runs!AQ54))/2</f>
        <v>4.9999999999999933E-2</v>
      </c>
      <c r="M13" s="67">
        <f>I13*(1-J13)*(1-L13)</f>
        <v>36140.003446923831</v>
      </c>
      <c r="N13" s="249">
        <f>0.05/(1-L13)/(1-J13)/(1-G13)</f>
        <v>6.5222188266028908E-2</v>
      </c>
      <c r="O13" s="67">
        <f>M13*N13</f>
        <v>2357.1301087501997</v>
      </c>
      <c r="P13" s="67">
        <f>M13-O13</f>
        <v>33782.873338173631</v>
      </c>
      <c r="R13" s="211"/>
      <c r="S13" s="16">
        <f>H13+K13+O13</f>
        <v>13804.222924526064</v>
      </c>
      <c r="T13" s="211">
        <f>S13/F13</f>
        <v>0.29238986640463605</v>
      </c>
    </row>
    <row r="14" spans="2:27" x14ac:dyDescent="0.3">
      <c r="C14" t="s">
        <v>280</v>
      </c>
      <c r="D14" s="16">
        <f>D13</f>
        <v>5860000</v>
      </c>
      <c r="E14" s="62">
        <f>E$13</f>
        <v>8.0566042524381157E-3</v>
      </c>
      <c r="F14" s="93">
        <f>E14*D14</f>
        <v>47211.700919287359</v>
      </c>
      <c r="G14" s="246">
        <f>G$13</f>
        <v>9.4131913707407144E-2</v>
      </c>
      <c r="H14" s="16">
        <f>G14*F14</f>
        <v>4444.1277569142721</v>
      </c>
      <c r="I14" s="93">
        <f>F14-H14</f>
        <v>42767.57316237309</v>
      </c>
      <c r="J14" s="246">
        <f>J$13</f>
        <v>0.10918796948270071</v>
      </c>
      <c r="K14" s="16">
        <f>J14*I14</f>
        <v>4669.7044733023631</v>
      </c>
      <c r="L14" s="246">
        <f>L$13</f>
        <v>4.9999999999999933E-2</v>
      </c>
      <c r="M14" s="16">
        <f>I14*(1-J14)*(1-L14)</f>
        <v>36192.975254617188</v>
      </c>
      <c r="N14" s="246">
        <f>N$13</f>
        <v>6.5222188266028908E-2</v>
      </c>
      <c r="O14" s="16">
        <f>N14*M14</f>
        <v>2360.585045964368</v>
      </c>
      <c r="P14" s="16">
        <f>M14-O14</f>
        <v>33832.390208652818</v>
      </c>
      <c r="Q14" s="16"/>
      <c r="S14" s="16">
        <f>H14+K14+O14</f>
        <v>11474.417276181002</v>
      </c>
      <c r="T14" s="211">
        <f>S14/F14</f>
        <v>0.24304181066887526</v>
      </c>
      <c r="U14" s="16"/>
      <c r="W14" s="16"/>
      <c r="X14" s="206"/>
      <c r="Z14" s="207"/>
    </row>
    <row r="15" spans="2:27" x14ac:dyDescent="0.3">
      <c r="X15" s="207"/>
    </row>
    <row r="16" spans="2:27" x14ac:dyDescent="0.3">
      <c r="C16" t="s">
        <v>250</v>
      </c>
      <c r="D16" s="67">
        <f>Summary!$V$33+Summary!$V$29+Summary!$W$29</f>
        <v>6380000</v>
      </c>
      <c r="E16" s="62">
        <f t="shared" ref="E16:E18" si="19">E$13</f>
        <v>8.0566042524381157E-3</v>
      </c>
      <c r="F16" s="16">
        <f t="shared" ref="F16:F18" si="20">E16*D16</f>
        <v>51401.13513055518</v>
      </c>
      <c r="G16" s="246">
        <f t="shared" ref="G16" si="21">G$13</f>
        <v>9.4131913707407144E-2</v>
      </c>
      <c r="H16" s="16">
        <f t="shared" ref="H16:H18" si="22">G16*F16</f>
        <v>4838.4872165721945</v>
      </c>
      <c r="I16" s="16">
        <f t="shared" ref="I16:I18" si="23">F16-H16</f>
        <v>46562.647913982983</v>
      </c>
      <c r="J16" s="246">
        <f t="shared" ref="J16" si="24">J$13</f>
        <v>0.10918796948270071</v>
      </c>
      <c r="K16" s="16">
        <f t="shared" ref="K16:K18" si="25">J16*I16</f>
        <v>5084.0809794657116</v>
      </c>
      <c r="L16" s="246">
        <f t="shared" ref="L16:L18" si="26">L$13</f>
        <v>4.9999999999999933E-2</v>
      </c>
      <c r="M16" s="16">
        <f t="shared" ref="M16:M18" si="27">I16*(1-J16)*(1-L16)</f>
        <v>39404.638587791414</v>
      </c>
      <c r="N16" s="246">
        <f t="shared" ref="N16" si="28">N$13</f>
        <v>6.5222188266028908E-2</v>
      </c>
      <c r="O16" s="16">
        <f t="shared" ref="O16:O18" si="29">N16*M16</f>
        <v>2570.0567565277593</v>
      </c>
      <c r="P16" s="16">
        <f t="shared" ref="P16:P18" si="30">M16-O16</f>
        <v>36834.581831263655</v>
      </c>
      <c r="Q16" s="16"/>
      <c r="S16" s="16">
        <f t="shared" ref="S16:S18" si="31">H16+K16+O16</f>
        <v>12492.624952565666</v>
      </c>
      <c r="T16" s="211">
        <f t="shared" ref="T16:T18" si="32">S16/F16</f>
        <v>0.24304181066887529</v>
      </c>
      <c r="U16" s="16"/>
      <c r="W16" s="16"/>
      <c r="X16" s="206"/>
      <c r="Y16" s="211">
        <f>T16</f>
        <v>0.24304181066887529</v>
      </c>
      <c r="Z16" s="207"/>
    </row>
    <row r="17" spans="3:26" x14ac:dyDescent="0.3">
      <c r="C17" t="s">
        <v>281</v>
      </c>
      <c r="D17" s="67">
        <f>AVERAGE(D16,D18)</f>
        <v>6655000</v>
      </c>
      <c r="E17" s="62">
        <f t="shared" si="19"/>
        <v>8.0566042524381157E-3</v>
      </c>
      <c r="F17" s="16">
        <f t="shared" si="20"/>
        <v>53616.701299975663</v>
      </c>
      <c r="G17" s="62">
        <f t="shared" ref="G17:G18" si="33">G$13*$Z17</f>
        <v>0.20295242064161015</v>
      </c>
      <c r="H17" s="16">
        <f t="shared" si="22"/>
        <v>10881.639315648226</v>
      </c>
      <c r="I17" s="16">
        <f t="shared" si="23"/>
        <v>42735.061984327433</v>
      </c>
      <c r="J17" s="62">
        <f t="shared" ref="J17:J18" si="34">J$13*$Z17</f>
        <v>0.23541391902789521</v>
      </c>
      <c r="K17" s="16">
        <f t="shared" si="25"/>
        <v>10060.42842163054</v>
      </c>
      <c r="L17" s="246">
        <f t="shared" si="26"/>
        <v>4.9999999999999933E-2</v>
      </c>
      <c r="M17" s="16">
        <f t="shared" si="27"/>
        <v>31040.901884562049</v>
      </c>
      <c r="N17" s="62">
        <f t="shared" ref="N17:N18" si="35">N$13*$Z17</f>
        <v>0.14062181960178061</v>
      </c>
      <c r="O17" s="16">
        <f t="shared" si="29"/>
        <v>4365.0281050874564</v>
      </c>
      <c r="P17" s="16">
        <f t="shared" si="30"/>
        <v>26675.87377947459</v>
      </c>
      <c r="Q17" s="16"/>
      <c r="S17" s="16">
        <f t="shared" si="31"/>
        <v>25307.095842366223</v>
      </c>
      <c r="T17" s="211">
        <f t="shared" si="32"/>
        <v>0.4720002392683138</v>
      </c>
      <c r="U17" s="16"/>
      <c r="W17" s="16"/>
      <c r="X17" s="206"/>
      <c r="Y17" s="211">
        <f>AVERAGE(Y16,Y18)</f>
        <v>0.47152090533443763</v>
      </c>
      <c r="Z17" s="201">
        <v>2.1560426495997183</v>
      </c>
    </row>
    <row r="18" spans="3:26" x14ac:dyDescent="0.3">
      <c r="C18" t="s">
        <v>252</v>
      </c>
      <c r="D18" s="67">
        <f>Summary!Y29+Summary!Y33</f>
        <v>6930000</v>
      </c>
      <c r="E18" s="62">
        <f t="shared" si="19"/>
        <v>8.0566042524381157E-3</v>
      </c>
      <c r="F18" s="16">
        <f t="shared" si="20"/>
        <v>55832.267469396145</v>
      </c>
      <c r="G18" s="62">
        <f t="shared" si="33"/>
        <v>0.34780679893296557</v>
      </c>
      <c r="H18" s="16">
        <f t="shared" si="22"/>
        <v>19418.84222569982</v>
      </c>
      <c r="I18" s="16">
        <f t="shared" si="23"/>
        <v>36413.425243696329</v>
      </c>
      <c r="J18" s="62">
        <f t="shared" si="34"/>
        <v>0.40343722603803972</v>
      </c>
      <c r="K18" s="16">
        <f t="shared" si="25"/>
        <v>14690.531270860378</v>
      </c>
      <c r="L18" s="246">
        <f t="shared" si="26"/>
        <v>4.9999999999999933E-2</v>
      </c>
      <c r="M18" s="16">
        <f t="shared" si="27"/>
        <v>20636.749274194157</v>
      </c>
      <c r="N18" s="62">
        <f t="shared" si="35"/>
        <v>0.24098862571435967</v>
      </c>
      <c r="O18" s="16">
        <f t="shared" si="29"/>
        <v>4973.2218467998591</v>
      </c>
      <c r="P18" s="16">
        <f t="shared" si="30"/>
        <v>15663.527427394298</v>
      </c>
      <c r="Q18" s="16"/>
      <c r="S18" s="16">
        <f t="shared" si="31"/>
        <v>39082.595343360059</v>
      </c>
      <c r="T18" s="211">
        <f t="shared" si="32"/>
        <v>0.70000014534216726</v>
      </c>
      <c r="U18" s="16"/>
      <c r="W18" s="16"/>
      <c r="X18" s="206"/>
      <c r="Y18">
        <v>0.7</v>
      </c>
      <c r="Z18" s="201">
        <v>3.6948871560612604</v>
      </c>
    </row>
  </sheetData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38"/>
  <sheetViews>
    <sheetView workbookViewId="0">
      <selection activeCell="O20" sqref="O20"/>
    </sheetView>
  </sheetViews>
  <sheetFormatPr defaultRowHeight="14.4" x14ac:dyDescent="0.3"/>
  <cols>
    <col min="1" max="1" width="13.109375" customWidth="1"/>
    <col min="2" max="2" width="9.109375" style="12"/>
    <col min="3" max="3" width="20.88671875" customWidth="1"/>
    <col min="4" max="4" width="1.88671875" customWidth="1"/>
    <col min="5" max="5" width="8" customWidth="1"/>
    <col min="6" max="6" width="2.5546875" customWidth="1"/>
    <col min="7" max="7" width="12" customWidth="1"/>
    <col min="8" max="8" width="11.109375" customWidth="1"/>
    <col min="14" max="14" width="2.6640625" customWidth="1"/>
    <col min="18" max="18" width="2.109375" customWidth="1"/>
  </cols>
  <sheetData>
    <row r="1" spans="1:21" x14ac:dyDescent="0.3">
      <c r="E1" t="s">
        <v>208</v>
      </c>
      <c r="O1" t="s">
        <v>166</v>
      </c>
      <c r="S1" t="s">
        <v>152</v>
      </c>
    </row>
    <row r="2" spans="1:21" x14ac:dyDescent="0.3">
      <c r="E2" t="s">
        <v>211</v>
      </c>
      <c r="G2" t="s">
        <v>41</v>
      </c>
      <c r="H2" t="s">
        <v>151</v>
      </c>
      <c r="I2" t="s">
        <v>151</v>
      </c>
      <c r="J2" t="s">
        <v>151</v>
      </c>
      <c r="K2" t="s">
        <v>167</v>
      </c>
      <c r="L2" t="s">
        <v>167</v>
      </c>
      <c r="M2" t="s">
        <v>181</v>
      </c>
      <c r="O2" t="s">
        <v>18</v>
      </c>
      <c r="P2" t="s">
        <v>19</v>
      </c>
      <c r="Q2" t="s">
        <v>20</v>
      </c>
      <c r="S2" s="12" t="s">
        <v>18</v>
      </c>
      <c r="T2" s="12" t="s">
        <v>19</v>
      </c>
      <c r="U2" s="12" t="s">
        <v>20</v>
      </c>
    </row>
    <row r="3" spans="1:21" x14ac:dyDescent="0.3">
      <c r="E3" s="12" t="s">
        <v>212</v>
      </c>
      <c r="G3" t="s">
        <v>169</v>
      </c>
      <c r="H3" t="s">
        <v>168</v>
      </c>
      <c r="I3" t="s">
        <v>157</v>
      </c>
      <c r="J3" t="s">
        <v>160</v>
      </c>
      <c r="K3" t="s">
        <v>157</v>
      </c>
      <c r="L3" t="s">
        <v>210</v>
      </c>
      <c r="M3" s="12" t="s">
        <v>171</v>
      </c>
      <c r="O3" t="s">
        <v>153</v>
      </c>
      <c r="P3" t="s">
        <v>153</v>
      </c>
      <c r="Q3" t="s">
        <v>153</v>
      </c>
    </row>
    <row r="4" spans="1:21" x14ac:dyDescent="0.3">
      <c r="A4" t="s">
        <v>49</v>
      </c>
      <c r="B4" s="336" t="s">
        <v>29</v>
      </c>
      <c r="C4" s="13" t="s">
        <v>21</v>
      </c>
      <c r="E4" s="98">
        <v>517</v>
      </c>
      <c r="F4" s="16"/>
      <c r="G4" s="67">
        <v>509</v>
      </c>
      <c r="H4" s="67"/>
      <c r="I4" s="67">
        <v>1513</v>
      </c>
      <c r="J4" s="16"/>
      <c r="K4" s="67">
        <v>1183</v>
      </c>
      <c r="L4" s="67"/>
      <c r="M4" s="67">
        <v>750</v>
      </c>
      <c r="N4" s="16"/>
      <c r="O4" s="16"/>
      <c r="P4" s="16"/>
      <c r="Q4" s="16"/>
      <c r="S4" s="16">
        <f>M4</f>
        <v>750</v>
      </c>
      <c r="T4">
        <f t="shared" ref="T4:T16" si="0">S4+((U4-S4)/2)</f>
        <v>975</v>
      </c>
      <c r="U4" s="16">
        <f>ROUND(K4,-2)</f>
        <v>1200</v>
      </c>
    </row>
    <row r="5" spans="1:21" x14ac:dyDescent="0.3">
      <c r="B5" s="337"/>
      <c r="C5" s="23" t="s">
        <v>161</v>
      </c>
      <c r="E5" s="98" t="s">
        <v>2</v>
      </c>
      <c r="F5" s="16"/>
      <c r="G5" s="67">
        <f>2001+690</f>
        <v>2691</v>
      </c>
      <c r="H5" s="68" t="s">
        <v>170</v>
      </c>
      <c r="I5" s="67">
        <f>4195+1531</f>
        <v>5726</v>
      </c>
      <c r="J5" s="16">
        <f>I5</f>
        <v>5726</v>
      </c>
      <c r="K5" s="67">
        <f>2409+831</f>
        <v>3240</v>
      </c>
      <c r="L5" s="67"/>
      <c r="M5" s="67">
        <v>1000</v>
      </c>
      <c r="N5" s="16"/>
      <c r="O5" s="16"/>
      <c r="P5" s="16"/>
      <c r="Q5" s="16"/>
      <c r="S5" s="16">
        <f t="shared" ref="S5:S16" si="1">M5</f>
        <v>1000</v>
      </c>
      <c r="T5">
        <f t="shared" si="0"/>
        <v>2100</v>
      </c>
      <c r="U5" s="16">
        <f t="shared" ref="U5:U7" si="2">ROUND(K5,-2)</f>
        <v>3200</v>
      </c>
    </row>
    <row r="6" spans="1:21" x14ac:dyDescent="0.3">
      <c r="B6" s="337"/>
      <c r="C6" s="23" t="s">
        <v>32</v>
      </c>
      <c r="E6" s="98" t="s">
        <v>2</v>
      </c>
      <c r="F6" s="16"/>
      <c r="G6" s="67">
        <v>1364</v>
      </c>
      <c r="H6" s="68" t="s">
        <v>170</v>
      </c>
      <c r="I6" s="67">
        <v>1256</v>
      </c>
      <c r="J6" s="16">
        <f t="shared" ref="J6:J7" si="3">I6</f>
        <v>1256</v>
      </c>
      <c r="K6" s="67">
        <f>1399</f>
        <v>1399</v>
      </c>
      <c r="L6" s="67"/>
      <c r="M6" s="67">
        <v>750</v>
      </c>
      <c r="N6" s="16"/>
      <c r="O6" s="16"/>
      <c r="P6" s="16"/>
      <c r="Q6" s="16"/>
      <c r="S6" s="16">
        <f t="shared" si="1"/>
        <v>750</v>
      </c>
      <c r="T6">
        <f t="shared" si="0"/>
        <v>1075</v>
      </c>
      <c r="U6" s="16">
        <f t="shared" si="2"/>
        <v>1400</v>
      </c>
    </row>
    <row r="7" spans="1:21" x14ac:dyDescent="0.3">
      <c r="B7" s="338"/>
      <c r="C7" s="24" t="s">
        <v>162</v>
      </c>
      <c r="E7" s="98" t="s">
        <v>2</v>
      </c>
      <c r="F7" s="16"/>
      <c r="G7" s="67">
        <f>208+0+0</f>
        <v>208</v>
      </c>
      <c r="H7" s="68" t="s">
        <v>170</v>
      </c>
      <c r="I7" s="67">
        <f>1649+285+1835</f>
        <v>3769</v>
      </c>
      <c r="J7" s="16">
        <f t="shared" si="3"/>
        <v>3769</v>
      </c>
      <c r="K7" s="67">
        <f>285+170+861</f>
        <v>1316</v>
      </c>
      <c r="L7" s="67"/>
      <c r="M7" s="67">
        <v>750</v>
      </c>
      <c r="N7" s="16"/>
      <c r="O7" s="16"/>
      <c r="P7" s="16"/>
      <c r="Q7" s="16"/>
      <c r="S7" s="16">
        <f t="shared" si="1"/>
        <v>750</v>
      </c>
      <c r="T7">
        <f t="shared" si="0"/>
        <v>1025</v>
      </c>
      <c r="U7" s="16">
        <f t="shared" si="2"/>
        <v>1300</v>
      </c>
    </row>
    <row r="8" spans="1:21" x14ac:dyDescent="0.3">
      <c r="B8" s="339" t="s">
        <v>22</v>
      </c>
      <c r="C8" s="13" t="s">
        <v>25</v>
      </c>
      <c r="E8" s="98" t="s">
        <v>2</v>
      </c>
      <c r="F8" s="16"/>
      <c r="G8" s="67">
        <v>217</v>
      </c>
      <c r="H8" s="67">
        <v>6280</v>
      </c>
      <c r="I8" s="67">
        <v>1767</v>
      </c>
      <c r="J8" s="16">
        <f>AVERAGE(H8:I8)</f>
        <v>4023.5</v>
      </c>
      <c r="K8" s="96" t="s">
        <v>209</v>
      </c>
      <c r="L8" s="96"/>
      <c r="M8" s="67">
        <v>1000</v>
      </c>
      <c r="N8" s="16"/>
      <c r="O8" s="341">
        <v>5930</v>
      </c>
      <c r="P8" s="341">
        <v>12000</v>
      </c>
      <c r="Q8" s="341">
        <v>20000</v>
      </c>
      <c r="S8" s="16">
        <f t="shared" si="1"/>
        <v>1000</v>
      </c>
      <c r="T8">
        <f t="shared" si="0"/>
        <v>2000</v>
      </c>
      <c r="U8" s="16">
        <f>3*S8</f>
        <v>3000</v>
      </c>
    </row>
    <row r="9" spans="1:21" x14ac:dyDescent="0.3">
      <c r="B9" s="339"/>
      <c r="C9" s="14" t="s">
        <v>23</v>
      </c>
      <c r="E9" s="98" t="s">
        <v>2</v>
      </c>
      <c r="F9" s="16"/>
      <c r="G9" s="67">
        <f>1731+85</f>
        <v>1816</v>
      </c>
      <c r="H9" s="67">
        <f>22280+3760</f>
        <v>26040</v>
      </c>
      <c r="I9" s="67">
        <f>6252+1059</f>
        <v>7311</v>
      </c>
      <c r="J9" s="16">
        <f t="shared" ref="J9:J10" si="4">AVERAGE(H9:I9)</f>
        <v>16675.5</v>
      </c>
      <c r="K9" s="96" t="s">
        <v>209</v>
      </c>
      <c r="L9" s="96"/>
      <c r="M9" s="67">
        <v>2000</v>
      </c>
      <c r="N9" s="16"/>
      <c r="O9" s="341"/>
      <c r="P9" s="341"/>
      <c r="Q9" s="341"/>
      <c r="S9" s="16">
        <f t="shared" si="1"/>
        <v>2000</v>
      </c>
      <c r="T9">
        <f t="shared" si="0"/>
        <v>4000</v>
      </c>
      <c r="U9" s="16">
        <f t="shared" ref="U9:U10" si="5">3*S9</f>
        <v>6000</v>
      </c>
    </row>
    <row r="10" spans="1:21" x14ac:dyDescent="0.3">
      <c r="B10" s="339"/>
      <c r="C10" s="14" t="s">
        <v>24</v>
      </c>
      <c r="E10" s="98" t="s">
        <v>2</v>
      </c>
      <c r="F10" s="16"/>
      <c r="G10" s="67">
        <v>177</v>
      </c>
      <c r="H10" s="67">
        <v>7680</v>
      </c>
      <c r="I10" s="67">
        <v>2152</v>
      </c>
      <c r="J10" s="16">
        <f t="shared" si="4"/>
        <v>4916</v>
      </c>
      <c r="K10" s="96" t="s">
        <v>209</v>
      </c>
      <c r="L10" s="96"/>
      <c r="M10" s="67">
        <v>1000</v>
      </c>
      <c r="N10" s="16"/>
      <c r="O10" s="341"/>
      <c r="P10" s="341"/>
      <c r="Q10" s="341"/>
      <c r="S10" s="16">
        <f t="shared" si="1"/>
        <v>1000</v>
      </c>
      <c r="T10">
        <f t="shared" si="0"/>
        <v>2000</v>
      </c>
      <c r="U10" s="16">
        <f t="shared" si="5"/>
        <v>3000</v>
      </c>
    </row>
    <row r="11" spans="1:21" x14ac:dyDescent="0.3">
      <c r="B11" s="339" t="s">
        <v>31</v>
      </c>
      <c r="C11" s="13" t="s">
        <v>186</v>
      </c>
      <c r="E11" s="98" t="s">
        <v>2</v>
      </c>
      <c r="F11" s="16"/>
      <c r="G11" s="67">
        <v>440</v>
      </c>
      <c r="H11" s="67"/>
      <c r="I11" s="97">
        <v>4958</v>
      </c>
      <c r="J11" s="16"/>
      <c r="K11" s="67">
        <v>1702</v>
      </c>
      <c r="L11" s="67">
        <v>4126</v>
      </c>
      <c r="M11" s="67">
        <v>1000</v>
      </c>
      <c r="N11" s="16"/>
      <c r="O11" s="16"/>
      <c r="P11" s="16"/>
      <c r="Q11" s="16">
        <v>3000</v>
      </c>
      <c r="S11" s="16">
        <f t="shared" si="1"/>
        <v>1000</v>
      </c>
      <c r="T11">
        <f t="shared" si="0"/>
        <v>1350</v>
      </c>
      <c r="U11" s="16">
        <f t="shared" ref="U11:U17" si="6">ROUND(K11,-2)</f>
        <v>1700</v>
      </c>
    </row>
    <row r="12" spans="1:21" x14ac:dyDescent="0.3">
      <c r="B12" s="339"/>
      <c r="C12" s="14" t="s">
        <v>188</v>
      </c>
      <c r="E12" s="98" t="s">
        <v>2</v>
      </c>
      <c r="F12" s="16"/>
      <c r="G12" s="67">
        <v>56</v>
      </c>
      <c r="H12" s="67"/>
      <c r="I12" s="67">
        <v>4920</v>
      </c>
      <c r="J12" s="16">
        <f>I12</f>
        <v>4920</v>
      </c>
      <c r="K12" s="67">
        <v>2614</v>
      </c>
      <c r="L12" s="67"/>
      <c r="M12" s="67">
        <v>1000</v>
      </c>
      <c r="N12" s="16"/>
      <c r="O12" s="16"/>
      <c r="P12" s="16"/>
      <c r="Q12" s="16"/>
      <c r="S12" s="16">
        <f t="shared" si="1"/>
        <v>1000</v>
      </c>
      <c r="T12">
        <f t="shared" si="0"/>
        <v>1800</v>
      </c>
      <c r="U12" s="16">
        <f t="shared" si="6"/>
        <v>2600</v>
      </c>
    </row>
    <row r="13" spans="1:21" x14ac:dyDescent="0.3">
      <c r="B13" s="339"/>
      <c r="C13" s="14" t="s">
        <v>189</v>
      </c>
      <c r="E13" s="98" t="s">
        <v>2</v>
      </c>
      <c r="F13" s="16"/>
      <c r="G13" s="67">
        <v>0</v>
      </c>
      <c r="H13" s="67"/>
      <c r="I13" s="67">
        <v>2667</v>
      </c>
      <c r="J13" s="16">
        <f t="shared" ref="J13:J17" si="7">I13</f>
        <v>2667</v>
      </c>
      <c r="K13" s="67">
        <v>1189</v>
      </c>
      <c r="L13" s="67"/>
      <c r="M13" s="67">
        <v>750</v>
      </c>
      <c r="N13" s="16"/>
      <c r="O13" s="16"/>
      <c r="P13" s="16"/>
      <c r="Q13" s="16"/>
      <c r="S13" s="16">
        <f t="shared" si="1"/>
        <v>750</v>
      </c>
      <c r="T13">
        <f t="shared" si="0"/>
        <v>975</v>
      </c>
      <c r="U13" s="16">
        <f t="shared" si="6"/>
        <v>1200</v>
      </c>
    </row>
    <row r="14" spans="1:21" x14ac:dyDescent="0.3">
      <c r="B14" s="339"/>
      <c r="C14" s="14" t="s">
        <v>187</v>
      </c>
      <c r="E14" s="98" t="s">
        <v>2</v>
      </c>
      <c r="F14" s="16"/>
      <c r="G14" s="67">
        <v>217</v>
      </c>
      <c r="H14" s="67"/>
      <c r="I14" s="67">
        <v>1895</v>
      </c>
      <c r="J14" s="16">
        <f t="shared" si="7"/>
        <v>1895</v>
      </c>
      <c r="K14" s="67">
        <v>1023</v>
      </c>
      <c r="L14" s="67"/>
      <c r="M14" s="67">
        <v>750</v>
      </c>
      <c r="N14" s="16"/>
      <c r="O14" s="16"/>
      <c r="P14" s="16"/>
      <c r="Q14" s="16"/>
      <c r="S14" s="16">
        <f t="shared" si="1"/>
        <v>750</v>
      </c>
      <c r="T14">
        <f t="shared" si="0"/>
        <v>875</v>
      </c>
      <c r="U14" s="16">
        <f t="shared" si="6"/>
        <v>1000</v>
      </c>
    </row>
    <row r="15" spans="1:21" x14ac:dyDescent="0.3">
      <c r="B15" s="339"/>
      <c r="C15" s="17" t="s">
        <v>185</v>
      </c>
      <c r="E15" s="98" t="s">
        <v>2</v>
      </c>
      <c r="F15" s="16"/>
      <c r="G15" s="67">
        <v>70</v>
      </c>
      <c r="H15" s="67"/>
      <c r="I15" s="67">
        <v>8447</v>
      </c>
      <c r="J15" s="16">
        <f t="shared" si="7"/>
        <v>8447</v>
      </c>
      <c r="K15" s="67">
        <v>4492</v>
      </c>
      <c r="L15" s="67"/>
      <c r="M15" s="67">
        <v>1000</v>
      </c>
      <c r="N15" s="16"/>
      <c r="O15" s="16"/>
      <c r="P15" s="16"/>
      <c r="Q15" s="16"/>
      <c r="S15" s="16">
        <f t="shared" si="1"/>
        <v>1000</v>
      </c>
      <c r="T15">
        <f t="shared" si="0"/>
        <v>2750</v>
      </c>
      <c r="U15" s="16">
        <f t="shared" si="6"/>
        <v>4500</v>
      </c>
    </row>
    <row r="16" spans="1:21" x14ac:dyDescent="0.3">
      <c r="B16" s="340" t="s">
        <v>27</v>
      </c>
      <c r="C16" s="13" t="s">
        <v>25</v>
      </c>
      <c r="E16" s="98" t="s">
        <v>2</v>
      </c>
      <c r="F16" s="16"/>
      <c r="G16" s="67">
        <v>3382</v>
      </c>
      <c r="H16" s="67"/>
      <c r="I16" s="67">
        <v>34757</v>
      </c>
      <c r="J16" s="16">
        <f t="shared" si="7"/>
        <v>34757</v>
      </c>
      <c r="K16" s="67">
        <v>4604</v>
      </c>
      <c r="L16" s="67"/>
      <c r="M16" s="67">
        <v>2000</v>
      </c>
      <c r="N16" s="16"/>
      <c r="O16" s="16"/>
      <c r="P16" s="16"/>
      <c r="Q16" s="16"/>
      <c r="S16" s="16">
        <f t="shared" si="1"/>
        <v>2000</v>
      </c>
      <c r="T16">
        <f t="shared" si="0"/>
        <v>3300</v>
      </c>
      <c r="U16" s="16">
        <f t="shared" si="6"/>
        <v>4600</v>
      </c>
    </row>
    <row r="17" spans="1:22" x14ac:dyDescent="0.3">
      <c r="B17" s="340"/>
      <c r="C17" s="17" t="s">
        <v>33</v>
      </c>
      <c r="E17" s="98" t="s">
        <v>2</v>
      </c>
      <c r="F17" s="16"/>
      <c r="G17" s="67">
        <f>285+1114</f>
        <v>1399</v>
      </c>
      <c r="H17" s="67"/>
      <c r="I17" s="67">
        <f>1666+19693</f>
        <v>21359</v>
      </c>
      <c r="J17" s="16">
        <f t="shared" si="7"/>
        <v>21359</v>
      </c>
      <c r="K17" s="67">
        <f>338+2918</f>
        <v>3256</v>
      </c>
      <c r="L17" s="67"/>
      <c r="M17" s="67">
        <v>2000</v>
      </c>
      <c r="N17" s="16"/>
      <c r="O17" s="16"/>
      <c r="P17" s="16"/>
      <c r="Q17" s="16"/>
      <c r="S17" s="16">
        <f>M17</f>
        <v>2000</v>
      </c>
      <c r="T17">
        <f>S17+((U17-S17)/2)</f>
        <v>2650</v>
      </c>
      <c r="U17" s="16">
        <f t="shared" si="6"/>
        <v>3300</v>
      </c>
      <c r="V17" s="16"/>
    </row>
    <row r="18" spans="1:22" x14ac:dyDescent="0.3">
      <c r="C18" s="22"/>
    </row>
    <row r="19" spans="1:22" x14ac:dyDescent="0.3">
      <c r="K19" s="16"/>
      <c r="L19" s="16"/>
    </row>
    <row r="21" spans="1:22" x14ac:dyDescent="0.3">
      <c r="A21" t="s">
        <v>0</v>
      </c>
      <c r="B21" s="336" t="s">
        <v>29</v>
      </c>
      <c r="C21" s="13" t="s">
        <v>21</v>
      </c>
      <c r="E21" s="16">
        <f>938+E4</f>
        <v>1455</v>
      </c>
    </row>
    <row r="22" spans="1:22" x14ac:dyDescent="0.3">
      <c r="B22" s="337"/>
      <c r="C22" s="23" t="s">
        <v>161</v>
      </c>
    </row>
    <row r="23" spans="1:22" x14ac:dyDescent="0.3">
      <c r="B23" s="337"/>
      <c r="C23" s="23" t="s">
        <v>32</v>
      </c>
    </row>
    <row r="24" spans="1:22" x14ac:dyDescent="0.3">
      <c r="B24" s="338"/>
      <c r="C24" s="24" t="s">
        <v>159</v>
      </c>
    </row>
    <row r="25" spans="1:22" x14ac:dyDescent="0.3">
      <c r="B25" s="339" t="s">
        <v>22</v>
      </c>
      <c r="C25" s="13" t="s">
        <v>25</v>
      </c>
    </row>
    <row r="26" spans="1:22" x14ac:dyDescent="0.3">
      <c r="B26" s="339"/>
      <c r="C26" s="14" t="s">
        <v>23</v>
      </c>
    </row>
    <row r="27" spans="1:22" x14ac:dyDescent="0.3">
      <c r="B27" s="339"/>
      <c r="C27" s="14" t="s">
        <v>24</v>
      </c>
    </row>
    <row r="28" spans="1:22" x14ac:dyDescent="0.3">
      <c r="B28" s="339" t="s">
        <v>31</v>
      </c>
      <c r="C28" s="13" t="s">
        <v>26</v>
      </c>
    </row>
    <row r="29" spans="1:22" x14ac:dyDescent="0.3">
      <c r="B29" s="339"/>
      <c r="C29" s="14" t="s">
        <v>188</v>
      </c>
    </row>
    <row r="30" spans="1:22" x14ac:dyDescent="0.3">
      <c r="B30" s="339"/>
      <c r="C30" s="14" t="s">
        <v>189</v>
      </c>
    </row>
    <row r="31" spans="1:22" x14ac:dyDescent="0.3">
      <c r="B31" s="339"/>
      <c r="C31" s="14" t="s">
        <v>187</v>
      </c>
    </row>
    <row r="32" spans="1:22" x14ac:dyDescent="0.3">
      <c r="B32" s="339"/>
      <c r="C32" s="17" t="s">
        <v>185</v>
      </c>
    </row>
    <row r="33" spans="2:5" x14ac:dyDescent="0.3">
      <c r="B33" s="340" t="s">
        <v>27</v>
      </c>
      <c r="C33" s="13" t="s">
        <v>25</v>
      </c>
    </row>
    <row r="34" spans="2:5" x14ac:dyDescent="0.3">
      <c r="B34" s="340"/>
      <c r="C34" s="17" t="s">
        <v>33</v>
      </c>
    </row>
    <row r="36" spans="2:5" x14ac:dyDescent="0.3">
      <c r="E36" t="s">
        <v>163</v>
      </c>
    </row>
    <row r="37" spans="2:5" x14ac:dyDescent="0.3">
      <c r="E37" t="s">
        <v>164</v>
      </c>
    </row>
    <row r="38" spans="2:5" x14ac:dyDescent="0.3">
      <c r="E38" t="s">
        <v>165</v>
      </c>
    </row>
  </sheetData>
  <sortState xmlns:xlrd2="http://schemas.microsoft.com/office/spreadsheetml/2017/richdata2" ref="B4:C15">
    <sortCondition ref="B4:B15"/>
  </sortState>
  <customSheetViews>
    <customSheetView guid="{3A7DA3C1-0173-4B47-BB0F-573706FF66D2}">
      <selection activeCell="M29" sqref="M29"/>
      <pageMargins left="0.7" right="0.7" top="0.75" bottom="0.75" header="0.3" footer="0.3"/>
      <pageSetup orientation="portrait" r:id="rId1"/>
    </customSheetView>
  </customSheetViews>
  <mergeCells count="11">
    <mergeCell ref="B28:B32"/>
    <mergeCell ref="B33:B34"/>
    <mergeCell ref="O8:O10"/>
    <mergeCell ref="P8:P10"/>
    <mergeCell ref="Q8:Q10"/>
    <mergeCell ref="B25:B27"/>
    <mergeCell ref="B4:B7"/>
    <mergeCell ref="B8:B10"/>
    <mergeCell ref="B11:B15"/>
    <mergeCell ref="B16:B17"/>
    <mergeCell ref="B21:B24"/>
  </mergeCells>
  <pageMargins left="0.7" right="0.7" top="0.75" bottom="0.75" header="0.3" footer="0.3"/>
  <pageSetup orientation="portrait"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F26" sqref="F26"/>
    </sheetView>
  </sheetViews>
  <sheetFormatPr defaultRowHeight="14.4" x14ac:dyDescent="0.3"/>
  <sheetData/>
  <customSheetViews>
    <customSheetView guid="{3A7DA3C1-0173-4B47-BB0F-573706FF66D2}">
      <selection activeCell="C13" sqref="C13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7:U69"/>
  <sheetViews>
    <sheetView workbookViewId="0">
      <selection activeCell="B2" sqref="B2:D13"/>
    </sheetView>
  </sheetViews>
  <sheetFormatPr defaultRowHeight="14.4" x14ac:dyDescent="0.3"/>
  <cols>
    <col min="2" max="2" width="22" customWidth="1"/>
  </cols>
  <sheetData>
    <row r="7" spans="2:21" x14ac:dyDescent="0.3">
      <c r="F7" s="16"/>
    </row>
    <row r="8" spans="2:21" x14ac:dyDescent="0.3">
      <c r="F8" s="16"/>
    </row>
    <row r="9" spans="2:21" x14ac:dyDescent="0.3">
      <c r="F9" s="16"/>
    </row>
    <row r="10" spans="2:21" x14ac:dyDescent="0.3">
      <c r="F10" s="16"/>
    </row>
    <row r="11" spans="2:21" x14ac:dyDescent="0.3">
      <c r="F11" s="16"/>
    </row>
    <row r="12" spans="2:21" x14ac:dyDescent="0.3">
      <c r="F12" s="16"/>
    </row>
    <row r="15" spans="2:21" x14ac:dyDescent="0.3">
      <c r="B15" t="s">
        <v>150</v>
      </c>
    </row>
    <row r="16" spans="2:21" x14ac:dyDescent="0.3">
      <c r="B16" s="2" t="s">
        <v>111</v>
      </c>
      <c r="C16" s="3" t="s">
        <v>112</v>
      </c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4"/>
    </row>
    <row r="17" spans="2:21" x14ac:dyDescent="0.3">
      <c r="B17" s="5"/>
      <c r="C17" s="6" t="s">
        <v>40</v>
      </c>
      <c r="D17" s="6"/>
      <c r="E17" s="6"/>
      <c r="F17" s="6"/>
      <c r="G17" s="6"/>
      <c r="H17" s="6" t="s">
        <v>113</v>
      </c>
      <c r="I17" s="6" t="s">
        <v>114</v>
      </c>
      <c r="J17" s="6"/>
      <c r="K17" s="6" t="s">
        <v>115</v>
      </c>
      <c r="L17" s="6" t="s">
        <v>116</v>
      </c>
      <c r="M17" s="6"/>
      <c r="N17" s="6"/>
      <c r="O17" s="6"/>
      <c r="P17" s="6"/>
      <c r="Q17" s="6" t="s">
        <v>117</v>
      </c>
      <c r="R17" s="6" t="s">
        <v>118</v>
      </c>
      <c r="S17" s="6"/>
      <c r="T17" s="6"/>
      <c r="U17" s="7"/>
    </row>
    <row r="18" spans="2:21" x14ac:dyDescent="0.3">
      <c r="B18" s="8" t="s">
        <v>119</v>
      </c>
      <c r="C18" s="9">
        <v>2013</v>
      </c>
      <c r="D18" s="9">
        <v>2014</v>
      </c>
      <c r="E18" s="9">
        <v>2015</v>
      </c>
      <c r="F18" s="9">
        <v>2016</v>
      </c>
      <c r="G18" s="9">
        <v>2017</v>
      </c>
      <c r="H18" s="9"/>
      <c r="I18" s="9">
        <v>2013</v>
      </c>
      <c r="J18" s="9">
        <v>2014</v>
      </c>
      <c r="K18" s="9"/>
      <c r="L18" s="9">
        <v>2013</v>
      </c>
      <c r="M18" s="9">
        <v>2014</v>
      </c>
      <c r="N18" s="9">
        <v>2015</v>
      </c>
      <c r="O18" s="9">
        <v>2016</v>
      </c>
      <c r="P18" s="9">
        <v>2017</v>
      </c>
      <c r="Q18" s="9"/>
      <c r="R18" s="9"/>
      <c r="S18" s="9"/>
      <c r="T18" s="9" t="s">
        <v>40</v>
      </c>
      <c r="U18" s="10" t="s">
        <v>120</v>
      </c>
    </row>
    <row r="19" spans="2:21" x14ac:dyDescent="0.3">
      <c r="B19" t="s">
        <v>121</v>
      </c>
      <c r="C19">
        <v>489847</v>
      </c>
      <c r="D19">
        <v>535837</v>
      </c>
      <c r="E19">
        <v>352614</v>
      </c>
      <c r="F19">
        <v>429000</v>
      </c>
      <c r="G19">
        <v>490660</v>
      </c>
      <c r="H19">
        <v>2297958</v>
      </c>
      <c r="I19">
        <v>107349</v>
      </c>
      <c r="K19">
        <v>107349</v>
      </c>
      <c r="L19">
        <v>1067038</v>
      </c>
      <c r="M19">
        <v>1011947</v>
      </c>
      <c r="N19">
        <v>674404</v>
      </c>
      <c r="O19">
        <v>425821</v>
      </c>
      <c r="P19">
        <v>900169</v>
      </c>
      <c r="Q19">
        <v>4079379</v>
      </c>
      <c r="R19">
        <v>6484686</v>
      </c>
    </row>
    <row r="20" spans="2:21" x14ac:dyDescent="0.3">
      <c r="B20" t="s">
        <v>122</v>
      </c>
      <c r="C20">
        <v>489847</v>
      </c>
      <c r="D20">
        <v>535837</v>
      </c>
      <c r="E20">
        <v>352614</v>
      </c>
      <c r="F20">
        <v>429000</v>
      </c>
      <c r="G20">
        <v>490660</v>
      </c>
      <c r="H20">
        <v>2297958</v>
      </c>
      <c r="L20">
        <v>258885</v>
      </c>
      <c r="M20">
        <v>260597</v>
      </c>
      <c r="N20">
        <v>252989</v>
      </c>
      <c r="O20">
        <v>244211</v>
      </c>
      <c r="P20">
        <v>319729</v>
      </c>
      <c r="Q20">
        <v>1336411</v>
      </c>
      <c r="R20">
        <v>3634369</v>
      </c>
      <c r="T20">
        <v>459591.6</v>
      </c>
      <c r="U20">
        <v>267282.2</v>
      </c>
    </row>
    <row r="21" spans="2:21" x14ac:dyDescent="0.3">
      <c r="B21" t="s">
        <v>123</v>
      </c>
      <c r="C21">
        <v>104738</v>
      </c>
      <c r="D21">
        <v>85111</v>
      </c>
      <c r="E21">
        <v>37240</v>
      </c>
      <c r="F21">
        <v>105000</v>
      </c>
      <c r="G21">
        <v>96348</v>
      </c>
      <c r="H21">
        <v>428437</v>
      </c>
      <c r="R21">
        <v>428437</v>
      </c>
    </row>
    <row r="22" spans="2:21" x14ac:dyDescent="0.3">
      <c r="B22" t="s">
        <v>121</v>
      </c>
      <c r="C22">
        <v>11970</v>
      </c>
      <c r="E22">
        <v>52934</v>
      </c>
      <c r="G22">
        <v>17836</v>
      </c>
      <c r="H22">
        <v>82740</v>
      </c>
      <c r="L22">
        <v>258885</v>
      </c>
      <c r="M22">
        <v>260597</v>
      </c>
      <c r="N22">
        <v>252989</v>
      </c>
      <c r="O22">
        <v>244211</v>
      </c>
      <c r="P22">
        <v>319729</v>
      </c>
      <c r="Q22">
        <v>1336411</v>
      </c>
      <c r="R22">
        <v>1419151</v>
      </c>
    </row>
    <row r="23" spans="2:21" x14ac:dyDescent="0.3">
      <c r="B23" t="s">
        <v>7</v>
      </c>
      <c r="C23">
        <v>286308</v>
      </c>
      <c r="D23">
        <v>332380</v>
      </c>
      <c r="E23">
        <v>215440</v>
      </c>
      <c r="F23">
        <v>277000</v>
      </c>
      <c r="G23">
        <v>281094</v>
      </c>
      <c r="H23">
        <v>1392222</v>
      </c>
      <c r="R23">
        <v>1392222</v>
      </c>
    </row>
    <row r="24" spans="2:21" x14ac:dyDescent="0.3">
      <c r="B24" t="s">
        <v>124</v>
      </c>
      <c r="C24">
        <v>33184</v>
      </c>
      <c r="D24">
        <v>30450</v>
      </c>
      <c r="G24">
        <v>30150</v>
      </c>
      <c r="H24">
        <v>93784</v>
      </c>
      <c r="R24">
        <v>93784</v>
      </c>
    </row>
    <row r="25" spans="2:21" x14ac:dyDescent="0.3">
      <c r="B25" t="s">
        <v>125</v>
      </c>
      <c r="C25">
        <v>53647</v>
      </c>
      <c r="D25">
        <v>87896</v>
      </c>
      <c r="E25">
        <v>47000</v>
      </c>
      <c r="F25">
        <v>47000</v>
      </c>
      <c r="G25">
        <v>65232</v>
      </c>
      <c r="H25">
        <v>300775</v>
      </c>
      <c r="R25">
        <v>300775</v>
      </c>
    </row>
    <row r="26" spans="2:21" x14ac:dyDescent="0.3">
      <c r="B26" t="s">
        <v>126</v>
      </c>
      <c r="I26">
        <v>107349</v>
      </c>
      <c r="K26">
        <v>107349</v>
      </c>
      <c r="L26">
        <v>783546</v>
      </c>
      <c r="M26">
        <v>726942</v>
      </c>
      <c r="N26">
        <v>371455</v>
      </c>
      <c r="O26">
        <v>133000</v>
      </c>
      <c r="P26">
        <v>533714</v>
      </c>
      <c r="Q26">
        <v>2548657</v>
      </c>
      <c r="R26">
        <v>2656006</v>
      </c>
      <c r="U26">
        <v>509731.4</v>
      </c>
    </row>
    <row r="27" spans="2:21" x14ac:dyDescent="0.3">
      <c r="B27" t="s">
        <v>121</v>
      </c>
      <c r="I27">
        <v>107349</v>
      </c>
      <c r="K27">
        <v>107349</v>
      </c>
      <c r="R27">
        <v>107349</v>
      </c>
    </row>
    <row r="28" spans="2:21" x14ac:dyDescent="0.3">
      <c r="B28" t="s">
        <v>127</v>
      </c>
      <c r="L28">
        <v>783546</v>
      </c>
      <c r="M28">
        <v>726942</v>
      </c>
      <c r="N28">
        <v>371455</v>
      </c>
      <c r="O28">
        <v>133000</v>
      </c>
      <c r="P28">
        <v>533714</v>
      </c>
      <c r="Q28">
        <v>2548657</v>
      </c>
      <c r="R28">
        <v>2548657</v>
      </c>
    </row>
    <row r="29" spans="2:21" x14ac:dyDescent="0.3">
      <c r="B29" t="s">
        <v>128</v>
      </c>
      <c r="L29">
        <v>24607</v>
      </c>
      <c r="M29">
        <v>24408</v>
      </c>
      <c r="N29">
        <v>49960</v>
      </c>
      <c r="O29">
        <v>48610</v>
      </c>
      <c r="P29">
        <v>46726</v>
      </c>
      <c r="Q29">
        <v>194311</v>
      </c>
      <c r="R29">
        <v>194311</v>
      </c>
      <c r="U29">
        <v>38862.199999999997</v>
      </c>
    </row>
    <row r="30" spans="2:21" x14ac:dyDescent="0.3">
      <c r="B30" t="s">
        <v>123</v>
      </c>
      <c r="L30">
        <v>7502</v>
      </c>
      <c r="M30">
        <v>7498</v>
      </c>
      <c r="N30">
        <v>20350</v>
      </c>
      <c r="O30">
        <v>16188</v>
      </c>
      <c r="P30">
        <v>15048</v>
      </c>
      <c r="Q30">
        <v>66586</v>
      </c>
      <c r="R30">
        <v>66586</v>
      </c>
    </row>
    <row r="31" spans="2:21" x14ac:dyDescent="0.3">
      <c r="B31" t="s">
        <v>129</v>
      </c>
      <c r="M31">
        <v>1794</v>
      </c>
      <c r="Q31">
        <v>1794</v>
      </c>
      <c r="R31">
        <v>1794</v>
      </c>
    </row>
    <row r="32" spans="2:21" x14ac:dyDescent="0.3">
      <c r="B32" t="s">
        <v>7</v>
      </c>
      <c r="L32">
        <v>12100</v>
      </c>
      <c r="M32">
        <v>10120</v>
      </c>
      <c r="N32">
        <v>14430</v>
      </c>
      <c r="O32">
        <v>19062</v>
      </c>
      <c r="P32">
        <v>14033</v>
      </c>
      <c r="Q32">
        <v>69745</v>
      </c>
      <c r="R32">
        <v>69745</v>
      </c>
    </row>
    <row r="33" spans="2:21" x14ac:dyDescent="0.3">
      <c r="B33" t="s">
        <v>125</v>
      </c>
      <c r="L33">
        <v>5005</v>
      </c>
      <c r="M33">
        <v>4996</v>
      </c>
      <c r="N33">
        <v>15180</v>
      </c>
      <c r="O33">
        <v>13360</v>
      </c>
      <c r="P33">
        <v>17645</v>
      </c>
      <c r="Q33">
        <v>56186</v>
      </c>
      <c r="R33">
        <v>56186</v>
      </c>
    </row>
    <row r="34" spans="2:21" x14ac:dyDescent="0.3">
      <c r="B34" t="s">
        <v>5</v>
      </c>
      <c r="L34">
        <v>176235</v>
      </c>
      <c r="M34">
        <v>153308</v>
      </c>
      <c r="N34">
        <v>107747</v>
      </c>
      <c r="O34">
        <v>179987</v>
      </c>
      <c r="P34">
        <v>174133</v>
      </c>
      <c r="Q34">
        <v>791410</v>
      </c>
      <c r="R34">
        <v>791410</v>
      </c>
      <c r="U34">
        <v>158282</v>
      </c>
    </row>
    <row r="35" spans="2:21" x14ac:dyDescent="0.3">
      <c r="B35" t="s">
        <v>130</v>
      </c>
      <c r="L35">
        <v>42755</v>
      </c>
      <c r="Q35">
        <v>42755</v>
      </c>
      <c r="R35">
        <v>42755</v>
      </c>
    </row>
    <row r="36" spans="2:21" x14ac:dyDescent="0.3">
      <c r="B36" t="s">
        <v>131</v>
      </c>
      <c r="L36">
        <v>42755</v>
      </c>
      <c r="Q36">
        <v>42755</v>
      </c>
      <c r="R36">
        <v>42755</v>
      </c>
    </row>
    <row r="37" spans="2:21" x14ac:dyDescent="0.3">
      <c r="B37" t="s">
        <v>132</v>
      </c>
      <c r="L37">
        <v>50101</v>
      </c>
      <c r="M37">
        <v>74412</v>
      </c>
      <c r="N37">
        <v>69479</v>
      </c>
      <c r="O37">
        <v>102011</v>
      </c>
      <c r="Q37">
        <v>296003</v>
      </c>
      <c r="R37">
        <v>296003</v>
      </c>
    </row>
    <row r="38" spans="2:21" x14ac:dyDescent="0.3">
      <c r="B38" t="s">
        <v>133</v>
      </c>
      <c r="L38">
        <v>50101</v>
      </c>
      <c r="M38">
        <v>74412</v>
      </c>
      <c r="Q38">
        <v>124513</v>
      </c>
      <c r="R38">
        <v>124513</v>
      </c>
    </row>
    <row r="39" spans="2:21" x14ac:dyDescent="0.3">
      <c r="B39" t="s">
        <v>131</v>
      </c>
      <c r="N39">
        <v>69479</v>
      </c>
      <c r="O39">
        <v>102011</v>
      </c>
      <c r="Q39">
        <v>171490</v>
      </c>
      <c r="R39">
        <v>171490</v>
      </c>
    </row>
    <row r="40" spans="2:21" x14ac:dyDescent="0.3">
      <c r="B40" t="s">
        <v>122</v>
      </c>
      <c r="L40">
        <v>83379</v>
      </c>
      <c r="M40">
        <v>78896</v>
      </c>
      <c r="N40">
        <v>38268</v>
      </c>
      <c r="O40">
        <v>77976</v>
      </c>
      <c r="P40">
        <v>174133</v>
      </c>
      <c r="Q40">
        <v>452652</v>
      </c>
      <c r="R40">
        <v>452652</v>
      </c>
    </row>
    <row r="41" spans="2:21" x14ac:dyDescent="0.3">
      <c r="B41" t="s">
        <v>5</v>
      </c>
      <c r="P41">
        <v>5588</v>
      </c>
      <c r="Q41">
        <v>5588</v>
      </c>
      <c r="R41">
        <v>5588</v>
      </c>
    </row>
    <row r="42" spans="2:21" x14ac:dyDescent="0.3">
      <c r="B42" t="s">
        <v>131</v>
      </c>
      <c r="L42">
        <v>83379</v>
      </c>
      <c r="M42">
        <v>78896</v>
      </c>
      <c r="N42">
        <v>38268</v>
      </c>
      <c r="O42">
        <v>77976</v>
      </c>
      <c r="P42">
        <v>168545</v>
      </c>
      <c r="Q42">
        <v>447064</v>
      </c>
      <c r="R42">
        <v>447064</v>
      </c>
    </row>
    <row r="43" spans="2:21" x14ac:dyDescent="0.3">
      <c r="B43" t="s">
        <v>6</v>
      </c>
      <c r="L43">
        <v>628300</v>
      </c>
      <c r="M43">
        <v>548210</v>
      </c>
      <c r="N43">
        <v>552490</v>
      </c>
      <c r="O43">
        <v>500500</v>
      </c>
      <c r="P43">
        <v>600000</v>
      </c>
      <c r="Q43">
        <v>2829500</v>
      </c>
      <c r="R43">
        <v>2829500</v>
      </c>
      <c r="U43">
        <v>565900</v>
      </c>
    </row>
    <row r="44" spans="2:21" x14ac:dyDescent="0.3">
      <c r="B44" t="s">
        <v>134</v>
      </c>
      <c r="L44">
        <v>628300</v>
      </c>
      <c r="M44">
        <v>548210</v>
      </c>
      <c r="N44">
        <v>552490</v>
      </c>
      <c r="O44">
        <v>500500</v>
      </c>
      <c r="P44">
        <v>600000</v>
      </c>
      <c r="Q44">
        <v>2829500</v>
      </c>
      <c r="R44">
        <v>2829500</v>
      </c>
    </row>
    <row r="45" spans="2:21" x14ac:dyDescent="0.3">
      <c r="B45" t="s">
        <v>134</v>
      </c>
      <c r="L45">
        <v>628300</v>
      </c>
      <c r="M45">
        <v>548210</v>
      </c>
      <c r="O45">
        <v>500500</v>
      </c>
      <c r="P45">
        <v>600000</v>
      </c>
      <c r="Q45">
        <v>2277010</v>
      </c>
      <c r="R45">
        <v>2277010</v>
      </c>
    </row>
    <row r="46" spans="2:21" x14ac:dyDescent="0.3">
      <c r="B46" t="s">
        <v>6</v>
      </c>
      <c r="N46">
        <v>552490</v>
      </c>
      <c r="Q46">
        <v>552490</v>
      </c>
      <c r="R46">
        <v>552490</v>
      </c>
    </row>
    <row r="47" spans="2:21" x14ac:dyDescent="0.3">
      <c r="B47" t="s">
        <v>135</v>
      </c>
      <c r="L47">
        <v>1020892</v>
      </c>
      <c r="M47">
        <v>998388</v>
      </c>
      <c r="N47">
        <v>999205</v>
      </c>
      <c r="O47">
        <v>1323659</v>
      </c>
      <c r="P47">
        <v>1082539</v>
      </c>
      <c r="Q47">
        <v>5424683</v>
      </c>
      <c r="R47">
        <v>5424683</v>
      </c>
      <c r="U47">
        <v>1084936.6000000001</v>
      </c>
    </row>
    <row r="48" spans="2:21" x14ac:dyDescent="0.3">
      <c r="B48" t="s">
        <v>136</v>
      </c>
      <c r="L48">
        <v>724810</v>
      </c>
      <c r="M48">
        <v>875653</v>
      </c>
      <c r="N48">
        <v>999205</v>
      </c>
      <c r="O48">
        <v>1323659</v>
      </c>
      <c r="P48">
        <v>1082539</v>
      </c>
      <c r="Q48">
        <v>5005866</v>
      </c>
      <c r="R48">
        <v>5005866</v>
      </c>
    </row>
    <row r="49" spans="2:21" x14ac:dyDescent="0.3">
      <c r="B49" t="s">
        <v>137</v>
      </c>
      <c r="L49">
        <v>724810</v>
      </c>
      <c r="M49">
        <v>875653</v>
      </c>
      <c r="N49">
        <v>999205</v>
      </c>
      <c r="O49">
        <v>1323659</v>
      </c>
      <c r="P49">
        <v>1082539</v>
      </c>
      <c r="Q49">
        <v>5005866</v>
      </c>
      <c r="R49">
        <v>5005866</v>
      </c>
    </row>
    <row r="50" spans="2:21" x14ac:dyDescent="0.3">
      <c r="B50" t="s">
        <v>138</v>
      </c>
      <c r="L50">
        <v>296082</v>
      </c>
      <c r="M50">
        <v>122735</v>
      </c>
      <c r="Q50">
        <v>418817</v>
      </c>
      <c r="R50">
        <v>418817</v>
      </c>
    </row>
    <row r="51" spans="2:21" x14ac:dyDescent="0.3">
      <c r="B51" t="s">
        <v>138</v>
      </c>
      <c r="L51">
        <v>296082</v>
      </c>
      <c r="M51">
        <v>122735</v>
      </c>
      <c r="Q51">
        <v>418817</v>
      </c>
      <c r="R51">
        <v>418817</v>
      </c>
    </row>
    <row r="52" spans="2:21" x14ac:dyDescent="0.3">
      <c r="B52" t="s">
        <v>8</v>
      </c>
      <c r="J52">
        <v>468906</v>
      </c>
      <c r="K52">
        <v>468906</v>
      </c>
      <c r="L52">
        <v>896408</v>
      </c>
      <c r="M52">
        <v>543537</v>
      </c>
      <c r="N52">
        <v>830232</v>
      </c>
      <c r="O52">
        <v>877134</v>
      </c>
      <c r="P52">
        <v>901545</v>
      </c>
      <c r="Q52">
        <v>4048856</v>
      </c>
      <c r="R52">
        <v>4517762</v>
      </c>
      <c r="U52">
        <v>809771.2</v>
      </c>
    </row>
    <row r="53" spans="2:21" x14ac:dyDescent="0.3">
      <c r="B53" t="s">
        <v>139</v>
      </c>
      <c r="J53">
        <v>468906</v>
      </c>
      <c r="K53">
        <v>468906</v>
      </c>
      <c r="L53">
        <v>896408</v>
      </c>
      <c r="M53">
        <v>543537</v>
      </c>
      <c r="N53">
        <v>830232</v>
      </c>
      <c r="O53">
        <v>877134</v>
      </c>
      <c r="P53">
        <v>901545</v>
      </c>
      <c r="Q53">
        <v>4048856</v>
      </c>
      <c r="R53">
        <v>4517762</v>
      </c>
      <c r="U53">
        <v>809771.2</v>
      </c>
    </row>
    <row r="54" spans="2:21" x14ac:dyDescent="0.3">
      <c r="B54" t="s">
        <v>140</v>
      </c>
      <c r="N54">
        <v>147216</v>
      </c>
      <c r="O54">
        <v>169265</v>
      </c>
      <c r="Q54">
        <v>316481</v>
      </c>
      <c r="R54">
        <v>316481</v>
      </c>
      <c r="U54">
        <v>158240.5</v>
      </c>
    </row>
    <row r="55" spans="2:21" x14ac:dyDescent="0.3">
      <c r="B55" t="s">
        <v>141</v>
      </c>
      <c r="J55">
        <v>234381</v>
      </c>
      <c r="K55">
        <v>234381</v>
      </c>
      <c r="L55">
        <v>656215</v>
      </c>
      <c r="M55">
        <v>393537</v>
      </c>
      <c r="N55">
        <v>453350</v>
      </c>
      <c r="O55">
        <v>464284</v>
      </c>
      <c r="P55">
        <v>402870</v>
      </c>
      <c r="Q55">
        <v>2370256</v>
      </c>
      <c r="R55">
        <v>2604637</v>
      </c>
      <c r="U55">
        <v>474051.2</v>
      </c>
    </row>
    <row r="56" spans="2:21" x14ac:dyDescent="0.3">
      <c r="B56" t="s">
        <v>142</v>
      </c>
      <c r="J56">
        <v>234525</v>
      </c>
      <c r="K56">
        <v>234525</v>
      </c>
      <c r="L56">
        <v>240193</v>
      </c>
      <c r="N56">
        <v>229666</v>
      </c>
      <c r="O56">
        <v>243585</v>
      </c>
      <c r="P56">
        <v>498675</v>
      </c>
      <c r="Q56">
        <v>1212119</v>
      </c>
      <c r="R56">
        <v>1446644</v>
      </c>
      <c r="U56">
        <v>303029.75</v>
      </c>
    </row>
    <row r="57" spans="2:21" x14ac:dyDescent="0.3">
      <c r="B57" t="s">
        <v>8</v>
      </c>
      <c r="M57">
        <v>150000</v>
      </c>
      <c r="Q57">
        <v>150000</v>
      </c>
      <c r="R57">
        <v>150000</v>
      </c>
      <c r="U57">
        <v>150000</v>
      </c>
    </row>
    <row r="58" spans="2:21" x14ac:dyDescent="0.3">
      <c r="B58" t="s">
        <v>9</v>
      </c>
      <c r="L58">
        <v>248900</v>
      </c>
      <c r="M58">
        <v>175750</v>
      </c>
      <c r="N58">
        <v>173520</v>
      </c>
      <c r="O58">
        <v>243343</v>
      </c>
      <c r="P58">
        <v>288602</v>
      </c>
      <c r="Q58">
        <v>1130115</v>
      </c>
      <c r="R58">
        <v>1130115</v>
      </c>
      <c r="U58">
        <v>226023</v>
      </c>
    </row>
    <row r="59" spans="2:21" x14ac:dyDescent="0.3">
      <c r="B59" t="s">
        <v>130</v>
      </c>
      <c r="L59">
        <v>248900</v>
      </c>
      <c r="M59">
        <v>175750</v>
      </c>
      <c r="N59">
        <v>173520</v>
      </c>
      <c r="O59">
        <v>243343</v>
      </c>
      <c r="P59">
        <v>288602</v>
      </c>
      <c r="Q59">
        <v>1130115</v>
      </c>
      <c r="R59">
        <v>1130115</v>
      </c>
      <c r="U59">
        <v>226023</v>
      </c>
    </row>
    <row r="60" spans="2:21" x14ac:dyDescent="0.3">
      <c r="B60" t="s">
        <v>9</v>
      </c>
      <c r="L60">
        <v>248900</v>
      </c>
      <c r="M60">
        <v>175750</v>
      </c>
      <c r="N60">
        <v>173520</v>
      </c>
      <c r="O60">
        <v>243343</v>
      </c>
      <c r="P60">
        <v>288602</v>
      </c>
      <c r="Q60">
        <v>1130115</v>
      </c>
      <c r="R60">
        <v>1130115</v>
      </c>
      <c r="U60">
        <v>226023</v>
      </c>
    </row>
    <row r="61" spans="2:21" x14ac:dyDescent="0.3">
      <c r="B61" t="s">
        <v>143</v>
      </c>
      <c r="L61">
        <v>1125192</v>
      </c>
      <c r="M61">
        <v>1127012</v>
      </c>
      <c r="N61">
        <v>1158389</v>
      </c>
      <c r="O61">
        <v>1179771</v>
      </c>
      <c r="P61">
        <v>1264335</v>
      </c>
      <c r="Q61">
        <v>5854699</v>
      </c>
      <c r="R61">
        <v>5854699</v>
      </c>
      <c r="U61">
        <v>1170939.8</v>
      </c>
    </row>
    <row r="62" spans="2:21" x14ac:dyDescent="0.3">
      <c r="B62" t="s">
        <v>130</v>
      </c>
      <c r="L62">
        <v>1125192</v>
      </c>
      <c r="M62">
        <v>1127012</v>
      </c>
      <c r="N62">
        <v>1158389</v>
      </c>
      <c r="O62">
        <v>1179771</v>
      </c>
      <c r="P62">
        <v>1264335</v>
      </c>
      <c r="Q62">
        <v>5854699</v>
      </c>
      <c r="R62">
        <v>5854699</v>
      </c>
    </row>
    <row r="63" spans="2:21" x14ac:dyDescent="0.3">
      <c r="B63" t="s">
        <v>144</v>
      </c>
      <c r="L63">
        <v>1125192</v>
      </c>
      <c r="M63">
        <v>1127012</v>
      </c>
      <c r="N63">
        <v>1158389</v>
      </c>
      <c r="O63">
        <v>1179771</v>
      </c>
      <c r="P63">
        <v>1264335</v>
      </c>
      <c r="Q63">
        <v>5854699</v>
      </c>
      <c r="R63">
        <v>5854699</v>
      </c>
    </row>
    <row r="64" spans="2:21" x14ac:dyDescent="0.3">
      <c r="B64" t="s">
        <v>145</v>
      </c>
      <c r="L64">
        <v>769182</v>
      </c>
      <c r="M64">
        <v>802716</v>
      </c>
      <c r="N64">
        <v>646755</v>
      </c>
      <c r="O64">
        <v>685230</v>
      </c>
      <c r="P64">
        <v>655832</v>
      </c>
      <c r="Q64">
        <v>3559715</v>
      </c>
      <c r="R64">
        <v>3559715</v>
      </c>
      <c r="U64">
        <v>711943</v>
      </c>
    </row>
    <row r="65" spans="2:21" x14ac:dyDescent="0.3">
      <c r="B65" t="s">
        <v>146</v>
      </c>
      <c r="L65">
        <v>769182</v>
      </c>
      <c r="M65">
        <v>802716</v>
      </c>
      <c r="N65">
        <v>646755</v>
      </c>
      <c r="O65">
        <v>685230</v>
      </c>
      <c r="P65">
        <v>655832</v>
      </c>
      <c r="Q65">
        <v>3559715</v>
      </c>
      <c r="R65">
        <v>3559715</v>
      </c>
      <c r="U65">
        <v>711943</v>
      </c>
    </row>
    <row r="66" spans="2:21" x14ac:dyDescent="0.3">
      <c r="B66" t="s">
        <v>147</v>
      </c>
      <c r="L66">
        <v>255290</v>
      </c>
      <c r="M66">
        <v>256732</v>
      </c>
      <c r="N66">
        <v>215933</v>
      </c>
      <c r="O66">
        <v>232440</v>
      </c>
      <c r="P66">
        <v>208500</v>
      </c>
      <c r="Q66">
        <v>1168895</v>
      </c>
      <c r="R66">
        <v>1168895</v>
      </c>
    </row>
    <row r="67" spans="2:21" x14ac:dyDescent="0.3">
      <c r="B67" t="s">
        <v>148</v>
      </c>
      <c r="L67">
        <v>248454</v>
      </c>
      <c r="M67">
        <v>276210</v>
      </c>
      <c r="N67">
        <v>214745</v>
      </c>
      <c r="O67">
        <v>226257</v>
      </c>
      <c r="P67">
        <v>218451</v>
      </c>
      <c r="Q67">
        <v>1184117</v>
      </c>
      <c r="R67">
        <v>1184117</v>
      </c>
    </row>
    <row r="68" spans="2:21" x14ac:dyDescent="0.3">
      <c r="B68" t="s">
        <v>149</v>
      </c>
      <c r="L68">
        <v>265438</v>
      </c>
      <c r="M68">
        <v>269774</v>
      </c>
      <c r="N68">
        <v>216077</v>
      </c>
      <c r="O68">
        <v>226533</v>
      </c>
      <c r="P68">
        <v>228881</v>
      </c>
      <c r="Q68">
        <v>1206703</v>
      </c>
      <c r="R68">
        <v>1206703</v>
      </c>
    </row>
    <row r="69" spans="2:21" x14ac:dyDescent="0.3">
      <c r="B69" t="s">
        <v>118</v>
      </c>
      <c r="C69">
        <v>489847</v>
      </c>
      <c r="D69">
        <v>535837</v>
      </c>
      <c r="E69">
        <v>352614</v>
      </c>
      <c r="F69">
        <v>429000</v>
      </c>
      <c r="G69">
        <v>490660</v>
      </c>
      <c r="H69">
        <v>2297958</v>
      </c>
      <c r="I69">
        <v>107349</v>
      </c>
      <c r="J69">
        <v>468906</v>
      </c>
      <c r="K69">
        <v>576255</v>
      </c>
      <c r="L69">
        <v>5932147</v>
      </c>
      <c r="M69">
        <v>5360868</v>
      </c>
      <c r="N69">
        <v>5142742</v>
      </c>
      <c r="O69">
        <v>5415445</v>
      </c>
      <c r="P69">
        <v>5867155</v>
      </c>
      <c r="Q69">
        <v>27718357</v>
      </c>
      <c r="R69">
        <v>30592570</v>
      </c>
    </row>
  </sheetData>
  <customSheetViews>
    <customSheetView guid="{3A7DA3C1-0173-4B47-BB0F-573706FF66D2}">
      <selection activeCell="Q8" sqref="Q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B91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5" sqref="B5"/>
    </sheetView>
  </sheetViews>
  <sheetFormatPr defaultRowHeight="14.4" x14ac:dyDescent="0.3"/>
  <cols>
    <col min="2" max="2" width="12.33203125" bestFit="1" customWidth="1"/>
    <col min="3" max="4" width="10.44140625" bestFit="1" customWidth="1"/>
    <col min="5" max="6" width="9.33203125" bestFit="1" customWidth="1"/>
    <col min="7" max="7" width="13.5546875" bestFit="1" customWidth="1"/>
    <col min="8" max="12" width="6.77734375" customWidth="1"/>
    <col min="13" max="13" width="9.33203125" bestFit="1" customWidth="1"/>
    <col min="14" max="16" width="9.109375" style="16"/>
    <col min="17" max="18" width="12" bestFit="1" customWidth="1"/>
    <col min="19" max="20" width="9.33203125" bestFit="1" customWidth="1"/>
    <col min="21" max="21" width="10.44140625" bestFit="1" customWidth="1"/>
    <col min="22" max="22" width="9.88671875" bestFit="1" customWidth="1"/>
    <col min="24" max="24" width="1.88671875" customWidth="1"/>
    <col min="25" max="25" width="8.44140625" customWidth="1"/>
    <col min="26" max="26" width="8.21875" customWidth="1"/>
    <col min="34" max="34" width="1.109375" customWidth="1"/>
    <col min="35" max="40" width="9.109375" style="16"/>
    <col min="41" max="41" width="1.88671875" customWidth="1"/>
    <col min="54" max="74" width="9.109375"/>
    <col min="76" max="78" width="9.33203125" bestFit="1" customWidth="1"/>
    <col min="79" max="80" width="10" bestFit="1" customWidth="1"/>
    <col min="81" max="81" width="2.109375" customWidth="1"/>
    <col min="82" max="83" width="10" customWidth="1"/>
    <col min="84" max="84" width="10" style="12" customWidth="1"/>
    <col min="85" max="90" width="10" customWidth="1"/>
    <col min="91" max="91" width="3" customWidth="1"/>
    <col min="96" max="96" width="3" customWidth="1"/>
    <col min="97" max="97" width="11.6640625" customWidth="1"/>
    <col min="98" max="98" width="3" customWidth="1"/>
    <col min="99" max="101" width="10" style="16" customWidth="1"/>
    <col min="102" max="102" width="8.88671875" style="228"/>
    <col min="106" max="106" width="3.88671875" customWidth="1"/>
    <col min="111" max="111" width="12.6640625" customWidth="1"/>
  </cols>
  <sheetData>
    <row r="1" spans="1:121" x14ac:dyDescent="0.3">
      <c r="B1" s="12" t="s">
        <v>63</v>
      </c>
      <c r="L1" s="12"/>
      <c r="M1" s="12" t="s">
        <v>81</v>
      </c>
      <c r="N1" s="36" t="s">
        <v>57</v>
      </c>
      <c r="O1" s="36" t="s">
        <v>57</v>
      </c>
      <c r="P1" s="36" t="s">
        <v>57</v>
      </c>
      <c r="Q1" s="12" t="s">
        <v>63</v>
      </c>
      <c r="R1" s="12"/>
      <c r="S1" s="12"/>
      <c r="T1" s="12"/>
      <c r="U1" s="12"/>
      <c r="V1" s="12"/>
      <c r="W1" s="12"/>
      <c r="X1" s="12"/>
      <c r="Y1" s="12" t="s">
        <v>83</v>
      </c>
      <c r="Z1" s="12" t="s">
        <v>83</v>
      </c>
      <c r="AA1" s="12" t="s">
        <v>83</v>
      </c>
      <c r="AB1" s="12" t="s">
        <v>83</v>
      </c>
      <c r="AC1" s="54" t="s">
        <v>101</v>
      </c>
      <c r="AD1" s="12"/>
      <c r="AE1" s="12"/>
      <c r="AF1" s="12" t="s">
        <v>70</v>
      </c>
      <c r="AG1" s="12" t="s">
        <v>0</v>
      </c>
      <c r="AI1" s="36" t="s">
        <v>62</v>
      </c>
      <c r="AJ1" s="36" t="s">
        <v>62</v>
      </c>
      <c r="AK1" s="36" t="s">
        <v>62</v>
      </c>
      <c r="AL1" s="36" t="s">
        <v>59</v>
      </c>
      <c r="AM1" s="36" t="s">
        <v>59</v>
      </c>
      <c r="AN1" s="36" t="s">
        <v>59</v>
      </c>
      <c r="AP1" s="36" t="s">
        <v>82</v>
      </c>
      <c r="AQ1" s="36" t="s">
        <v>86</v>
      </c>
      <c r="AR1" s="36" t="s">
        <v>94</v>
      </c>
      <c r="AS1" s="36" t="s">
        <v>90</v>
      </c>
      <c r="AT1" s="36" t="s">
        <v>90</v>
      </c>
      <c r="AU1" s="36" t="s">
        <v>103</v>
      </c>
      <c r="AV1" s="36"/>
      <c r="AW1" s="36" t="s">
        <v>90</v>
      </c>
      <c r="AX1" s="36" t="s">
        <v>90</v>
      </c>
      <c r="AY1" s="36" t="s">
        <v>90</v>
      </c>
      <c r="AZ1" s="36" t="s">
        <v>90</v>
      </c>
      <c r="BA1" s="36" t="s">
        <v>90</v>
      </c>
      <c r="BC1" s="36" t="s">
        <v>200</v>
      </c>
      <c r="BO1" s="36" t="s">
        <v>22</v>
      </c>
      <c r="BV1" t="s">
        <v>213</v>
      </c>
      <c r="BW1" t="s">
        <v>213</v>
      </c>
      <c r="BX1" s="76" t="s">
        <v>341</v>
      </c>
      <c r="CN1" t="s">
        <v>182</v>
      </c>
      <c r="CS1" t="s">
        <v>108</v>
      </c>
      <c r="CU1" s="16" t="s">
        <v>243</v>
      </c>
      <c r="CX1" s="228" t="s">
        <v>335</v>
      </c>
      <c r="DC1" t="s">
        <v>199</v>
      </c>
      <c r="DK1" t="s">
        <v>336</v>
      </c>
      <c r="DM1" t="s">
        <v>340</v>
      </c>
    </row>
    <row r="2" spans="1:121" x14ac:dyDescent="0.3">
      <c r="B2" s="12" t="s">
        <v>64</v>
      </c>
      <c r="C2" s="56" t="s">
        <v>68</v>
      </c>
      <c r="H2" t="s">
        <v>367</v>
      </c>
      <c r="L2" s="12"/>
      <c r="M2" s="12" t="s">
        <v>57</v>
      </c>
      <c r="N2" s="36" t="s">
        <v>58</v>
      </c>
      <c r="O2" s="36" t="s">
        <v>58</v>
      </c>
      <c r="P2" s="36" t="s">
        <v>58</v>
      </c>
      <c r="Q2" s="12" t="s">
        <v>72</v>
      </c>
      <c r="R2" s="12"/>
      <c r="S2" s="12"/>
      <c r="T2" s="12"/>
      <c r="U2" s="12"/>
      <c r="V2" s="12" t="s">
        <v>77</v>
      </c>
      <c r="W2" s="12"/>
      <c r="X2" s="12"/>
      <c r="Y2" s="12" t="s">
        <v>369</v>
      </c>
      <c r="Z2" s="12" t="s">
        <v>369</v>
      </c>
      <c r="AA2" s="12" t="s">
        <v>84</v>
      </c>
      <c r="AB2" s="12" t="s">
        <v>84</v>
      </c>
      <c r="AC2" s="12" t="s">
        <v>102</v>
      </c>
      <c r="AD2" s="12" t="s">
        <v>67</v>
      </c>
      <c r="AE2" s="12" t="s">
        <v>80</v>
      </c>
      <c r="AF2" s="12" t="s">
        <v>84</v>
      </c>
      <c r="AG2" s="12" t="s">
        <v>84</v>
      </c>
      <c r="AI2" s="36" t="s">
        <v>58</v>
      </c>
      <c r="AJ2" s="36" t="s">
        <v>58</v>
      </c>
      <c r="AK2" s="36" t="s">
        <v>58</v>
      </c>
      <c r="AL2" s="36" t="s">
        <v>58</v>
      </c>
      <c r="AM2" s="36" t="s">
        <v>58</v>
      </c>
      <c r="AN2" s="36" t="s">
        <v>58</v>
      </c>
      <c r="AQ2" s="36" t="s">
        <v>87</v>
      </c>
      <c r="AR2" s="49" t="s">
        <v>89</v>
      </c>
      <c r="AS2" s="49" t="s">
        <v>89</v>
      </c>
      <c r="AT2" s="49" t="s">
        <v>77</v>
      </c>
      <c r="AU2" s="49" t="s">
        <v>89</v>
      </c>
      <c r="AV2" s="49" t="s">
        <v>95</v>
      </c>
      <c r="AW2" s="50" t="s">
        <v>91</v>
      </c>
      <c r="AX2" s="50" t="s">
        <v>96</v>
      </c>
      <c r="AY2" s="50" t="s">
        <v>96</v>
      </c>
      <c r="AZ2" s="36" t="s">
        <v>96</v>
      </c>
      <c r="BA2" s="12" t="s">
        <v>97</v>
      </c>
      <c r="BC2" t="s">
        <v>201</v>
      </c>
      <c r="BD2" t="s">
        <v>201</v>
      </c>
      <c r="BE2" t="s">
        <v>201</v>
      </c>
      <c r="BF2" t="s">
        <v>204</v>
      </c>
      <c r="BG2" t="s">
        <v>205</v>
      </c>
      <c r="BI2" t="s">
        <v>207</v>
      </c>
      <c r="BK2" t="s">
        <v>174</v>
      </c>
      <c r="BV2" s="107" t="s">
        <v>328</v>
      </c>
      <c r="BW2" s="107" t="s">
        <v>328</v>
      </c>
      <c r="BX2" s="12" t="s">
        <v>96</v>
      </c>
      <c r="BY2" s="12" t="s">
        <v>96</v>
      </c>
      <c r="BZ2" s="12" t="s">
        <v>173</v>
      </c>
      <c r="CA2" s="56" t="s">
        <v>174</v>
      </c>
      <c r="CB2" s="12"/>
      <c r="CC2" s="12"/>
      <c r="CD2" s="12" t="s">
        <v>175</v>
      </c>
      <c r="CE2" s="12"/>
      <c r="CG2" s="12"/>
      <c r="CH2" s="12" t="s">
        <v>325</v>
      </c>
      <c r="CI2" s="12"/>
      <c r="CJ2" s="12"/>
      <c r="CK2" s="12"/>
      <c r="CL2" s="12"/>
      <c r="CQ2" t="s">
        <v>60</v>
      </c>
      <c r="CU2" s="36" t="s">
        <v>191</v>
      </c>
      <c r="CV2" s="36"/>
      <c r="CW2" s="36"/>
      <c r="CX2" s="174" t="s">
        <v>191</v>
      </c>
      <c r="CY2" s="12" t="s">
        <v>192</v>
      </c>
      <c r="CZ2" s="12" t="s">
        <v>192</v>
      </c>
      <c r="DA2" s="12" t="s">
        <v>192</v>
      </c>
      <c r="DC2" s="90" t="s">
        <v>195</v>
      </c>
      <c r="DE2" t="s">
        <v>196</v>
      </c>
      <c r="DG2" t="s">
        <v>0</v>
      </c>
      <c r="DJ2" t="s">
        <v>198</v>
      </c>
    </row>
    <row r="3" spans="1:121" x14ac:dyDescent="0.3">
      <c r="B3" s="12" t="s">
        <v>65</v>
      </c>
      <c r="C3" s="12" t="s">
        <v>67</v>
      </c>
      <c r="D3" s="12" t="s">
        <v>66</v>
      </c>
      <c r="E3" s="12" t="s">
        <v>69</v>
      </c>
      <c r="F3" s="12" t="s">
        <v>70</v>
      </c>
      <c r="G3" s="12" t="s">
        <v>0</v>
      </c>
      <c r="H3" s="12" t="s">
        <v>67</v>
      </c>
      <c r="I3" s="12" t="s">
        <v>66</v>
      </c>
      <c r="J3" s="12" t="s">
        <v>69</v>
      </c>
      <c r="K3" s="12" t="s">
        <v>70</v>
      </c>
      <c r="L3" s="12" t="s">
        <v>368</v>
      </c>
      <c r="M3" s="12" t="s">
        <v>71</v>
      </c>
      <c r="N3" s="36" t="s">
        <v>60</v>
      </c>
      <c r="O3" s="36" t="s">
        <v>61</v>
      </c>
      <c r="P3" s="36" t="s">
        <v>80</v>
      </c>
      <c r="Q3" s="12" t="s">
        <v>66</v>
      </c>
      <c r="R3" s="12" t="s">
        <v>73</v>
      </c>
      <c r="S3" s="12" t="s">
        <v>74</v>
      </c>
      <c r="T3" s="12" t="s">
        <v>75</v>
      </c>
      <c r="U3" s="12" t="s">
        <v>76</v>
      </c>
      <c r="V3" s="12" t="s">
        <v>78</v>
      </c>
      <c r="W3" s="12" t="s">
        <v>79</v>
      </c>
      <c r="X3" s="12"/>
      <c r="Y3" s="12" t="s">
        <v>66</v>
      </c>
      <c r="Z3" s="12" t="s">
        <v>370</v>
      </c>
      <c r="AA3" s="12" t="s">
        <v>85</v>
      </c>
      <c r="AB3" s="12" t="s">
        <v>93</v>
      </c>
      <c r="AC3" s="12" t="s">
        <v>93</v>
      </c>
      <c r="AD3" s="12" t="s">
        <v>93</v>
      </c>
      <c r="AE3" s="12" t="s">
        <v>93</v>
      </c>
      <c r="AF3" s="12" t="s">
        <v>93</v>
      </c>
      <c r="AG3" s="12" t="s">
        <v>93</v>
      </c>
      <c r="AI3" s="36" t="s">
        <v>60</v>
      </c>
      <c r="AJ3" s="36" t="s">
        <v>61</v>
      </c>
      <c r="AK3" s="36" t="s">
        <v>80</v>
      </c>
      <c r="AL3" s="36" t="s">
        <v>60</v>
      </c>
      <c r="AM3" s="36" t="s">
        <v>61</v>
      </c>
      <c r="AN3" s="36" t="s">
        <v>80</v>
      </c>
      <c r="AP3" s="36" t="s">
        <v>80</v>
      </c>
      <c r="AQ3" s="36" t="s">
        <v>88</v>
      </c>
      <c r="AR3" s="36" t="s">
        <v>80</v>
      </c>
      <c r="AS3" s="36" t="s">
        <v>80</v>
      </c>
      <c r="AT3" s="36"/>
      <c r="AU3" s="36" t="s">
        <v>80</v>
      </c>
      <c r="AV3" s="36"/>
      <c r="AW3" s="36" t="s">
        <v>80</v>
      </c>
      <c r="AX3" s="36" t="s">
        <v>92</v>
      </c>
      <c r="AY3" s="36" t="s">
        <v>83</v>
      </c>
      <c r="AZ3" s="36" t="s">
        <v>80</v>
      </c>
      <c r="BA3" s="36" t="s">
        <v>98</v>
      </c>
      <c r="BC3" s="36" t="s">
        <v>80</v>
      </c>
      <c r="BD3" s="36" t="s">
        <v>202</v>
      </c>
      <c r="BE3" s="36" t="s">
        <v>203</v>
      </c>
      <c r="BF3" s="36" t="s">
        <v>80</v>
      </c>
      <c r="BG3" s="36" t="s">
        <v>206</v>
      </c>
      <c r="BH3" s="36" t="s">
        <v>193</v>
      </c>
      <c r="BI3" s="36" t="s">
        <v>206</v>
      </c>
      <c r="BJ3" s="36" t="s">
        <v>193</v>
      </c>
      <c r="BK3" s="36" t="s">
        <v>0</v>
      </c>
      <c r="BL3" s="36" t="s">
        <v>202</v>
      </c>
      <c r="BM3" s="36" t="s">
        <v>203</v>
      </c>
      <c r="BO3" s="168" t="s">
        <v>245</v>
      </c>
      <c r="BP3" s="168" t="s">
        <v>24</v>
      </c>
      <c r="BQ3" s="168" t="s">
        <v>23</v>
      </c>
      <c r="BV3" t="s">
        <v>80</v>
      </c>
      <c r="BW3" t="s">
        <v>60</v>
      </c>
      <c r="BX3" s="36" t="s">
        <v>172</v>
      </c>
      <c r="BY3" s="36" t="s">
        <v>66</v>
      </c>
      <c r="BZ3" s="12" t="s">
        <v>38</v>
      </c>
      <c r="CA3" s="12" t="s">
        <v>175</v>
      </c>
      <c r="CB3" s="12" t="s">
        <v>0</v>
      </c>
      <c r="CC3" s="12"/>
      <c r="CD3" s="12" t="s">
        <v>329</v>
      </c>
      <c r="CE3" s="12" t="s">
        <v>330</v>
      </c>
      <c r="CF3" s="12" t="s">
        <v>331</v>
      </c>
      <c r="CG3" s="12" t="s">
        <v>332</v>
      </c>
      <c r="CH3" s="12" t="s">
        <v>183</v>
      </c>
      <c r="CI3" s="12" t="s">
        <v>193</v>
      </c>
      <c r="CJ3" s="12" t="s">
        <v>326</v>
      </c>
      <c r="CK3" s="12" t="s">
        <v>327</v>
      </c>
      <c r="CL3" s="12" t="s">
        <v>80</v>
      </c>
      <c r="CN3" s="12" t="s">
        <v>183</v>
      </c>
      <c r="CO3" s="12" t="s">
        <v>184</v>
      </c>
      <c r="CP3" s="12" t="s">
        <v>342</v>
      </c>
      <c r="CQ3" s="12" t="s">
        <v>80</v>
      </c>
      <c r="CR3" s="12"/>
      <c r="CS3" s="12"/>
      <c r="CT3" s="12"/>
      <c r="CU3" s="36" t="s">
        <v>80</v>
      </c>
      <c r="CV3" s="36" t="s">
        <v>60</v>
      </c>
      <c r="CW3" s="36" t="s">
        <v>61</v>
      </c>
      <c r="CX3" s="174" t="s">
        <v>80</v>
      </c>
      <c r="CY3" s="12" t="s">
        <v>80</v>
      </c>
      <c r="CZ3" s="12" t="s">
        <v>193</v>
      </c>
      <c r="DA3" s="12" t="s">
        <v>183</v>
      </c>
      <c r="DC3" t="s">
        <v>194</v>
      </c>
      <c r="DD3" t="s">
        <v>197</v>
      </c>
      <c r="DE3" t="s">
        <v>194</v>
      </c>
      <c r="DF3" t="s">
        <v>197</v>
      </c>
      <c r="DG3" t="s">
        <v>194</v>
      </c>
      <c r="DH3" t="s">
        <v>197</v>
      </c>
      <c r="DI3" s="79" t="s">
        <v>0</v>
      </c>
      <c r="DJ3" s="80" t="s">
        <v>88</v>
      </c>
      <c r="DK3" s="80" t="s">
        <v>337</v>
      </c>
      <c r="DL3" s="80" t="s">
        <v>338</v>
      </c>
      <c r="DM3" s="80" t="s">
        <v>337</v>
      </c>
      <c r="DN3" s="80" t="s">
        <v>338</v>
      </c>
      <c r="DO3" s="80"/>
      <c r="DP3" s="80"/>
    </row>
    <row r="4" spans="1:121" x14ac:dyDescent="0.3">
      <c r="A4">
        <v>1970</v>
      </c>
      <c r="N4" s="16">
        <v>110952</v>
      </c>
      <c r="O4" s="16">
        <v>0</v>
      </c>
      <c r="P4" s="16">
        <f t="shared" ref="P4:P36" si="0">O4+N4</f>
        <v>110952</v>
      </c>
      <c r="AI4" s="16">
        <v>5056</v>
      </c>
      <c r="AJ4" s="16">
        <v>1017</v>
      </c>
      <c r="AK4" s="16">
        <f t="shared" ref="AK4:AK51" si="1">AI4+AJ4</f>
        <v>6073</v>
      </c>
      <c r="AL4" s="16">
        <v>47981</v>
      </c>
      <c r="AM4" s="16">
        <v>0</v>
      </c>
      <c r="AN4" s="16">
        <f t="shared" ref="AN4:AN51" si="2">AL4+AM4</f>
        <v>47981</v>
      </c>
      <c r="AU4" s="16">
        <f t="shared" ref="AU4:AU28" si="3">P4</f>
        <v>110952</v>
      </c>
    </row>
    <row r="5" spans="1:121" x14ac:dyDescent="0.3">
      <c r="A5">
        <v>1971</v>
      </c>
      <c r="N5" s="16">
        <v>125517</v>
      </c>
      <c r="O5" s="16">
        <v>0</v>
      </c>
      <c r="P5" s="16">
        <f t="shared" si="0"/>
        <v>125517</v>
      </c>
      <c r="AI5" s="16">
        <v>4962</v>
      </c>
      <c r="AJ5" s="16">
        <v>1155</v>
      </c>
      <c r="AK5" s="16">
        <f t="shared" si="1"/>
        <v>6117</v>
      </c>
      <c r="AL5" s="16">
        <v>32638</v>
      </c>
      <c r="AM5" s="16">
        <v>0</v>
      </c>
      <c r="AN5" s="16">
        <f t="shared" si="2"/>
        <v>32638</v>
      </c>
      <c r="AU5" s="16">
        <f t="shared" si="3"/>
        <v>125517</v>
      </c>
    </row>
    <row r="6" spans="1:121" x14ac:dyDescent="0.3">
      <c r="A6">
        <v>1972</v>
      </c>
      <c r="N6" s="16">
        <v>186140</v>
      </c>
      <c r="O6" s="16">
        <v>0</v>
      </c>
      <c r="P6" s="16">
        <f t="shared" si="0"/>
        <v>186140</v>
      </c>
      <c r="AI6" s="16">
        <v>8436</v>
      </c>
      <c r="AJ6" s="16">
        <v>339</v>
      </c>
      <c r="AK6" s="16">
        <f t="shared" si="1"/>
        <v>8775</v>
      </c>
      <c r="AL6" s="16">
        <v>50350</v>
      </c>
      <c r="AM6" s="16">
        <v>0</v>
      </c>
      <c r="AN6" s="16">
        <f t="shared" si="2"/>
        <v>50350</v>
      </c>
      <c r="AU6" s="16">
        <f t="shared" si="3"/>
        <v>186140</v>
      </c>
    </row>
    <row r="7" spans="1:121" x14ac:dyDescent="0.3">
      <c r="A7">
        <v>1973</v>
      </c>
      <c r="N7" s="16">
        <v>142148</v>
      </c>
      <c r="O7" s="16">
        <v>0</v>
      </c>
      <c r="P7" s="16">
        <f t="shared" si="0"/>
        <v>142148</v>
      </c>
      <c r="AI7" s="16">
        <v>8965</v>
      </c>
      <c r="AJ7" s="16">
        <v>1079</v>
      </c>
      <c r="AK7" s="16">
        <f t="shared" si="1"/>
        <v>10044</v>
      </c>
      <c r="AL7" s="16">
        <v>60639</v>
      </c>
      <c r="AM7" s="16">
        <v>0</v>
      </c>
      <c r="AN7" s="16">
        <f t="shared" si="2"/>
        <v>60639</v>
      </c>
      <c r="AU7" s="16">
        <f t="shared" si="3"/>
        <v>142148</v>
      </c>
    </row>
    <row r="8" spans="1:121" x14ac:dyDescent="0.3">
      <c r="A8">
        <v>1974</v>
      </c>
      <c r="N8" s="16">
        <v>134535</v>
      </c>
      <c r="O8" s="16">
        <v>0</v>
      </c>
      <c r="P8" s="16">
        <f t="shared" si="0"/>
        <v>134535</v>
      </c>
      <c r="AI8" s="16">
        <v>10852</v>
      </c>
      <c r="AJ8" s="16">
        <v>275</v>
      </c>
      <c r="AK8" s="16">
        <f t="shared" si="1"/>
        <v>11127</v>
      </c>
      <c r="AL8" s="16">
        <v>19361</v>
      </c>
      <c r="AM8" s="16">
        <v>0</v>
      </c>
      <c r="AN8" s="16">
        <f t="shared" si="2"/>
        <v>19361</v>
      </c>
      <c r="AU8" s="16">
        <f t="shared" si="3"/>
        <v>134535</v>
      </c>
    </row>
    <row r="9" spans="1:121" x14ac:dyDescent="0.3">
      <c r="A9">
        <v>1975</v>
      </c>
      <c r="N9" s="16">
        <v>104104</v>
      </c>
      <c r="O9" s="16">
        <v>0</v>
      </c>
      <c r="P9" s="16">
        <f t="shared" si="0"/>
        <v>104104</v>
      </c>
      <c r="AI9" s="16">
        <v>7701</v>
      </c>
      <c r="AJ9" s="16">
        <v>469</v>
      </c>
      <c r="AK9" s="16">
        <f t="shared" si="1"/>
        <v>8170</v>
      </c>
      <c r="AL9" s="16">
        <v>21401</v>
      </c>
      <c r="AM9" s="16">
        <v>0</v>
      </c>
      <c r="AN9" s="16">
        <f t="shared" si="2"/>
        <v>21401</v>
      </c>
      <c r="AU9" s="16">
        <f t="shared" si="3"/>
        <v>104104</v>
      </c>
    </row>
    <row r="10" spans="1:121" x14ac:dyDescent="0.3">
      <c r="A10">
        <v>1976</v>
      </c>
      <c r="N10" s="16">
        <v>113448</v>
      </c>
      <c r="O10" s="16">
        <v>0</v>
      </c>
      <c r="P10" s="16">
        <f t="shared" si="0"/>
        <v>113448</v>
      </c>
      <c r="AI10" s="16">
        <v>11465</v>
      </c>
      <c r="AJ10" s="16">
        <v>1836</v>
      </c>
      <c r="AK10" s="16">
        <f t="shared" si="1"/>
        <v>13301</v>
      </c>
      <c r="AL10" s="16">
        <v>25056</v>
      </c>
      <c r="AM10" s="16">
        <v>0</v>
      </c>
      <c r="AN10" s="16">
        <f t="shared" si="2"/>
        <v>25056</v>
      </c>
      <c r="AU10" s="16">
        <f t="shared" si="3"/>
        <v>113448</v>
      </c>
    </row>
    <row r="11" spans="1:121" x14ac:dyDescent="0.3">
      <c r="A11">
        <v>1977</v>
      </c>
      <c r="N11" s="16">
        <v>119508</v>
      </c>
      <c r="O11" s="16">
        <v>0</v>
      </c>
      <c r="P11" s="16">
        <f t="shared" si="0"/>
        <v>119508</v>
      </c>
      <c r="AI11" s="16">
        <v>20416</v>
      </c>
      <c r="AJ11" s="16">
        <v>657</v>
      </c>
      <c r="AK11" s="16">
        <f t="shared" si="1"/>
        <v>21073</v>
      </c>
      <c r="AL11" s="16">
        <v>44421</v>
      </c>
      <c r="AM11" s="16">
        <v>0</v>
      </c>
      <c r="AN11" s="16">
        <f t="shared" si="2"/>
        <v>44421</v>
      </c>
      <c r="AU11" s="16">
        <f t="shared" si="3"/>
        <v>119508</v>
      </c>
      <c r="BB11" s="69"/>
      <c r="BC11" s="94">
        <v>533</v>
      </c>
      <c r="BD11" s="94">
        <v>380</v>
      </c>
      <c r="BE11" s="94">
        <v>153</v>
      </c>
      <c r="BF11" s="94">
        <v>95</v>
      </c>
      <c r="BG11" s="94">
        <v>6</v>
      </c>
      <c r="BH11" s="94">
        <v>3</v>
      </c>
      <c r="BI11" s="94">
        <v>61</v>
      </c>
      <c r="BJ11" s="94">
        <v>25</v>
      </c>
      <c r="BK11" s="94">
        <v>438</v>
      </c>
      <c r="BL11" s="94">
        <v>312</v>
      </c>
      <c r="BM11" s="94">
        <v>126</v>
      </c>
      <c r="BN11" s="94"/>
      <c r="BO11" s="69"/>
      <c r="BP11" s="69"/>
      <c r="BQ11" s="69"/>
      <c r="BR11" s="69"/>
      <c r="BS11" s="69"/>
      <c r="BT11" s="69"/>
      <c r="BU11" s="69"/>
      <c r="BV11" s="69"/>
      <c r="BW11" s="69"/>
      <c r="BX11" s="70"/>
      <c r="BY11" s="70"/>
      <c r="BZ11" s="70"/>
      <c r="CA11" s="70"/>
      <c r="CB11" s="70"/>
      <c r="CC11" s="70"/>
      <c r="CD11" s="70"/>
      <c r="CE11" s="70"/>
      <c r="CF11" s="216"/>
      <c r="CG11" s="70"/>
      <c r="CH11" s="70"/>
      <c r="CI11" s="70"/>
      <c r="CJ11" s="70"/>
      <c r="CK11" s="70"/>
      <c r="CL11" s="70"/>
    </row>
    <row r="12" spans="1:121" x14ac:dyDescent="0.3">
      <c r="A12">
        <v>1978</v>
      </c>
      <c r="N12" s="16">
        <v>149863</v>
      </c>
      <c r="O12" s="16">
        <v>0</v>
      </c>
      <c r="P12" s="16">
        <f t="shared" si="0"/>
        <v>149863</v>
      </c>
      <c r="AI12" s="16">
        <v>21207</v>
      </c>
      <c r="AJ12" s="16">
        <v>220</v>
      </c>
      <c r="AK12" s="16">
        <f t="shared" si="1"/>
        <v>21427</v>
      </c>
      <c r="AL12" s="16">
        <v>49303</v>
      </c>
      <c r="AM12" s="16">
        <v>0</v>
      </c>
      <c r="AN12" s="16">
        <f t="shared" si="2"/>
        <v>49303</v>
      </c>
      <c r="AU12" s="16">
        <f t="shared" si="3"/>
        <v>149863</v>
      </c>
      <c r="BB12" s="71"/>
      <c r="BC12" s="95">
        <v>1528</v>
      </c>
      <c r="BD12" s="95">
        <v>1160</v>
      </c>
      <c r="BE12" s="94">
        <v>368</v>
      </c>
      <c r="BF12" s="94">
        <v>906</v>
      </c>
      <c r="BG12" s="94">
        <v>202</v>
      </c>
      <c r="BH12" s="94">
        <v>64</v>
      </c>
      <c r="BI12" s="94">
        <v>486</v>
      </c>
      <c r="BJ12" s="94">
        <v>154</v>
      </c>
      <c r="BK12" s="94">
        <v>622</v>
      </c>
      <c r="BL12" s="94">
        <v>472</v>
      </c>
      <c r="BM12" s="94">
        <v>150</v>
      </c>
      <c r="BN12" s="94"/>
      <c r="BO12" s="71"/>
      <c r="BP12" s="71"/>
      <c r="BQ12" s="71"/>
      <c r="BR12" s="71"/>
      <c r="BS12" s="71"/>
      <c r="BT12" s="71"/>
      <c r="BU12" s="71"/>
      <c r="BV12" s="71"/>
      <c r="BW12" s="71"/>
      <c r="BX12" s="74">
        <v>391</v>
      </c>
      <c r="BY12" s="74">
        <v>1107</v>
      </c>
      <c r="BZ12" s="74">
        <v>194</v>
      </c>
      <c r="CA12" s="74">
        <v>1606</v>
      </c>
      <c r="CB12" s="74">
        <v>3298</v>
      </c>
      <c r="CC12" s="74"/>
      <c r="CD12" s="74"/>
      <c r="CE12" s="74"/>
      <c r="CF12" s="216"/>
      <c r="CG12" s="74"/>
      <c r="CH12" s="74"/>
      <c r="CI12" s="74"/>
      <c r="CJ12" s="74"/>
      <c r="CK12" s="74"/>
      <c r="CL12" s="74"/>
    </row>
    <row r="13" spans="1:121" x14ac:dyDescent="0.3">
      <c r="A13">
        <v>1979</v>
      </c>
      <c r="N13" s="16">
        <v>51462</v>
      </c>
      <c r="O13" s="16">
        <v>0</v>
      </c>
      <c r="P13" s="16">
        <f t="shared" si="0"/>
        <v>51462</v>
      </c>
      <c r="AI13" s="16">
        <v>7386</v>
      </c>
      <c r="AJ13" s="16">
        <v>364</v>
      </c>
      <c r="AK13" s="16">
        <f t="shared" si="1"/>
        <v>7750</v>
      </c>
      <c r="AL13" s="16">
        <v>9247</v>
      </c>
      <c r="AM13" s="16">
        <v>0</v>
      </c>
      <c r="AN13" s="16">
        <f t="shared" si="2"/>
        <v>9247</v>
      </c>
      <c r="AU13" s="16">
        <f t="shared" si="3"/>
        <v>51462</v>
      </c>
      <c r="BB13" s="40"/>
      <c r="BC13" s="94">
        <v>851</v>
      </c>
      <c r="BD13" s="94">
        <v>773</v>
      </c>
      <c r="BE13" s="94">
        <v>78</v>
      </c>
      <c r="BF13" s="94">
        <v>89</v>
      </c>
      <c r="BG13" s="94">
        <v>81</v>
      </c>
      <c r="BH13" s="94">
        <v>8</v>
      </c>
      <c r="BI13" s="94">
        <v>0</v>
      </c>
      <c r="BJ13" s="94">
        <v>0</v>
      </c>
      <c r="BK13" s="94">
        <v>762</v>
      </c>
      <c r="BL13" s="94">
        <v>692</v>
      </c>
      <c r="BM13" s="94">
        <v>70</v>
      </c>
      <c r="BN13" s="94"/>
      <c r="BO13" s="40"/>
      <c r="BP13" s="40"/>
      <c r="BQ13" s="40"/>
      <c r="BR13" s="40"/>
      <c r="BS13" s="40"/>
      <c r="BT13" s="40"/>
      <c r="BU13" s="40"/>
      <c r="BV13" s="40"/>
      <c r="BW13" s="40"/>
      <c r="BX13" s="72">
        <v>173</v>
      </c>
      <c r="BY13" s="72">
        <v>512</v>
      </c>
      <c r="BZ13" s="72">
        <v>115</v>
      </c>
      <c r="CA13" s="39">
        <v>2660</v>
      </c>
      <c r="CB13" s="39">
        <v>3460</v>
      </c>
      <c r="CC13" s="39"/>
      <c r="CD13" s="39"/>
      <c r="CE13" s="39"/>
      <c r="CF13" s="217"/>
      <c r="CG13" s="39"/>
      <c r="CH13" s="39"/>
      <c r="CI13" s="39"/>
      <c r="CJ13" s="39"/>
      <c r="CK13" s="39"/>
      <c r="CL13" s="39"/>
    </row>
    <row r="14" spans="1:121" x14ac:dyDescent="0.3">
      <c r="A14">
        <v>1980</v>
      </c>
      <c r="N14" s="16">
        <v>53100</v>
      </c>
      <c r="O14" s="16">
        <v>7887</v>
      </c>
      <c r="P14" s="16">
        <f t="shared" si="0"/>
        <v>60987</v>
      </c>
      <c r="AI14" s="16">
        <v>8526</v>
      </c>
      <c r="AJ14" s="16">
        <v>2608</v>
      </c>
      <c r="AK14" s="16">
        <f t="shared" si="1"/>
        <v>11134</v>
      </c>
      <c r="AL14" s="16">
        <v>8301</v>
      </c>
      <c r="AM14" s="16">
        <v>1367</v>
      </c>
      <c r="AN14" s="16">
        <f t="shared" si="2"/>
        <v>9668</v>
      </c>
      <c r="AU14" s="16">
        <f t="shared" si="3"/>
        <v>60987</v>
      </c>
      <c r="BB14" s="40"/>
      <c r="BC14" s="95">
        <v>1685</v>
      </c>
      <c r="BD14" s="95">
        <v>1619</v>
      </c>
      <c r="BE14" s="94">
        <v>66</v>
      </c>
      <c r="BF14" s="94">
        <v>67</v>
      </c>
      <c r="BG14" s="94">
        <v>6</v>
      </c>
      <c r="BH14" s="94">
        <v>0</v>
      </c>
      <c r="BI14" s="94">
        <v>59</v>
      </c>
      <c r="BJ14" s="94">
        <v>2</v>
      </c>
      <c r="BK14" s="95">
        <v>1618</v>
      </c>
      <c r="BL14" s="95">
        <v>1555</v>
      </c>
      <c r="BM14" s="94">
        <v>63</v>
      </c>
      <c r="BN14" s="94"/>
      <c r="BO14" s="40"/>
      <c r="BP14" s="40"/>
      <c r="BQ14" s="40"/>
      <c r="BR14" s="40"/>
      <c r="BS14" s="40"/>
      <c r="BT14" s="40"/>
      <c r="BU14" s="40"/>
      <c r="BV14" s="40"/>
      <c r="BW14" s="40"/>
      <c r="BX14" s="72">
        <v>203</v>
      </c>
      <c r="BY14" s="72">
        <v>345</v>
      </c>
      <c r="BZ14" s="72">
        <v>89</v>
      </c>
      <c r="CA14" s="39">
        <v>1395</v>
      </c>
      <c r="CB14" s="39">
        <v>2032</v>
      </c>
      <c r="CC14" s="39"/>
      <c r="CD14" s="39"/>
      <c r="CE14" s="39"/>
      <c r="CF14" s="217"/>
      <c r="CG14" s="39"/>
      <c r="CH14" s="39"/>
      <c r="CI14" s="39"/>
      <c r="CJ14" s="39"/>
      <c r="CK14" s="39"/>
      <c r="CL14" s="39"/>
      <c r="DQ14" s="78"/>
    </row>
    <row r="15" spans="1:121" x14ac:dyDescent="0.3">
      <c r="A15">
        <v>1981</v>
      </c>
      <c r="N15" s="16">
        <v>62827</v>
      </c>
      <c r="O15" s="16">
        <v>2182</v>
      </c>
      <c r="P15" s="16">
        <f t="shared" si="0"/>
        <v>65009</v>
      </c>
      <c r="AI15" s="16">
        <v>14461</v>
      </c>
      <c r="AJ15" s="16">
        <v>320</v>
      </c>
      <c r="AK15" s="16">
        <f t="shared" si="1"/>
        <v>14781</v>
      </c>
      <c r="AL15" s="16">
        <v>15591</v>
      </c>
      <c r="AM15" s="16">
        <v>575</v>
      </c>
      <c r="AN15" s="16">
        <f t="shared" si="2"/>
        <v>16166</v>
      </c>
      <c r="AU15" s="16">
        <f t="shared" si="3"/>
        <v>65009</v>
      </c>
      <c r="BB15" s="40"/>
      <c r="BC15" s="95">
        <v>2528</v>
      </c>
      <c r="BD15" s="95">
        <v>2211</v>
      </c>
      <c r="BE15" s="94">
        <v>317</v>
      </c>
      <c r="BF15" s="94">
        <v>574</v>
      </c>
      <c r="BG15" s="94">
        <v>133</v>
      </c>
      <c r="BH15" s="94">
        <v>19</v>
      </c>
      <c r="BI15" s="94">
        <v>369</v>
      </c>
      <c r="BJ15" s="94">
        <v>53</v>
      </c>
      <c r="BK15" s="95">
        <v>1954</v>
      </c>
      <c r="BL15" s="95">
        <v>1709</v>
      </c>
      <c r="BM15" s="94">
        <v>245</v>
      </c>
      <c r="BN15" s="94"/>
      <c r="BO15" s="40"/>
      <c r="BP15" s="40"/>
      <c r="BQ15" s="40"/>
      <c r="BR15" s="40"/>
      <c r="BS15" s="40"/>
      <c r="BT15" s="40"/>
      <c r="BU15" s="40"/>
      <c r="BV15" s="40"/>
      <c r="BW15" s="40"/>
      <c r="BX15" s="72">
        <v>113</v>
      </c>
      <c r="BY15" s="72">
        <v>337</v>
      </c>
      <c r="BZ15" s="72">
        <v>60</v>
      </c>
      <c r="CA15" s="39">
        <v>1002</v>
      </c>
      <c r="CB15" s="39">
        <v>1512</v>
      </c>
      <c r="CC15" s="39"/>
      <c r="CD15" s="39"/>
      <c r="CE15" s="39"/>
      <c r="CF15" s="217"/>
      <c r="CG15" s="39"/>
      <c r="CH15" s="39"/>
      <c r="CI15" s="39"/>
      <c r="CJ15" s="39"/>
      <c r="CK15" s="39"/>
      <c r="CL15" s="39"/>
      <c r="DK15" s="230">
        <v>294</v>
      </c>
      <c r="DL15" s="230">
        <v>172</v>
      </c>
      <c r="DM15" s="231">
        <f>DK15*2.5</f>
        <v>735</v>
      </c>
      <c r="DN15" s="231">
        <f t="shared" ref="DN15:DN52" si="4">DL15*2.5</f>
        <v>430</v>
      </c>
      <c r="DQ15" s="78"/>
    </row>
    <row r="16" spans="1:121" x14ac:dyDescent="0.3">
      <c r="A16">
        <v>1982</v>
      </c>
      <c r="N16" s="16">
        <v>70011</v>
      </c>
      <c r="O16" s="16">
        <v>6033</v>
      </c>
      <c r="P16" s="16">
        <f t="shared" si="0"/>
        <v>76044</v>
      </c>
      <c r="AI16" s="16">
        <v>8664</v>
      </c>
      <c r="AJ16" s="16">
        <v>424</v>
      </c>
      <c r="AK16" s="16">
        <f t="shared" si="1"/>
        <v>9088</v>
      </c>
      <c r="AL16" s="16">
        <v>14299</v>
      </c>
      <c r="AM16" s="16">
        <v>298</v>
      </c>
      <c r="AN16" s="16">
        <f t="shared" si="2"/>
        <v>14597</v>
      </c>
      <c r="AU16" s="16">
        <f t="shared" si="3"/>
        <v>76044</v>
      </c>
      <c r="BB16" s="73"/>
      <c r="BC16" s="95">
        <v>3238</v>
      </c>
      <c r="BD16" s="95">
        <v>2988</v>
      </c>
      <c r="BE16" s="94">
        <v>250</v>
      </c>
      <c r="BF16" s="95">
        <v>1775</v>
      </c>
      <c r="BG16" s="94">
        <v>399</v>
      </c>
      <c r="BH16" s="94">
        <v>33</v>
      </c>
      <c r="BI16" s="95">
        <v>1239</v>
      </c>
      <c r="BJ16" s="94">
        <v>104</v>
      </c>
      <c r="BK16" s="95">
        <v>1463</v>
      </c>
      <c r="BL16" s="95">
        <v>1350</v>
      </c>
      <c r="BM16" s="94">
        <v>113</v>
      </c>
      <c r="BN16" s="94"/>
      <c r="BO16" s="73"/>
      <c r="BP16" s="73"/>
      <c r="BQ16" s="73"/>
      <c r="BR16" s="73"/>
      <c r="BS16" s="73"/>
      <c r="BT16" s="73"/>
      <c r="BU16" s="73"/>
      <c r="BV16" s="73"/>
      <c r="BW16" s="73"/>
      <c r="BX16" s="72">
        <v>0</v>
      </c>
      <c r="BY16" s="72">
        <v>0</v>
      </c>
      <c r="BZ16" s="72">
        <v>0</v>
      </c>
      <c r="CA16" s="39">
        <v>1575</v>
      </c>
      <c r="CB16" s="39">
        <v>1575</v>
      </c>
      <c r="CC16" s="39"/>
      <c r="CD16" s="39"/>
      <c r="CE16" s="39"/>
      <c r="CF16" s="217"/>
      <c r="CG16" s="39"/>
      <c r="CH16" s="39"/>
      <c r="CI16" s="39"/>
      <c r="CJ16" s="39"/>
      <c r="CK16" s="39"/>
      <c r="CL16" s="39"/>
      <c r="CX16" s="229">
        <v>1499</v>
      </c>
      <c r="CY16" s="16">
        <v>1146</v>
      </c>
      <c r="DC16" s="82">
        <v>434</v>
      </c>
      <c r="DD16" s="81">
        <v>0</v>
      </c>
      <c r="DE16" s="82">
        <v>0</v>
      </c>
      <c r="DF16" s="81">
        <v>0</v>
      </c>
      <c r="DG16" s="83">
        <v>434</v>
      </c>
      <c r="DH16" s="82">
        <v>0</v>
      </c>
      <c r="DI16" s="81">
        <v>434</v>
      </c>
      <c r="DJ16" s="84">
        <v>0.23799999999999999</v>
      </c>
      <c r="DK16" s="230">
        <v>640</v>
      </c>
      <c r="DL16" s="230">
        <v>54</v>
      </c>
      <c r="DM16" s="231">
        <f t="shared" ref="DM16:DM52" si="5">DK16*2.5</f>
        <v>1600</v>
      </c>
      <c r="DN16" s="231">
        <f t="shared" si="4"/>
        <v>135</v>
      </c>
      <c r="DO16" s="84"/>
      <c r="DP16" s="84"/>
      <c r="DQ16" s="78"/>
    </row>
    <row r="17" spans="1:121" x14ac:dyDescent="0.3">
      <c r="A17">
        <v>1983</v>
      </c>
      <c r="N17" s="16">
        <v>54898</v>
      </c>
      <c r="O17" s="16">
        <v>1940</v>
      </c>
      <c r="P17" s="16">
        <f t="shared" si="0"/>
        <v>56838</v>
      </c>
      <c r="AI17" s="16">
        <v>9832</v>
      </c>
      <c r="AJ17" s="16">
        <v>348</v>
      </c>
      <c r="AK17" s="16">
        <f t="shared" si="1"/>
        <v>10180</v>
      </c>
      <c r="AL17" s="16">
        <v>12189</v>
      </c>
      <c r="AM17" s="16">
        <v>413</v>
      </c>
      <c r="AN17" s="16">
        <f t="shared" si="2"/>
        <v>12602</v>
      </c>
      <c r="AU17" s="16">
        <f t="shared" si="3"/>
        <v>56838</v>
      </c>
      <c r="BB17" s="73"/>
      <c r="BC17" s="95">
        <v>2417</v>
      </c>
      <c r="BD17" s="95">
        <v>2190</v>
      </c>
      <c r="BE17" s="94">
        <v>227</v>
      </c>
      <c r="BF17" s="95">
        <v>1745</v>
      </c>
      <c r="BG17" s="94">
        <v>256</v>
      </c>
      <c r="BH17" s="94">
        <v>27</v>
      </c>
      <c r="BI17" s="95">
        <v>1325</v>
      </c>
      <c r="BJ17" s="94">
        <v>137</v>
      </c>
      <c r="BK17" s="94">
        <v>672</v>
      </c>
      <c r="BL17" s="94">
        <v>609</v>
      </c>
      <c r="BM17" s="94">
        <v>63</v>
      </c>
      <c r="BN17" s="94"/>
      <c r="BO17" s="73"/>
      <c r="BP17" s="73"/>
      <c r="BQ17" s="73"/>
      <c r="BR17" s="73"/>
      <c r="BS17" s="73"/>
      <c r="BT17" s="73"/>
      <c r="BU17" s="73"/>
      <c r="BV17" s="73"/>
      <c r="BW17" s="73"/>
      <c r="BX17" s="72">
        <v>201</v>
      </c>
      <c r="BY17" s="72">
        <v>502</v>
      </c>
      <c r="BZ17" s="72">
        <v>0</v>
      </c>
      <c r="CA17" s="39">
        <v>1454</v>
      </c>
      <c r="CB17" s="39">
        <v>2157</v>
      </c>
      <c r="CC17" s="39"/>
      <c r="CD17" s="39"/>
      <c r="CE17" s="39"/>
      <c r="CF17" s="217"/>
      <c r="CG17" s="39"/>
      <c r="CH17" s="39"/>
      <c r="CI17" s="39"/>
      <c r="CJ17" s="39"/>
      <c r="CK17" s="39"/>
      <c r="CL17" s="39"/>
      <c r="CU17" s="16">
        <v>748</v>
      </c>
      <c r="CV17" s="16">
        <f>CU17-CW17</f>
        <v>629</v>
      </c>
      <c r="CW17" s="16">
        <v>119</v>
      </c>
      <c r="CX17" s="229">
        <v>867</v>
      </c>
      <c r="CY17" s="16">
        <v>1007</v>
      </c>
      <c r="DC17" s="82">
        <v>84</v>
      </c>
      <c r="DD17" s="81">
        <v>0</v>
      </c>
      <c r="DE17" s="82">
        <v>0</v>
      </c>
      <c r="DF17" s="81">
        <v>0</v>
      </c>
      <c r="DG17" s="85">
        <v>84</v>
      </c>
      <c r="DH17" s="82">
        <v>0</v>
      </c>
      <c r="DI17" s="81">
        <v>84</v>
      </c>
      <c r="DJ17" s="84">
        <v>5.8000000000000003E-2</v>
      </c>
      <c r="DK17" s="230">
        <v>402</v>
      </c>
      <c r="DL17" s="230">
        <v>83</v>
      </c>
      <c r="DM17" s="231">
        <f t="shared" si="5"/>
        <v>1005</v>
      </c>
      <c r="DN17" s="231">
        <f t="shared" si="4"/>
        <v>207.5</v>
      </c>
      <c r="DO17" s="84"/>
      <c r="DP17" s="84"/>
      <c r="DQ17" s="78"/>
    </row>
    <row r="18" spans="1:121" x14ac:dyDescent="0.3">
      <c r="A18">
        <v>1984</v>
      </c>
      <c r="N18" s="16">
        <v>46866</v>
      </c>
      <c r="O18" s="16">
        <v>4273</v>
      </c>
      <c r="P18" s="16">
        <f t="shared" si="0"/>
        <v>51139</v>
      </c>
      <c r="AI18" s="16">
        <v>12105</v>
      </c>
      <c r="AJ18" s="16">
        <v>555</v>
      </c>
      <c r="AK18" s="16">
        <f t="shared" si="1"/>
        <v>12660</v>
      </c>
      <c r="AL18" s="16">
        <v>8137</v>
      </c>
      <c r="AM18" s="16">
        <v>933</v>
      </c>
      <c r="AN18" s="16">
        <f t="shared" si="2"/>
        <v>9070</v>
      </c>
      <c r="AU18" s="16">
        <f t="shared" si="3"/>
        <v>51139</v>
      </c>
      <c r="BB18" s="73"/>
      <c r="BC18" s="95">
        <v>1323</v>
      </c>
      <c r="BD18" s="95">
        <v>1086</v>
      </c>
      <c r="BE18" s="94">
        <v>237</v>
      </c>
      <c r="BF18" s="94">
        <v>754</v>
      </c>
      <c r="BG18" s="94">
        <v>268</v>
      </c>
      <c r="BH18" s="94">
        <v>59</v>
      </c>
      <c r="BI18" s="94">
        <v>350</v>
      </c>
      <c r="BJ18" s="94">
        <v>77</v>
      </c>
      <c r="BK18" s="94">
        <v>569</v>
      </c>
      <c r="BL18" s="94">
        <v>467</v>
      </c>
      <c r="BM18" s="94">
        <v>102</v>
      </c>
      <c r="BN18" s="94"/>
      <c r="BO18" s="73"/>
      <c r="BP18" s="73"/>
      <c r="BQ18" s="73"/>
      <c r="BR18" s="73"/>
      <c r="BS18" s="73"/>
      <c r="BT18" s="73"/>
      <c r="BU18" s="73"/>
      <c r="BV18" s="73"/>
      <c r="BW18" s="73"/>
      <c r="BX18" s="72">
        <v>190</v>
      </c>
      <c r="BY18" s="72">
        <v>355</v>
      </c>
      <c r="BZ18" s="72">
        <v>0</v>
      </c>
      <c r="CA18" s="39">
        <v>1541</v>
      </c>
      <c r="CB18" s="39">
        <v>2086</v>
      </c>
      <c r="CC18" s="39"/>
      <c r="CD18" s="39"/>
      <c r="CE18" s="39"/>
      <c r="CF18" s="217"/>
      <c r="CG18" s="39"/>
      <c r="CH18" s="39"/>
      <c r="CI18" s="39"/>
      <c r="CJ18" s="39"/>
      <c r="CK18" s="39"/>
      <c r="CL18" s="39"/>
      <c r="CU18" s="16">
        <v>2321</v>
      </c>
      <c r="CV18" s="16">
        <f t="shared" ref="CV18:CV52" si="6">CU18-CW18</f>
        <v>2103</v>
      </c>
      <c r="CW18" s="16">
        <v>218</v>
      </c>
      <c r="CX18" s="229">
        <v>2539</v>
      </c>
      <c r="CY18" s="16">
        <v>1619</v>
      </c>
      <c r="DC18" s="82">
        <v>289</v>
      </c>
      <c r="DD18" s="81">
        <v>0</v>
      </c>
      <c r="DE18" s="82">
        <v>0</v>
      </c>
      <c r="DF18" s="81">
        <v>0</v>
      </c>
      <c r="DG18" s="83">
        <v>289</v>
      </c>
      <c r="DH18" s="82">
        <v>0</v>
      </c>
      <c r="DI18" s="81">
        <v>289</v>
      </c>
      <c r="DJ18" s="84">
        <v>0.109</v>
      </c>
      <c r="DK18" s="230">
        <v>708</v>
      </c>
      <c r="DL18" s="230">
        <v>220</v>
      </c>
      <c r="DM18" s="231">
        <f t="shared" si="5"/>
        <v>1770</v>
      </c>
      <c r="DN18" s="231">
        <f t="shared" si="4"/>
        <v>550</v>
      </c>
      <c r="DO18" s="84"/>
      <c r="DP18" s="84"/>
      <c r="DQ18" s="78"/>
    </row>
    <row r="19" spans="1:121" x14ac:dyDescent="0.3">
      <c r="A19">
        <v>1985</v>
      </c>
      <c r="N19" s="16">
        <v>83182</v>
      </c>
      <c r="O19" s="16">
        <v>7779</v>
      </c>
      <c r="P19" s="16">
        <f t="shared" si="0"/>
        <v>90961</v>
      </c>
      <c r="AI19" s="16">
        <v>24020</v>
      </c>
      <c r="AJ19" s="16">
        <v>655</v>
      </c>
      <c r="AK19" s="16">
        <f t="shared" si="1"/>
        <v>24675</v>
      </c>
      <c r="AL19" s="16">
        <v>31294</v>
      </c>
      <c r="AM19" s="16">
        <v>2233</v>
      </c>
      <c r="AN19" s="16">
        <f t="shared" si="2"/>
        <v>33527</v>
      </c>
      <c r="AU19" s="16">
        <f t="shared" si="3"/>
        <v>90961</v>
      </c>
      <c r="BB19" s="73"/>
      <c r="BC19" s="94">
        <v>848</v>
      </c>
      <c r="BD19" s="94">
        <v>340</v>
      </c>
      <c r="BE19" s="94">
        <v>508</v>
      </c>
      <c r="BF19" s="94">
        <v>716</v>
      </c>
      <c r="BG19" s="94">
        <v>73</v>
      </c>
      <c r="BH19" s="94">
        <v>108</v>
      </c>
      <c r="BI19" s="94">
        <v>215</v>
      </c>
      <c r="BJ19" s="94">
        <v>320</v>
      </c>
      <c r="BK19" s="94">
        <v>132</v>
      </c>
      <c r="BL19" s="94">
        <v>53</v>
      </c>
      <c r="BM19" s="94">
        <v>79</v>
      </c>
      <c r="BN19" s="94"/>
      <c r="BO19" s="73"/>
      <c r="BP19" s="73"/>
      <c r="BQ19" s="73"/>
      <c r="BR19" s="73"/>
      <c r="BS19" s="73"/>
      <c r="BT19" s="73"/>
      <c r="BU19" s="73"/>
      <c r="BV19" s="73"/>
      <c r="BW19" s="73"/>
      <c r="BX19" s="72">
        <v>0</v>
      </c>
      <c r="BY19" s="72">
        <v>0</v>
      </c>
      <c r="BZ19" s="72">
        <v>0</v>
      </c>
      <c r="CA19" s="39">
        <v>1290</v>
      </c>
      <c r="CB19" s="39">
        <v>1290</v>
      </c>
      <c r="CC19" s="39"/>
      <c r="CD19" s="39"/>
      <c r="CE19" s="39"/>
      <c r="CF19" s="217"/>
      <c r="CG19" s="39"/>
      <c r="CH19" s="39"/>
      <c r="CI19" s="39"/>
      <c r="CJ19" s="39"/>
      <c r="CK19" s="39"/>
      <c r="CL19" s="39"/>
      <c r="CU19" s="16">
        <v>3815</v>
      </c>
      <c r="CV19" s="16">
        <f t="shared" si="6"/>
        <v>3391</v>
      </c>
      <c r="CW19" s="16">
        <v>424</v>
      </c>
      <c r="CX19" s="229">
        <v>4239</v>
      </c>
      <c r="CY19" s="16">
        <v>2428</v>
      </c>
      <c r="DC19" s="82">
        <v>865</v>
      </c>
      <c r="DD19" s="81">
        <v>0</v>
      </c>
      <c r="DE19" s="82">
        <v>0</v>
      </c>
      <c r="DF19" s="81">
        <v>0</v>
      </c>
      <c r="DG19" s="83">
        <v>865</v>
      </c>
      <c r="DH19" s="82">
        <v>0</v>
      </c>
      <c r="DI19" s="81">
        <v>865</v>
      </c>
      <c r="DJ19" s="84">
        <v>0.19</v>
      </c>
      <c r="DK19" s="230">
        <v>951</v>
      </c>
      <c r="DL19" s="230">
        <v>427</v>
      </c>
      <c r="DM19" s="231">
        <f t="shared" si="5"/>
        <v>2377.5</v>
      </c>
      <c r="DN19" s="231">
        <f t="shared" si="4"/>
        <v>1067.5</v>
      </c>
      <c r="DO19" s="84"/>
      <c r="DP19" s="84"/>
      <c r="DQ19" s="78"/>
    </row>
    <row r="20" spans="1:121" x14ac:dyDescent="0.3">
      <c r="A20">
        <v>1986</v>
      </c>
      <c r="N20" s="16">
        <v>118072</v>
      </c>
      <c r="O20" s="16">
        <v>4961</v>
      </c>
      <c r="P20" s="16">
        <f t="shared" si="0"/>
        <v>123033</v>
      </c>
      <c r="AI20" s="16">
        <v>21595</v>
      </c>
      <c r="AJ20" s="16">
        <v>333</v>
      </c>
      <c r="AK20" s="16">
        <f t="shared" si="1"/>
        <v>21928</v>
      </c>
      <c r="AL20" s="16">
        <v>38074</v>
      </c>
      <c r="AM20" s="16">
        <v>1012</v>
      </c>
      <c r="AN20" s="16">
        <f t="shared" si="2"/>
        <v>39086</v>
      </c>
      <c r="AU20" s="16">
        <f t="shared" si="3"/>
        <v>123033</v>
      </c>
      <c r="BB20" s="73"/>
      <c r="BC20" s="95">
        <v>1112</v>
      </c>
      <c r="BD20" s="94">
        <v>860</v>
      </c>
      <c r="BE20" s="94">
        <v>252</v>
      </c>
      <c r="BF20" s="94">
        <v>485</v>
      </c>
      <c r="BG20" s="94">
        <v>19</v>
      </c>
      <c r="BH20" s="94">
        <v>5</v>
      </c>
      <c r="BI20" s="94">
        <v>357</v>
      </c>
      <c r="BJ20" s="94">
        <v>104</v>
      </c>
      <c r="BK20" s="94">
        <v>627</v>
      </c>
      <c r="BL20" s="94">
        <v>485</v>
      </c>
      <c r="BM20" s="94">
        <v>142</v>
      </c>
      <c r="BN20" s="94"/>
      <c r="BO20" s="73"/>
      <c r="BP20" s="73"/>
      <c r="BQ20" s="73"/>
      <c r="BR20" s="73"/>
      <c r="BS20" s="73"/>
      <c r="BT20" s="73"/>
      <c r="BU20" s="73"/>
      <c r="BV20" s="73"/>
      <c r="BW20" s="73"/>
      <c r="BX20" s="72">
        <v>131</v>
      </c>
      <c r="BY20" s="72">
        <v>704</v>
      </c>
      <c r="BZ20" s="72">
        <v>0</v>
      </c>
      <c r="CA20" s="39">
        <v>1155</v>
      </c>
      <c r="CB20" s="39">
        <v>1990</v>
      </c>
      <c r="CC20" s="39"/>
      <c r="CD20" s="39"/>
      <c r="CE20" s="39"/>
      <c r="CF20" s="217"/>
      <c r="CG20" s="39"/>
      <c r="CH20" s="39"/>
      <c r="CI20" s="39"/>
      <c r="CJ20" s="39"/>
      <c r="CK20" s="39"/>
      <c r="CL20" s="39"/>
      <c r="CU20" s="16">
        <v>8557</v>
      </c>
      <c r="CV20" s="16">
        <f t="shared" si="6"/>
        <v>8205</v>
      </c>
      <c r="CW20" s="16">
        <v>352</v>
      </c>
      <c r="CX20" s="229">
        <v>8909</v>
      </c>
      <c r="CY20" s="16">
        <v>3267</v>
      </c>
      <c r="DC20" s="86">
        <v>1340</v>
      </c>
      <c r="DD20" s="81">
        <v>0</v>
      </c>
      <c r="DE20" s="82">
        <v>0</v>
      </c>
      <c r="DF20" s="81">
        <v>0</v>
      </c>
      <c r="DG20" s="87">
        <v>1340</v>
      </c>
      <c r="DH20" s="82">
        <v>0</v>
      </c>
      <c r="DI20" s="88">
        <v>1340</v>
      </c>
      <c r="DJ20" s="84">
        <v>0.14199999999999999</v>
      </c>
      <c r="DK20" s="231">
        <v>1793</v>
      </c>
      <c r="DL20" s="231">
        <v>1313</v>
      </c>
      <c r="DM20" s="231">
        <f t="shared" si="5"/>
        <v>4482.5</v>
      </c>
      <c r="DN20" s="231">
        <f t="shared" si="4"/>
        <v>3282.5</v>
      </c>
      <c r="DO20" s="84"/>
      <c r="DP20" s="84"/>
      <c r="DQ20" s="78"/>
    </row>
    <row r="21" spans="1:121" x14ac:dyDescent="0.3">
      <c r="A21">
        <v>1987</v>
      </c>
      <c r="N21" s="16">
        <v>98369</v>
      </c>
      <c r="O21" s="16">
        <v>3234</v>
      </c>
      <c r="P21" s="16">
        <f t="shared" si="0"/>
        <v>101603</v>
      </c>
      <c r="AI21" s="16">
        <v>18520</v>
      </c>
      <c r="AJ21" s="16">
        <v>255</v>
      </c>
      <c r="AK21" s="16">
        <f t="shared" si="1"/>
        <v>18775</v>
      </c>
      <c r="AL21" s="16">
        <v>31276</v>
      </c>
      <c r="AM21" s="16">
        <v>807</v>
      </c>
      <c r="AN21" s="16">
        <f t="shared" si="2"/>
        <v>32083</v>
      </c>
      <c r="AU21" s="16">
        <f t="shared" si="3"/>
        <v>101603</v>
      </c>
      <c r="BB21" s="73"/>
      <c r="BC21" s="95">
        <v>1682</v>
      </c>
      <c r="BD21" s="95">
        <v>1235</v>
      </c>
      <c r="BE21" s="94">
        <v>447</v>
      </c>
      <c r="BF21" s="94">
        <v>507</v>
      </c>
      <c r="BG21" s="94">
        <v>118</v>
      </c>
      <c r="BH21" s="94">
        <v>42</v>
      </c>
      <c r="BI21" s="94">
        <v>255</v>
      </c>
      <c r="BJ21" s="94">
        <v>92</v>
      </c>
      <c r="BK21" s="95">
        <v>1175</v>
      </c>
      <c r="BL21" s="94">
        <v>863</v>
      </c>
      <c r="BM21" s="94">
        <v>312</v>
      </c>
      <c r="BN21" s="94"/>
      <c r="BO21" s="73"/>
      <c r="BP21" s="73"/>
      <c r="BQ21" s="73"/>
      <c r="BR21" s="73"/>
      <c r="BS21" s="73"/>
      <c r="BT21" s="73"/>
      <c r="BU21" s="73"/>
      <c r="BV21" s="73"/>
      <c r="BW21" s="73"/>
      <c r="BX21" s="75">
        <v>22</v>
      </c>
      <c r="BY21" s="72">
        <v>122</v>
      </c>
      <c r="BZ21" s="72">
        <v>0</v>
      </c>
      <c r="CA21" s="39">
        <v>1711</v>
      </c>
      <c r="CB21" s="39">
        <v>1855</v>
      </c>
      <c r="CC21" s="39"/>
      <c r="CD21" s="39"/>
      <c r="CE21" s="39"/>
      <c r="CF21" s="217"/>
      <c r="CG21" s="39"/>
      <c r="CH21" s="39"/>
      <c r="CI21" s="39"/>
      <c r="CJ21" s="39"/>
      <c r="CK21" s="39"/>
      <c r="CL21" s="39"/>
      <c r="CU21" s="16">
        <v>3758</v>
      </c>
      <c r="CV21" s="16">
        <f t="shared" si="6"/>
        <v>3432</v>
      </c>
      <c r="CW21" s="16">
        <v>326</v>
      </c>
      <c r="CX21" s="229">
        <v>4084</v>
      </c>
      <c r="CY21" s="16">
        <v>1928</v>
      </c>
      <c r="DC21" s="82">
        <v>517</v>
      </c>
      <c r="DD21" s="81">
        <v>0</v>
      </c>
      <c r="DE21" s="82">
        <v>0</v>
      </c>
      <c r="DF21" s="81">
        <v>0</v>
      </c>
      <c r="DG21" s="83">
        <v>517</v>
      </c>
      <c r="DH21" s="82">
        <v>0</v>
      </c>
      <c r="DI21" s="81">
        <v>517</v>
      </c>
      <c r="DJ21" s="84">
        <v>0.11600000000000001</v>
      </c>
      <c r="DK21" s="231">
        <v>1043</v>
      </c>
      <c r="DL21" s="230">
        <v>677</v>
      </c>
      <c r="DM21" s="231">
        <f t="shared" si="5"/>
        <v>2607.5</v>
      </c>
      <c r="DN21" s="231">
        <f t="shared" si="4"/>
        <v>1692.5</v>
      </c>
      <c r="DO21" s="84"/>
      <c r="DP21" s="84"/>
      <c r="DQ21" s="78"/>
    </row>
    <row r="22" spans="1:121" x14ac:dyDescent="0.3">
      <c r="A22">
        <v>1988</v>
      </c>
      <c r="N22" s="16">
        <v>90358</v>
      </c>
      <c r="O22" s="16">
        <v>4214</v>
      </c>
      <c r="P22" s="16">
        <f t="shared" si="0"/>
        <v>94572</v>
      </c>
      <c r="AI22" s="16">
        <v>13115</v>
      </c>
      <c r="AJ22" s="16">
        <v>237</v>
      </c>
      <c r="AK22" s="16">
        <f t="shared" si="1"/>
        <v>13352</v>
      </c>
      <c r="AL22" s="16">
        <v>33336</v>
      </c>
      <c r="AM22" s="16">
        <v>1058</v>
      </c>
      <c r="AN22" s="16">
        <f t="shared" si="2"/>
        <v>34394</v>
      </c>
      <c r="AU22" s="16">
        <f t="shared" si="3"/>
        <v>94572</v>
      </c>
      <c r="BB22" s="73"/>
      <c r="BC22" s="95">
        <v>3929</v>
      </c>
      <c r="BD22" s="95">
        <v>2239</v>
      </c>
      <c r="BE22" s="95">
        <v>1690</v>
      </c>
      <c r="BF22" s="95">
        <v>1353</v>
      </c>
      <c r="BG22" s="94">
        <v>141</v>
      </c>
      <c r="BH22" s="94">
        <v>107</v>
      </c>
      <c r="BI22" s="94">
        <v>630</v>
      </c>
      <c r="BJ22" s="94">
        <v>475</v>
      </c>
      <c r="BK22" s="95">
        <v>2576</v>
      </c>
      <c r="BL22" s="95">
        <v>1468</v>
      </c>
      <c r="BM22" s="95">
        <v>1108</v>
      </c>
      <c r="BN22" s="95"/>
      <c r="BO22" s="73"/>
      <c r="BP22" s="73"/>
      <c r="BQ22" s="73"/>
      <c r="BR22" s="73"/>
      <c r="BS22" s="73"/>
      <c r="BT22" s="73"/>
      <c r="BU22" s="73"/>
      <c r="BV22" s="73"/>
      <c r="BW22" s="73"/>
      <c r="BX22" s="72">
        <v>408</v>
      </c>
      <c r="BY22" s="72">
        <v>501</v>
      </c>
      <c r="BZ22" s="72">
        <v>0</v>
      </c>
      <c r="CA22" s="39">
        <v>1783</v>
      </c>
      <c r="CB22" s="39">
        <v>2692</v>
      </c>
      <c r="CC22" s="39"/>
      <c r="CD22" s="39"/>
      <c r="CE22" s="39"/>
      <c r="CF22" s="217"/>
      <c r="CG22" s="39"/>
      <c r="CH22" s="39"/>
      <c r="CI22" s="39"/>
      <c r="CJ22" s="39"/>
      <c r="CK22" s="39"/>
      <c r="CL22" s="39"/>
      <c r="CU22" s="16">
        <v>3590</v>
      </c>
      <c r="CV22" s="16">
        <f t="shared" si="6"/>
        <v>3267</v>
      </c>
      <c r="CW22" s="16">
        <v>323</v>
      </c>
      <c r="CX22" s="229">
        <v>3913</v>
      </c>
      <c r="CY22" s="16">
        <v>1575</v>
      </c>
      <c r="DC22" s="82">
        <v>444</v>
      </c>
      <c r="DD22" s="81">
        <v>0</v>
      </c>
      <c r="DE22" s="82">
        <v>0</v>
      </c>
      <c r="DF22" s="81">
        <v>0</v>
      </c>
      <c r="DG22" s="83">
        <v>444</v>
      </c>
      <c r="DH22" s="82">
        <v>0</v>
      </c>
      <c r="DI22" s="81">
        <v>444</v>
      </c>
      <c r="DJ22" s="84">
        <v>0.105</v>
      </c>
      <c r="DK22" s="230">
        <v>443</v>
      </c>
      <c r="DL22" s="230">
        <v>490</v>
      </c>
      <c r="DM22" s="231">
        <f t="shared" si="5"/>
        <v>1107.5</v>
      </c>
      <c r="DN22" s="231">
        <f t="shared" si="4"/>
        <v>1225</v>
      </c>
      <c r="DO22" s="84"/>
      <c r="DP22" s="84"/>
      <c r="DQ22" s="78"/>
    </row>
    <row r="23" spans="1:121" x14ac:dyDescent="0.3">
      <c r="A23">
        <v>1989</v>
      </c>
      <c r="N23" s="16">
        <v>81266</v>
      </c>
      <c r="O23" s="16">
        <v>5992</v>
      </c>
      <c r="P23" s="16">
        <f t="shared" si="0"/>
        <v>87258</v>
      </c>
      <c r="AI23" s="16">
        <v>11655</v>
      </c>
      <c r="AJ23" s="16">
        <v>336</v>
      </c>
      <c r="AK23" s="16">
        <f t="shared" si="1"/>
        <v>11991</v>
      </c>
      <c r="AL23" s="16">
        <v>15376</v>
      </c>
      <c r="AM23" s="16">
        <v>1653</v>
      </c>
      <c r="AN23" s="16">
        <f t="shared" si="2"/>
        <v>17029</v>
      </c>
      <c r="AU23" s="16">
        <f t="shared" si="3"/>
        <v>87258</v>
      </c>
      <c r="BB23" s="73"/>
      <c r="BC23" s="95">
        <v>5254</v>
      </c>
      <c r="BD23" s="95">
        <v>4807</v>
      </c>
      <c r="BE23" s="94">
        <v>447</v>
      </c>
      <c r="BF23" s="95">
        <v>1783</v>
      </c>
      <c r="BG23" s="94">
        <v>760</v>
      </c>
      <c r="BH23" s="94">
        <v>71</v>
      </c>
      <c r="BI23" s="94">
        <v>871</v>
      </c>
      <c r="BJ23" s="94">
        <v>81</v>
      </c>
      <c r="BK23" s="95">
        <v>3471</v>
      </c>
      <c r="BL23" s="95">
        <v>3176</v>
      </c>
      <c r="BM23" s="94">
        <v>295</v>
      </c>
      <c r="BN23" s="94"/>
      <c r="BO23" s="73"/>
      <c r="BP23" s="73"/>
      <c r="BQ23" s="73"/>
      <c r="BR23" s="73"/>
      <c r="BS23" s="73"/>
      <c r="BT23" s="73"/>
      <c r="BU23" s="73"/>
      <c r="BV23" s="73"/>
      <c r="BW23" s="73"/>
      <c r="BX23" s="72">
        <v>241</v>
      </c>
      <c r="BY23" s="72">
        <v>629</v>
      </c>
      <c r="BZ23" s="72">
        <v>0</v>
      </c>
      <c r="CA23" s="39">
        <v>1647</v>
      </c>
      <c r="CB23" s="39">
        <v>2517</v>
      </c>
      <c r="CC23" s="39"/>
      <c r="CD23" s="39"/>
      <c r="CE23" s="39"/>
      <c r="CF23" s="217"/>
      <c r="CG23" s="39"/>
      <c r="CH23" s="39"/>
      <c r="CI23" s="39"/>
      <c r="CJ23" s="39"/>
      <c r="CK23" s="39"/>
      <c r="CL23" s="39"/>
      <c r="CN23" s="77">
        <v>68</v>
      </c>
      <c r="CO23" s="77"/>
      <c r="CP23" s="77"/>
      <c r="CQ23">
        <f>CN23+CO23</f>
        <v>68</v>
      </c>
      <c r="CU23" s="16">
        <v>4112</v>
      </c>
      <c r="CV23" s="16">
        <f t="shared" si="6"/>
        <v>3870</v>
      </c>
      <c r="CW23" s="16">
        <v>242</v>
      </c>
      <c r="CX23" s="229">
        <v>4354</v>
      </c>
      <c r="CY23" s="16">
        <v>2515</v>
      </c>
      <c r="DC23" s="82">
        <v>747</v>
      </c>
      <c r="DD23" s="81">
        <v>0</v>
      </c>
      <c r="DE23" s="82">
        <v>0</v>
      </c>
      <c r="DF23" s="81">
        <v>0</v>
      </c>
      <c r="DG23" s="83">
        <v>747</v>
      </c>
      <c r="DH23" s="82">
        <v>0</v>
      </c>
      <c r="DI23" s="81">
        <v>747</v>
      </c>
      <c r="DJ23" s="84">
        <v>0.152</v>
      </c>
      <c r="DK23" s="230">
        <v>968</v>
      </c>
      <c r="DL23" s="230">
        <v>541</v>
      </c>
      <c r="DM23" s="231">
        <f t="shared" si="5"/>
        <v>2420</v>
      </c>
      <c r="DN23" s="231">
        <f t="shared" si="4"/>
        <v>1352.5</v>
      </c>
      <c r="DO23" s="84"/>
      <c r="DP23" s="84"/>
      <c r="DQ23" s="78"/>
    </row>
    <row r="24" spans="1:121" x14ac:dyDescent="0.3">
      <c r="A24">
        <v>1990</v>
      </c>
      <c r="N24" s="16">
        <v>94158</v>
      </c>
      <c r="O24" s="16">
        <v>2094</v>
      </c>
      <c r="P24" s="16">
        <f t="shared" si="0"/>
        <v>96252</v>
      </c>
      <c r="AI24" s="16">
        <v>12190</v>
      </c>
      <c r="AJ24" s="16">
        <v>112</v>
      </c>
      <c r="AK24" s="16">
        <f t="shared" si="1"/>
        <v>12302</v>
      </c>
      <c r="AL24" s="16">
        <v>20512</v>
      </c>
      <c r="AM24" s="16">
        <v>218</v>
      </c>
      <c r="AN24" s="16">
        <f t="shared" si="2"/>
        <v>20730</v>
      </c>
      <c r="AU24" s="16">
        <f t="shared" si="3"/>
        <v>96252</v>
      </c>
      <c r="BB24" s="73"/>
      <c r="BC24" s="95">
        <v>2583</v>
      </c>
      <c r="BD24" s="95">
        <v>1858</v>
      </c>
      <c r="BE24" s="94">
        <v>725</v>
      </c>
      <c r="BF24" s="95">
        <v>1785</v>
      </c>
      <c r="BG24" s="94">
        <v>256</v>
      </c>
      <c r="BH24" s="94">
        <v>100</v>
      </c>
      <c r="BI24" s="95">
        <v>1028</v>
      </c>
      <c r="BJ24" s="94">
        <v>401</v>
      </c>
      <c r="BK24" s="94">
        <v>798</v>
      </c>
      <c r="BL24" s="94">
        <v>574</v>
      </c>
      <c r="BM24" s="94">
        <v>224</v>
      </c>
      <c r="BN24" s="94"/>
      <c r="BO24" s="73"/>
      <c r="BP24" s="73"/>
      <c r="BQ24" s="73"/>
      <c r="BR24" s="73"/>
      <c r="BS24" s="73"/>
      <c r="BT24" s="73"/>
      <c r="BU24" s="73"/>
      <c r="BV24" s="73"/>
      <c r="BW24" s="73"/>
      <c r="BX24" s="72">
        <v>265</v>
      </c>
      <c r="BY24" s="72">
        <v>519</v>
      </c>
      <c r="BZ24" s="72">
        <v>0</v>
      </c>
      <c r="CA24" s="39">
        <v>1409</v>
      </c>
      <c r="CB24" s="39">
        <v>2193</v>
      </c>
      <c r="CC24" s="39"/>
      <c r="CD24" s="39"/>
      <c r="CE24" s="39"/>
      <c r="CF24" s="217"/>
      <c r="CG24" s="39"/>
      <c r="CH24" s="39"/>
      <c r="CI24" s="39"/>
      <c r="CJ24" s="39"/>
      <c r="CK24" s="39"/>
      <c r="CL24" s="39"/>
      <c r="CN24" s="77">
        <v>2158</v>
      </c>
      <c r="CO24" s="77"/>
      <c r="CP24" s="77"/>
      <c r="CQ24">
        <f t="shared" ref="CQ24:CQ36" si="7">CN24+CO24</f>
        <v>2158</v>
      </c>
      <c r="CU24" s="16">
        <v>2202</v>
      </c>
      <c r="CV24" s="16">
        <f t="shared" si="6"/>
        <v>2149</v>
      </c>
      <c r="CW24" s="16">
        <v>53</v>
      </c>
      <c r="CX24" s="229">
        <v>2255</v>
      </c>
      <c r="CY24" s="16">
        <v>2047</v>
      </c>
      <c r="DC24" s="82">
        <v>663</v>
      </c>
      <c r="DD24" s="81">
        <v>0</v>
      </c>
      <c r="DE24" s="82">
        <v>0</v>
      </c>
      <c r="DF24" s="81">
        <v>0</v>
      </c>
      <c r="DG24" s="83">
        <v>663</v>
      </c>
      <c r="DH24" s="82">
        <v>0</v>
      </c>
      <c r="DI24" s="81">
        <v>663</v>
      </c>
      <c r="DJ24" s="84">
        <v>0.152</v>
      </c>
      <c r="DK24" s="230">
        <v>773</v>
      </c>
      <c r="DL24" s="230">
        <v>464</v>
      </c>
      <c r="DM24" s="231">
        <f t="shared" si="5"/>
        <v>1932.5</v>
      </c>
      <c r="DN24" s="231">
        <f t="shared" si="4"/>
        <v>1160</v>
      </c>
      <c r="DO24" s="84"/>
      <c r="DP24" s="84"/>
      <c r="DQ24" s="78"/>
    </row>
    <row r="25" spans="1:121" x14ac:dyDescent="0.3">
      <c r="A25">
        <v>1991</v>
      </c>
      <c r="N25" s="16">
        <v>57339</v>
      </c>
      <c r="O25" s="16">
        <v>3889</v>
      </c>
      <c r="P25" s="16">
        <f t="shared" si="0"/>
        <v>61228</v>
      </c>
      <c r="AI25" s="16">
        <v>7737</v>
      </c>
      <c r="AJ25" s="16">
        <v>271</v>
      </c>
      <c r="AK25" s="16">
        <f t="shared" si="1"/>
        <v>8008</v>
      </c>
      <c r="AL25" s="16">
        <v>10182</v>
      </c>
      <c r="AM25" s="16">
        <v>1106</v>
      </c>
      <c r="AN25" s="16">
        <f t="shared" si="2"/>
        <v>11288</v>
      </c>
      <c r="AU25" s="16">
        <f t="shared" si="3"/>
        <v>61228</v>
      </c>
      <c r="BB25" s="73"/>
      <c r="BC25" s="95">
        <v>1477</v>
      </c>
      <c r="BD25" s="95">
        <v>1018</v>
      </c>
      <c r="BE25" s="94">
        <v>459</v>
      </c>
      <c r="BF25" s="94">
        <v>702</v>
      </c>
      <c r="BG25" s="94">
        <v>96</v>
      </c>
      <c r="BH25" s="94">
        <v>43</v>
      </c>
      <c r="BI25" s="94">
        <v>388</v>
      </c>
      <c r="BJ25" s="94">
        <v>175</v>
      </c>
      <c r="BK25" s="94">
        <v>775</v>
      </c>
      <c r="BL25" s="94">
        <v>534</v>
      </c>
      <c r="BM25" s="94">
        <v>241</v>
      </c>
      <c r="BN25" s="94"/>
      <c r="BO25" s="73"/>
      <c r="BP25" s="73"/>
      <c r="BQ25" s="73"/>
      <c r="BR25" s="73"/>
      <c r="BS25" s="73"/>
      <c r="BT25" s="73"/>
      <c r="BU25" s="73"/>
      <c r="BV25" s="73"/>
      <c r="BW25" s="73"/>
      <c r="BX25" s="72">
        <v>297</v>
      </c>
      <c r="BY25" s="72">
        <v>775</v>
      </c>
      <c r="BZ25" s="72">
        <v>0</v>
      </c>
      <c r="CA25" s="39">
        <v>1867</v>
      </c>
      <c r="CB25" s="39">
        <v>2939</v>
      </c>
      <c r="CC25" s="39"/>
      <c r="CD25" s="39"/>
      <c r="CE25" s="39"/>
      <c r="CF25" s="217"/>
      <c r="CG25" s="39"/>
      <c r="CH25" s="39"/>
      <c r="CI25" s="39"/>
      <c r="CJ25" s="39"/>
      <c r="CK25" s="39"/>
      <c r="CL25" s="39"/>
      <c r="CN25" s="77">
        <v>1294</v>
      </c>
      <c r="CO25" s="77"/>
      <c r="CP25" s="77"/>
      <c r="CQ25">
        <f t="shared" si="7"/>
        <v>1294</v>
      </c>
      <c r="CU25" s="16">
        <v>2750</v>
      </c>
      <c r="CV25" s="16">
        <f t="shared" si="6"/>
        <v>2621</v>
      </c>
      <c r="CW25" s="16">
        <v>129</v>
      </c>
      <c r="CX25" s="229">
        <v>2879</v>
      </c>
      <c r="CY25" s="16" t="s">
        <v>190</v>
      </c>
      <c r="DC25" s="82">
        <v>32</v>
      </c>
      <c r="DD25" s="81">
        <v>0</v>
      </c>
      <c r="DE25" s="82">
        <v>0</v>
      </c>
      <c r="DF25" s="81">
        <v>0</v>
      </c>
      <c r="DG25" s="85">
        <v>32</v>
      </c>
      <c r="DH25" s="82">
        <v>0</v>
      </c>
      <c r="DI25" s="81">
        <v>32</v>
      </c>
      <c r="DJ25" s="84">
        <v>1.0999999999999999E-2</v>
      </c>
      <c r="DK25" s="230">
        <v>630</v>
      </c>
      <c r="DL25" s="230">
        <v>460</v>
      </c>
      <c r="DM25" s="231">
        <f t="shared" si="5"/>
        <v>1575</v>
      </c>
      <c r="DN25" s="231">
        <f t="shared" si="4"/>
        <v>1150</v>
      </c>
      <c r="DO25" s="84"/>
      <c r="DP25" s="84"/>
      <c r="DQ25" s="78"/>
    </row>
    <row r="26" spans="1:121" x14ac:dyDescent="0.3">
      <c r="A26">
        <v>1992</v>
      </c>
      <c r="N26" s="16">
        <v>88425</v>
      </c>
      <c r="O26" s="16">
        <v>2157</v>
      </c>
      <c r="P26" s="16">
        <f t="shared" si="0"/>
        <v>90582</v>
      </c>
      <c r="AI26" s="16">
        <v>19589</v>
      </c>
      <c r="AJ26" s="16">
        <v>447</v>
      </c>
      <c r="AK26" s="16">
        <f t="shared" si="1"/>
        <v>20036</v>
      </c>
      <c r="AL26" s="16">
        <v>25460</v>
      </c>
      <c r="AM26" s="16">
        <v>654</v>
      </c>
      <c r="AN26" s="16">
        <f t="shared" si="2"/>
        <v>26114</v>
      </c>
      <c r="AU26" s="16">
        <f t="shared" si="3"/>
        <v>90582</v>
      </c>
      <c r="BB26" s="73"/>
      <c r="BC26" s="95">
        <v>1540</v>
      </c>
      <c r="BD26" s="95">
        <v>1026</v>
      </c>
      <c r="BE26" s="94">
        <v>514</v>
      </c>
      <c r="BF26" s="94">
        <v>587</v>
      </c>
      <c r="BG26" s="94">
        <v>82</v>
      </c>
      <c r="BH26" s="94">
        <v>41</v>
      </c>
      <c r="BI26" s="94">
        <v>309</v>
      </c>
      <c r="BJ26" s="94">
        <v>155</v>
      </c>
      <c r="BK26" s="94">
        <v>953</v>
      </c>
      <c r="BL26" s="94">
        <v>635</v>
      </c>
      <c r="BM26" s="94">
        <v>318</v>
      </c>
      <c r="BN26" s="94"/>
      <c r="BO26" s="73"/>
      <c r="BP26" s="73"/>
      <c r="BQ26" s="73"/>
      <c r="BR26" s="73"/>
      <c r="BS26" s="73"/>
      <c r="BT26" s="73"/>
      <c r="BU26" s="73"/>
      <c r="BV26" s="73"/>
      <c r="BW26" s="73"/>
      <c r="BX26" s="72">
        <v>111</v>
      </c>
      <c r="BY26" s="72">
        <v>485</v>
      </c>
      <c r="BZ26" s="72">
        <v>0</v>
      </c>
      <c r="CA26" s="72">
        <v>817</v>
      </c>
      <c r="CB26" s="39">
        <v>1413</v>
      </c>
      <c r="CC26" s="39"/>
      <c r="CD26" s="39"/>
      <c r="CE26" s="39"/>
      <c r="CF26" s="217"/>
      <c r="CG26" s="39"/>
      <c r="CH26" s="39"/>
      <c r="CI26" s="39"/>
      <c r="CJ26" s="39"/>
      <c r="CK26" s="39"/>
      <c r="CL26" s="39"/>
      <c r="CN26" s="42">
        <v>461</v>
      </c>
      <c r="CO26" s="77"/>
      <c r="CP26" s="77"/>
      <c r="CQ26">
        <f t="shared" si="7"/>
        <v>461</v>
      </c>
      <c r="CU26" s="16">
        <v>4282</v>
      </c>
      <c r="CV26" s="16">
        <f t="shared" si="6"/>
        <v>4149</v>
      </c>
      <c r="CW26" s="16">
        <v>133</v>
      </c>
      <c r="CX26" s="229">
        <v>4415</v>
      </c>
      <c r="CY26" s="16">
        <v>3027</v>
      </c>
      <c r="DC26" s="82">
        <v>309</v>
      </c>
      <c r="DD26" s="81">
        <v>36</v>
      </c>
      <c r="DE26" s="82">
        <v>0</v>
      </c>
      <c r="DF26" s="81">
        <v>0</v>
      </c>
      <c r="DG26" s="83">
        <v>309</v>
      </c>
      <c r="DH26" s="82">
        <v>36</v>
      </c>
      <c r="DI26" s="81">
        <v>345</v>
      </c>
      <c r="DJ26" s="84">
        <v>7.4999999999999997E-2</v>
      </c>
      <c r="DK26" s="231">
        <v>1246</v>
      </c>
      <c r="DL26" s="230">
        <v>425</v>
      </c>
      <c r="DM26" s="231">
        <f t="shared" si="5"/>
        <v>3115</v>
      </c>
      <c r="DN26" s="231">
        <f t="shared" si="4"/>
        <v>1062.5</v>
      </c>
      <c r="DO26" s="84"/>
      <c r="DP26" s="84"/>
      <c r="DQ26" s="78"/>
    </row>
    <row r="27" spans="1:121" x14ac:dyDescent="0.3">
      <c r="A27">
        <v>1993</v>
      </c>
      <c r="N27" s="16">
        <v>110820</v>
      </c>
      <c r="O27" s="16">
        <v>1352</v>
      </c>
      <c r="P27" s="16">
        <f t="shared" si="0"/>
        <v>112172</v>
      </c>
      <c r="AI27" s="16">
        <v>29301</v>
      </c>
      <c r="AJ27" s="16">
        <v>41</v>
      </c>
      <c r="AK27" s="16">
        <f t="shared" si="1"/>
        <v>29342</v>
      </c>
      <c r="AL27" s="16">
        <v>24693</v>
      </c>
      <c r="AM27" s="16">
        <v>242</v>
      </c>
      <c r="AN27" s="16">
        <f t="shared" si="2"/>
        <v>24935</v>
      </c>
      <c r="AU27" s="16">
        <f t="shared" si="3"/>
        <v>112172</v>
      </c>
      <c r="BB27" s="73"/>
      <c r="BC27" s="95">
        <v>3702</v>
      </c>
      <c r="BD27" s="95">
        <v>2985</v>
      </c>
      <c r="BE27" s="94">
        <v>717</v>
      </c>
      <c r="BF27" s="95">
        <v>1483</v>
      </c>
      <c r="BG27" s="94">
        <v>228</v>
      </c>
      <c r="BH27" s="94">
        <v>55</v>
      </c>
      <c r="BI27" s="94">
        <v>967</v>
      </c>
      <c r="BJ27" s="94">
        <v>233</v>
      </c>
      <c r="BK27" s="95">
        <v>2219</v>
      </c>
      <c r="BL27" s="95">
        <v>1789</v>
      </c>
      <c r="BM27" s="94">
        <v>430</v>
      </c>
      <c r="BN27" s="94"/>
      <c r="BO27" s="73"/>
      <c r="BP27" s="73"/>
      <c r="BQ27" s="73"/>
      <c r="BR27" s="73"/>
      <c r="BS27" s="73"/>
      <c r="BT27" s="73"/>
      <c r="BU27" s="73"/>
      <c r="BV27" s="73"/>
      <c r="BW27" s="73"/>
      <c r="BX27" s="72">
        <v>142</v>
      </c>
      <c r="BY27" s="72">
        <v>563</v>
      </c>
      <c r="BZ27" s="72">
        <v>0</v>
      </c>
      <c r="CA27" s="39">
        <v>1065</v>
      </c>
      <c r="CB27" s="39">
        <v>1770</v>
      </c>
      <c r="CC27" s="39"/>
      <c r="CD27" s="39"/>
      <c r="CE27" s="39"/>
      <c r="CF27" s="217"/>
      <c r="CG27" s="39"/>
      <c r="CH27" s="39"/>
      <c r="CI27" s="39"/>
      <c r="CJ27" s="39"/>
      <c r="CK27" s="39"/>
      <c r="CL27" s="39"/>
      <c r="CN27" s="77">
        <v>1202</v>
      </c>
      <c r="CO27" s="77"/>
      <c r="CP27" s="77"/>
      <c r="CQ27">
        <f t="shared" si="7"/>
        <v>1202</v>
      </c>
      <c r="CU27" s="16">
        <v>3795</v>
      </c>
      <c r="CV27" s="16">
        <f t="shared" si="6"/>
        <v>3715</v>
      </c>
      <c r="CW27" s="16">
        <v>80</v>
      </c>
      <c r="CX27" s="229">
        <v>3873</v>
      </c>
      <c r="CY27" s="16">
        <v>1869</v>
      </c>
      <c r="DC27" s="82">
        <v>129</v>
      </c>
      <c r="DD27" s="81">
        <v>0</v>
      </c>
      <c r="DE27" s="82">
        <v>0</v>
      </c>
      <c r="DF27" s="81">
        <v>0</v>
      </c>
      <c r="DG27" s="83">
        <v>129</v>
      </c>
      <c r="DH27" s="82">
        <v>0</v>
      </c>
      <c r="DI27" s="81">
        <v>129</v>
      </c>
      <c r="DJ27" s="84">
        <v>3.3000000000000002E-2</v>
      </c>
      <c r="DK27" s="230">
        <v>656</v>
      </c>
      <c r="DL27" s="230">
        <v>554</v>
      </c>
      <c r="DM27" s="231">
        <f t="shared" si="5"/>
        <v>1640</v>
      </c>
      <c r="DN27" s="231">
        <f t="shared" si="4"/>
        <v>1385</v>
      </c>
      <c r="DO27" s="84"/>
      <c r="DP27" s="84"/>
      <c r="DQ27" s="78"/>
    </row>
    <row r="28" spans="1:121" x14ac:dyDescent="0.3">
      <c r="A28">
        <v>1994</v>
      </c>
      <c r="N28" s="16">
        <v>20169</v>
      </c>
      <c r="O28" s="16">
        <v>397</v>
      </c>
      <c r="P28" s="16">
        <f t="shared" si="0"/>
        <v>20566</v>
      </c>
      <c r="AI28" s="16">
        <v>3110</v>
      </c>
      <c r="AJ28" s="16">
        <v>20</v>
      </c>
      <c r="AK28" s="16">
        <f t="shared" si="1"/>
        <v>3130</v>
      </c>
      <c r="AL28" s="16">
        <v>3416</v>
      </c>
      <c r="AM28" s="16">
        <v>56</v>
      </c>
      <c r="AN28" s="16">
        <f t="shared" si="2"/>
        <v>3472</v>
      </c>
      <c r="AU28" s="16">
        <f t="shared" si="3"/>
        <v>20566</v>
      </c>
      <c r="BB28" s="73"/>
      <c r="BC28" s="94">
        <v>958</v>
      </c>
      <c r="BD28" s="94">
        <v>831</v>
      </c>
      <c r="BE28" s="94">
        <v>127</v>
      </c>
      <c r="BF28" s="94">
        <v>233</v>
      </c>
      <c r="BG28" s="94">
        <v>44</v>
      </c>
      <c r="BH28" s="94">
        <v>7</v>
      </c>
      <c r="BI28" s="94">
        <v>158</v>
      </c>
      <c r="BJ28" s="94">
        <v>24</v>
      </c>
      <c r="BK28" s="94">
        <v>725</v>
      </c>
      <c r="BL28" s="94">
        <v>629</v>
      </c>
      <c r="BM28" s="94">
        <v>96</v>
      </c>
      <c r="BN28" s="94"/>
      <c r="BO28" s="73"/>
      <c r="BP28" s="73"/>
      <c r="BQ28" s="73"/>
      <c r="BR28" s="73"/>
      <c r="BS28" s="73"/>
      <c r="BT28" s="73"/>
      <c r="BU28" s="73"/>
      <c r="BV28" s="73"/>
      <c r="BW28" s="73"/>
      <c r="BX28" s="72">
        <v>126</v>
      </c>
      <c r="BY28" s="72">
        <v>251</v>
      </c>
      <c r="BZ28" s="72">
        <v>0</v>
      </c>
      <c r="CA28" s="72">
        <v>538</v>
      </c>
      <c r="CB28" s="72">
        <v>915</v>
      </c>
      <c r="CC28" s="72"/>
      <c r="CD28" s="72"/>
      <c r="CE28" s="72"/>
      <c r="CF28" s="218"/>
      <c r="CG28" s="72"/>
      <c r="CH28" s="72"/>
      <c r="CI28" s="72"/>
      <c r="CJ28" s="72"/>
      <c r="CK28" s="72"/>
      <c r="CL28" s="72"/>
      <c r="CN28" s="42">
        <v>261</v>
      </c>
      <c r="CO28" s="77"/>
      <c r="CP28" s="77"/>
      <c r="CQ28">
        <f t="shared" si="7"/>
        <v>261</v>
      </c>
      <c r="CU28" s="16">
        <v>1283</v>
      </c>
      <c r="CV28" s="16">
        <f t="shared" si="6"/>
        <v>1264</v>
      </c>
      <c r="CW28" s="16">
        <v>19</v>
      </c>
      <c r="CX28" s="229">
        <v>1302</v>
      </c>
      <c r="CY28" s="16">
        <v>563</v>
      </c>
      <c r="DC28" s="82">
        <v>25</v>
      </c>
      <c r="DD28" s="81">
        <v>0</v>
      </c>
      <c r="DE28" s="82">
        <v>0</v>
      </c>
      <c r="DF28" s="81">
        <v>0</v>
      </c>
      <c r="DG28" s="85">
        <v>25</v>
      </c>
      <c r="DH28" s="82">
        <v>0</v>
      </c>
      <c r="DI28" s="81">
        <v>25</v>
      </c>
      <c r="DJ28" s="84">
        <v>1.9E-2</v>
      </c>
      <c r="DK28" s="230">
        <v>290</v>
      </c>
      <c r="DL28" s="230">
        <v>272</v>
      </c>
      <c r="DM28" s="231">
        <f t="shared" si="5"/>
        <v>725</v>
      </c>
      <c r="DN28" s="231">
        <f t="shared" si="4"/>
        <v>680</v>
      </c>
      <c r="DO28" s="84"/>
      <c r="DP28" s="84"/>
      <c r="DQ28" s="78"/>
    </row>
    <row r="29" spans="1:121" x14ac:dyDescent="0.3">
      <c r="A29">
        <v>1995</v>
      </c>
      <c r="B29" s="39">
        <v>12792</v>
      </c>
      <c r="C29" s="57">
        <v>1</v>
      </c>
      <c r="D29" s="57">
        <v>9</v>
      </c>
      <c r="E29" s="58">
        <v>1</v>
      </c>
      <c r="F29" s="41"/>
      <c r="G29" s="42">
        <v>11</v>
      </c>
      <c r="H29" s="51">
        <f>C29/$B29</f>
        <v>7.817385866166354E-5</v>
      </c>
      <c r="I29" s="51">
        <f t="shared" ref="I29:I51" si="8">D29/$B29</f>
        <v>7.0356472795497186E-4</v>
      </c>
      <c r="J29" s="51">
        <f t="shared" ref="J29:J51" si="9">E29/$B29</f>
        <v>7.817385866166354E-5</v>
      </c>
      <c r="K29" s="51">
        <f t="shared" ref="K29:K51" si="10">F29/$B29</f>
        <v>0</v>
      </c>
      <c r="L29" s="51">
        <f t="shared" ref="L29:L51" si="11">G29/$B29</f>
        <v>8.5991244527829894E-4</v>
      </c>
      <c r="M29" s="39">
        <v>12781</v>
      </c>
      <c r="N29" s="16">
        <v>10192</v>
      </c>
      <c r="O29" s="16">
        <v>2371</v>
      </c>
      <c r="P29" s="16">
        <f t="shared" si="0"/>
        <v>12563</v>
      </c>
      <c r="Q29" s="43">
        <v>0</v>
      </c>
      <c r="R29" s="40">
        <v>13</v>
      </c>
      <c r="S29" s="40">
        <v>0</v>
      </c>
      <c r="T29" s="40">
        <v>620</v>
      </c>
      <c r="U29" s="42">
        <v>633</v>
      </c>
      <c r="V29" s="39">
        <v>12148</v>
      </c>
      <c r="W29" s="44">
        <v>0.95</v>
      </c>
      <c r="X29" s="44"/>
      <c r="Y29" s="55">
        <f>Q29/$B29</f>
        <v>0</v>
      </c>
      <c r="Z29" s="55">
        <f>(R29+S29+T29)/B29</f>
        <v>4.9484052532833021E-2</v>
      </c>
      <c r="AA29" s="44">
        <f>U29/P29</f>
        <v>5.0386054286396559E-2</v>
      </c>
      <c r="AB29" s="44">
        <f>U29/B29</f>
        <v>4.9484052532833021E-2</v>
      </c>
      <c r="AC29" s="55">
        <f>(D29+E29+Q29)/B29</f>
        <v>7.817385866166354E-4</v>
      </c>
      <c r="AD29" s="55">
        <f>(C29)/B29</f>
        <v>7.817385866166354E-5</v>
      </c>
      <c r="AE29" s="55">
        <f>(SUM(C29:E29)+Q29)/B29</f>
        <v>8.5991244527829894E-4</v>
      </c>
      <c r="AF29" s="44">
        <f>(F29+SUM(R29:T29))/B29</f>
        <v>4.9484052532833021E-2</v>
      </c>
      <c r="AG29" s="44">
        <f>AF29+AE29</f>
        <v>5.0343964978111319E-2</v>
      </c>
      <c r="AI29" s="16">
        <v>1130</v>
      </c>
      <c r="AJ29" s="16">
        <v>78</v>
      </c>
      <c r="AK29" s="16">
        <f t="shared" si="1"/>
        <v>1208</v>
      </c>
      <c r="AL29" s="16">
        <v>1507</v>
      </c>
      <c r="AM29" s="16">
        <v>366</v>
      </c>
      <c r="AN29" s="16">
        <f t="shared" si="2"/>
        <v>1873</v>
      </c>
      <c r="AP29" s="16">
        <f>AK29+AN29</f>
        <v>3081</v>
      </c>
      <c r="AQ29" s="52">
        <v>0.9</v>
      </c>
      <c r="AR29" s="16">
        <f>AP29/(1-AA29)/AQ29</f>
        <v>3604.9737356803571</v>
      </c>
      <c r="AS29" s="16">
        <f>P29-AR29</f>
        <v>8958.0262643196438</v>
      </c>
      <c r="AT29" s="16"/>
      <c r="AU29" s="16"/>
      <c r="AV29" s="48">
        <f t="shared" ref="AV29:AV51" si="12">AS29/P29</f>
        <v>0.71304833752444829</v>
      </c>
      <c r="AW29" s="16">
        <f t="shared" ref="AW29:AW51" si="13">AS29/(1-L29)</f>
        <v>8965.7360122976988</v>
      </c>
      <c r="AX29" s="16">
        <f>AW29*L29</f>
        <v>7.7097479780546188</v>
      </c>
      <c r="AY29" s="16">
        <f t="shared" ref="AY29:AY51" si="14">AS29*AA29</f>
        <v>451.35959765297576</v>
      </c>
      <c r="AZ29" s="16">
        <f t="shared" ref="AZ29:AZ51" si="15">AW29*AG29</f>
        <v>451.37069980610681</v>
      </c>
      <c r="BA29" s="16">
        <f t="shared" ref="BA29:BA51" si="16">(AS29-AY29)*AQ29</f>
        <v>7656.0000000000009</v>
      </c>
      <c r="BB29" s="73"/>
      <c r="BC29" s="94">
        <v>696</v>
      </c>
      <c r="BD29" s="94">
        <v>606</v>
      </c>
      <c r="BE29" s="94">
        <v>90</v>
      </c>
      <c r="BF29" s="94">
        <v>140</v>
      </c>
      <c r="BG29" s="94">
        <v>0</v>
      </c>
      <c r="BH29" s="94">
        <v>0</v>
      </c>
      <c r="BI29" s="94">
        <v>122</v>
      </c>
      <c r="BJ29" s="94">
        <v>18</v>
      </c>
      <c r="BK29" s="94">
        <v>556</v>
      </c>
      <c r="BL29" s="94">
        <v>484</v>
      </c>
      <c r="BM29" s="94">
        <v>72</v>
      </c>
      <c r="BN29" s="94"/>
      <c r="BO29" s="73"/>
      <c r="BP29" s="73"/>
      <c r="BQ29" s="73"/>
      <c r="BR29" s="73"/>
      <c r="BS29" s="73"/>
      <c r="BT29" s="73"/>
      <c r="BU29" s="73"/>
      <c r="BV29" s="73"/>
      <c r="BW29" s="73"/>
      <c r="BX29" s="72">
        <v>0</v>
      </c>
      <c r="BY29" s="72">
        <v>0</v>
      </c>
      <c r="BZ29" s="72">
        <v>0</v>
      </c>
      <c r="CA29" s="72">
        <v>435</v>
      </c>
      <c r="CB29" s="72">
        <v>435</v>
      </c>
      <c r="CC29" s="72"/>
      <c r="CD29" s="72">
        <v>162</v>
      </c>
      <c r="CE29" s="72">
        <v>75</v>
      </c>
      <c r="CF29" s="218">
        <v>216</v>
      </c>
      <c r="CG29" s="72">
        <v>75</v>
      </c>
      <c r="CH29" s="72"/>
      <c r="CI29" s="72"/>
      <c r="CJ29" s="72"/>
      <c r="CK29" s="72"/>
      <c r="CL29" s="72"/>
      <c r="CN29" s="42">
        <v>388</v>
      </c>
      <c r="CO29" s="77"/>
      <c r="CP29" s="77"/>
      <c r="CQ29">
        <f t="shared" si="7"/>
        <v>388</v>
      </c>
      <c r="CU29" s="16">
        <v>528</v>
      </c>
      <c r="CV29" s="16">
        <f t="shared" si="6"/>
        <v>390</v>
      </c>
      <c r="CW29" s="16">
        <v>138</v>
      </c>
      <c r="CX29" s="229">
        <v>666</v>
      </c>
      <c r="CY29" s="16">
        <v>326</v>
      </c>
      <c r="DC29" s="82">
        <v>66</v>
      </c>
      <c r="DD29" s="81">
        <v>13</v>
      </c>
      <c r="DE29" s="82">
        <v>0</v>
      </c>
      <c r="DF29" s="81">
        <v>0</v>
      </c>
      <c r="DG29" s="85">
        <v>66</v>
      </c>
      <c r="DH29" s="82">
        <v>13</v>
      </c>
      <c r="DI29" s="81">
        <v>79</v>
      </c>
      <c r="DJ29" s="84">
        <v>0.11899999999999999</v>
      </c>
      <c r="DK29" s="230">
        <v>117</v>
      </c>
      <c r="DL29" s="230">
        <v>104</v>
      </c>
      <c r="DM29" s="231">
        <f t="shared" si="5"/>
        <v>292.5</v>
      </c>
      <c r="DN29" s="231">
        <f t="shared" si="4"/>
        <v>260</v>
      </c>
      <c r="DO29" s="84"/>
      <c r="DP29" s="84"/>
      <c r="DQ29" s="78"/>
    </row>
    <row r="30" spans="1:121" x14ac:dyDescent="0.3">
      <c r="A30">
        <v>1996</v>
      </c>
      <c r="B30" s="39">
        <v>55552</v>
      </c>
      <c r="C30" s="57">
        <v>34</v>
      </c>
      <c r="D30" s="57">
        <v>10</v>
      </c>
      <c r="E30" s="58">
        <v>12</v>
      </c>
      <c r="F30" s="41"/>
      <c r="G30" s="42">
        <v>56</v>
      </c>
      <c r="H30" s="51">
        <f t="shared" ref="H30:H51" si="17">C30/$B30</f>
        <v>6.1203917050691239E-4</v>
      </c>
      <c r="I30" s="51">
        <f t="shared" si="8"/>
        <v>1.800115207373272E-4</v>
      </c>
      <c r="J30" s="51">
        <f t="shared" si="9"/>
        <v>2.1601382488479264E-4</v>
      </c>
      <c r="K30" s="51">
        <f t="shared" si="10"/>
        <v>0</v>
      </c>
      <c r="L30" s="51">
        <f t="shared" si="11"/>
        <v>1.0080645161290322E-3</v>
      </c>
      <c r="M30" s="39">
        <v>55496</v>
      </c>
      <c r="N30" s="16">
        <v>51492</v>
      </c>
      <c r="O30" s="16">
        <v>4686</v>
      </c>
      <c r="P30" s="16">
        <f t="shared" si="0"/>
        <v>56178</v>
      </c>
      <c r="Q30" s="43">
        <v>0</v>
      </c>
      <c r="R30" s="40">
        <v>0</v>
      </c>
      <c r="S30" s="40">
        <v>0</v>
      </c>
      <c r="T30" s="45">
        <v>2911</v>
      </c>
      <c r="U30" s="46">
        <v>2911</v>
      </c>
      <c r="V30" s="39">
        <v>52585</v>
      </c>
      <c r="W30" s="44">
        <v>0.95</v>
      </c>
      <c r="X30" s="44"/>
      <c r="Y30" s="55">
        <f t="shared" ref="Y30:Y51" si="18">Q30/$B30</f>
        <v>0</v>
      </c>
      <c r="Z30" s="55">
        <f t="shared" ref="Z30:Z51" si="19">(R30+S30+T30)/B30</f>
        <v>5.2401353686635947E-2</v>
      </c>
      <c r="AA30" s="44">
        <f t="shared" ref="AA30:AA51" si="20">U30/P30</f>
        <v>5.1817437431022823E-2</v>
      </c>
      <c r="AB30" s="44">
        <f t="shared" ref="AB30:AB51" si="21">U30/B30</f>
        <v>5.2401353686635947E-2</v>
      </c>
      <c r="AC30" s="55">
        <f t="shared" ref="AC30:AC50" si="22">(D30+E30+Q30)/B30</f>
        <v>3.9602534562211984E-4</v>
      </c>
      <c r="AD30" s="55">
        <f t="shared" ref="AD30:AD51" si="23">(C30)/B30</f>
        <v>6.1203917050691239E-4</v>
      </c>
      <c r="AE30" s="55">
        <f t="shared" ref="AE30:AE51" si="24">(SUM(C30:E30)+Q30)/B30</f>
        <v>1.0080645161290322E-3</v>
      </c>
      <c r="AF30" s="44">
        <f t="shared" ref="AF30:AF51" si="25">(F30+SUM(R30:T30))/B30</f>
        <v>5.2401353686635947E-2</v>
      </c>
      <c r="AG30" s="44">
        <f t="shared" ref="AG30:AG51" si="26">AF30+AE30</f>
        <v>5.3409418202764979E-2</v>
      </c>
      <c r="AI30" s="16">
        <v>2430</v>
      </c>
      <c r="AJ30" s="16">
        <v>167</v>
      </c>
      <c r="AK30" s="16">
        <f t="shared" si="1"/>
        <v>2597</v>
      </c>
      <c r="AL30" s="16">
        <v>5973</v>
      </c>
      <c r="AM30" s="16">
        <v>1698</v>
      </c>
      <c r="AN30" s="16">
        <f t="shared" si="2"/>
        <v>7671</v>
      </c>
      <c r="AP30" s="16">
        <f t="shared" ref="AP30:AP51" si="27">AK30+AN30</f>
        <v>10268</v>
      </c>
      <c r="AQ30" s="48">
        <f>AQ29</f>
        <v>0.9</v>
      </c>
      <c r="AR30" s="16">
        <f t="shared" ref="AR30:AR51" si="28">AP30/(1-AA30)/AQ30</f>
        <v>12032.375767360654</v>
      </c>
      <c r="AS30" s="16">
        <f t="shared" ref="AS30:AS51" si="29">P30-AR30</f>
        <v>44145.624232639348</v>
      </c>
      <c r="AT30" s="16"/>
      <c r="AU30" s="16"/>
      <c r="AV30" s="48">
        <f t="shared" si="12"/>
        <v>0.78581694315638417</v>
      </c>
      <c r="AW30" s="16">
        <f t="shared" si="13"/>
        <v>44190.170775760074</v>
      </c>
      <c r="AX30" s="16">
        <f t="shared" ref="AX30:AX50" si="30">AW30*L30</f>
        <v>44.546543120725879</v>
      </c>
      <c r="AY30" s="16">
        <f t="shared" si="14"/>
        <v>2287.5131215282345</v>
      </c>
      <c r="AZ30" s="16">
        <f t="shared" si="15"/>
        <v>2360.171311414173</v>
      </c>
      <c r="BA30" s="16">
        <f t="shared" si="16"/>
        <v>37672.300000000003</v>
      </c>
      <c r="BB30" s="73"/>
      <c r="BC30" s="95">
        <v>1156</v>
      </c>
      <c r="BD30" s="94">
        <v>782</v>
      </c>
      <c r="BE30" s="94">
        <v>374</v>
      </c>
      <c r="BF30" s="94">
        <v>308</v>
      </c>
      <c r="BG30" s="94">
        <v>97</v>
      </c>
      <c r="BH30" s="94">
        <v>46</v>
      </c>
      <c r="BI30" s="94">
        <v>112</v>
      </c>
      <c r="BJ30" s="94">
        <v>53</v>
      </c>
      <c r="BK30" s="94">
        <v>848</v>
      </c>
      <c r="BL30" s="94">
        <v>574</v>
      </c>
      <c r="BM30" s="94">
        <v>274</v>
      </c>
      <c r="BN30" s="94"/>
      <c r="BO30" s="73"/>
      <c r="BP30" s="73"/>
      <c r="BQ30" s="73"/>
      <c r="BR30" s="73"/>
      <c r="BS30" s="73"/>
      <c r="BT30" s="73"/>
      <c r="BU30" s="73"/>
      <c r="BV30" s="73"/>
      <c r="BW30" s="73"/>
      <c r="BX30" s="72">
        <v>4</v>
      </c>
      <c r="BY30" s="72">
        <v>0</v>
      </c>
      <c r="BZ30" s="72">
        <v>0</v>
      </c>
      <c r="CA30" s="72">
        <v>237</v>
      </c>
      <c r="CB30" s="72">
        <v>241</v>
      </c>
      <c r="CC30" s="72"/>
      <c r="CD30" s="72">
        <v>1261</v>
      </c>
      <c r="CE30" s="72">
        <v>36</v>
      </c>
      <c r="CF30" s="218">
        <v>712</v>
      </c>
      <c r="CG30" s="72">
        <v>23</v>
      </c>
      <c r="CH30" s="72"/>
      <c r="CI30" s="72"/>
      <c r="CJ30" s="72"/>
      <c r="CK30" s="72"/>
      <c r="CL30" s="72"/>
      <c r="CN30" s="42">
        <v>2075</v>
      </c>
      <c r="CO30" s="42">
        <v>77</v>
      </c>
      <c r="CP30" s="234">
        <f>CO30/CQ30</f>
        <v>3.578066914498141E-2</v>
      </c>
      <c r="CQ30">
        <f t="shared" si="7"/>
        <v>2152</v>
      </c>
      <c r="CU30" s="16">
        <v>2946</v>
      </c>
      <c r="CV30" s="16">
        <f t="shared" si="6"/>
        <v>2813</v>
      </c>
      <c r="CW30" s="16">
        <v>133</v>
      </c>
      <c r="CX30" s="229">
        <v>3079</v>
      </c>
      <c r="CY30" s="16">
        <v>1562</v>
      </c>
      <c r="DC30" s="82">
        <v>450</v>
      </c>
      <c r="DD30" s="81">
        <v>25</v>
      </c>
      <c r="DE30" s="82">
        <v>0</v>
      </c>
      <c r="DF30" s="81">
        <v>0</v>
      </c>
      <c r="DG30" s="83">
        <v>450</v>
      </c>
      <c r="DH30" s="82">
        <v>25</v>
      </c>
      <c r="DI30" s="81">
        <v>475</v>
      </c>
      <c r="DJ30" s="84">
        <v>0.14899999999999999</v>
      </c>
      <c r="DK30" s="230">
        <v>814</v>
      </c>
      <c r="DL30" s="230">
        <v>184</v>
      </c>
      <c r="DM30" s="231">
        <f t="shared" si="5"/>
        <v>2035</v>
      </c>
      <c r="DN30" s="231">
        <f t="shared" si="4"/>
        <v>460</v>
      </c>
      <c r="DO30" s="84"/>
      <c r="DP30" s="84"/>
      <c r="DQ30" s="78"/>
    </row>
    <row r="31" spans="1:121" x14ac:dyDescent="0.3">
      <c r="A31">
        <v>1997</v>
      </c>
      <c r="B31" s="39">
        <v>124321</v>
      </c>
      <c r="C31" s="57">
        <v>34</v>
      </c>
      <c r="D31" s="57">
        <v>16</v>
      </c>
      <c r="E31" s="58">
        <v>19</v>
      </c>
      <c r="F31" s="41"/>
      <c r="G31" s="42">
        <v>69</v>
      </c>
      <c r="H31" s="51">
        <f t="shared" si="17"/>
        <v>2.7348557363599072E-4</v>
      </c>
      <c r="I31" s="51">
        <f t="shared" si="8"/>
        <v>1.2869909347576033E-4</v>
      </c>
      <c r="J31" s="51">
        <f t="shared" si="9"/>
        <v>1.5283017350246539E-4</v>
      </c>
      <c r="K31" s="51">
        <f t="shared" si="10"/>
        <v>0</v>
      </c>
      <c r="L31" s="51">
        <f t="shared" si="11"/>
        <v>5.5501484061421641E-4</v>
      </c>
      <c r="M31" s="39">
        <v>124252</v>
      </c>
      <c r="N31" s="16">
        <v>114000</v>
      </c>
      <c r="O31" s="16">
        <v>963</v>
      </c>
      <c r="P31" s="16">
        <f t="shared" si="0"/>
        <v>114963</v>
      </c>
      <c r="Q31" s="43">
        <v>0</v>
      </c>
      <c r="R31" s="40">
        <v>14</v>
      </c>
      <c r="S31" s="40">
        <v>0</v>
      </c>
      <c r="T31" s="45">
        <v>8309</v>
      </c>
      <c r="U31" s="46">
        <v>8323</v>
      </c>
      <c r="V31" s="39">
        <v>115929</v>
      </c>
      <c r="W31" s="44">
        <v>0.93</v>
      </c>
      <c r="X31" s="44"/>
      <c r="Y31" s="55">
        <f t="shared" si="18"/>
        <v>0</v>
      </c>
      <c r="Z31" s="55">
        <f t="shared" si="19"/>
        <v>6.694765968742207E-2</v>
      </c>
      <c r="AA31" s="44">
        <f t="shared" si="20"/>
        <v>7.2397206057601138E-2</v>
      </c>
      <c r="AB31" s="44">
        <f t="shared" si="21"/>
        <v>6.694765968742207E-2</v>
      </c>
      <c r="AC31" s="55">
        <f t="shared" si="22"/>
        <v>2.8152926697822575E-4</v>
      </c>
      <c r="AD31" s="55">
        <f t="shared" si="23"/>
        <v>2.7348557363599072E-4</v>
      </c>
      <c r="AE31" s="55">
        <f t="shared" si="24"/>
        <v>5.5501484061421641E-4</v>
      </c>
      <c r="AF31" s="44">
        <f t="shared" si="25"/>
        <v>6.694765968742207E-2</v>
      </c>
      <c r="AG31" s="44">
        <f t="shared" si="26"/>
        <v>6.750267452803628E-2</v>
      </c>
      <c r="AI31" s="16">
        <v>6666</v>
      </c>
      <c r="AJ31" s="16">
        <v>16</v>
      </c>
      <c r="AK31" s="16">
        <f t="shared" si="1"/>
        <v>6682</v>
      </c>
      <c r="AL31" s="16">
        <v>41398</v>
      </c>
      <c r="AM31" s="16">
        <v>75</v>
      </c>
      <c r="AN31" s="16">
        <f t="shared" si="2"/>
        <v>41473</v>
      </c>
      <c r="AP31" s="16">
        <f t="shared" si="27"/>
        <v>48155</v>
      </c>
      <c r="AQ31" s="48">
        <f t="shared" ref="AQ31:AQ51" si="31">AQ30</f>
        <v>0.9</v>
      </c>
      <c r="AR31" s="16">
        <f t="shared" si="28"/>
        <v>57681.53772818204</v>
      </c>
      <c r="AS31" s="16">
        <f t="shared" si="29"/>
        <v>57281.46227181796</v>
      </c>
      <c r="AT31" s="16"/>
      <c r="AU31" s="16"/>
      <c r="AV31" s="48">
        <f t="shared" si="12"/>
        <v>0.49825998166208224</v>
      </c>
      <c r="AW31" s="16">
        <f t="shared" si="13"/>
        <v>57313.271988335648</v>
      </c>
      <c r="AX31" s="16">
        <f t="shared" si="30"/>
        <v>31.809716517685345</v>
      </c>
      <c r="AY31" s="16">
        <f t="shared" si="14"/>
        <v>4147.01782737351</v>
      </c>
      <c r="AZ31" s="16">
        <f t="shared" si="15"/>
        <v>3868.7991451654398</v>
      </c>
      <c r="BA31" s="16">
        <f t="shared" si="16"/>
        <v>47821.000000000007</v>
      </c>
      <c r="BB31" s="73"/>
      <c r="BC31" s="95">
        <v>1861</v>
      </c>
      <c r="BD31" s="95">
        <v>1083</v>
      </c>
      <c r="BE31" s="94">
        <v>778</v>
      </c>
      <c r="BF31" s="94">
        <v>437</v>
      </c>
      <c r="BG31" s="94">
        <v>157</v>
      </c>
      <c r="BH31" s="94">
        <v>113</v>
      </c>
      <c r="BI31" s="94">
        <v>97</v>
      </c>
      <c r="BJ31" s="94">
        <v>70</v>
      </c>
      <c r="BK31" s="95">
        <v>1424</v>
      </c>
      <c r="BL31" s="94">
        <v>829</v>
      </c>
      <c r="BM31" s="94">
        <v>595</v>
      </c>
      <c r="BN31" s="94"/>
      <c r="BO31" s="73"/>
      <c r="BP31" s="73"/>
      <c r="BQ31" s="73"/>
      <c r="BR31" s="73"/>
      <c r="BS31" s="73"/>
      <c r="BT31" s="73"/>
      <c r="BU31" s="73"/>
      <c r="BV31" s="73"/>
      <c r="BW31" s="73"/>
      <c r="BX31" s="72">
        <v>57</v>
      </c>
      <c r="BY31" s="72">
        <v>2</v>
      </c>
      <c r="BZ31" s="72">
        <v>0</v>
      </c>
      <c r="CA31" s="39">
        <v>1287</v>
      </c>
      <c r="CB31" s="39">
        <v>1346</v>
      </c>
      <c r="CC31" s="39"/>
      <c r="CD31" s="39">
        <v>861</v>
      </c>
      <c r="CE31" s="39">
        <v>9</v>
      </c>
      <c r="CF31" s="217">
        <v>1129</v>
      </c>
      <c r="CG31" s="39">
        <v>9</v>
      </c>
      <c r="CH31" s="39"/>
      <c r="CI31" s="39"/>
      <c r="CJ31" s="39"/>
      <c r="CK31" s="39"/>
      <c r="CL31" s="39"/>
      <c r="CN31" s="42">
        <v>2033</v>
      </c>
      <c r="CO31" s="77">
        <v>161</v>
      </c>
      <c r="CP31" s="234">
        <f t="shared" ref="CP31:CP36" si="32">CO31/CQ31</f>
        <v>7.3381950774840471E-2</v>
      </c>
      <c r="CQ31">
        <f t="shared" si="7"/>
        <v>2194</v>
      </c>
      <c r="CU31" s="16">
        <v>3126</v>
      </c>
      <c r="CV31" s="16">
        <f t="shared" si="6"/>
        <v>3079</v>
      </c>
      <c r="CW31" s="16">
        <v>47</v>
      </c>
      <c r="CX31" s="229">
        <v>3173</v>
      </c>
      <c r="CY31" s="16">
        <v>1445</v>
      </c>
      <c r="DC31" s="82">
        <v>575</v>
      </c>
      <c r="DD31" s="81">
        <v>0</v>
      </c>
      <c r="DE31" s="82">
        <v>0</v>
      </c>
      <c r="DF31" s="81">
        <v>0</v>
      </c>
      <c r="DG31" s="83">
        <v>575</v>
      </c>
      <c r="DH31" s="82">
        <v>0</v>
      </c>
      <c r="DI31" s="81">
        <v>575</v>
      </c>
      <c r="DJ31" s="84">
        <v>0.192</v>
      </c>
      <c r="DK31" s="230">
        <v>420</v>
      </c>
      <c r="DL31" s="230">
        <v>339</v>
      </c>
      <c r="DM31" s="231">
        <f t="shared" si="5"/>
        <v>1050</v>
      </c>
      <c r="DN31" s="231">
        <f t="shared" si="4"/>
        <v>847.5</v>
      </c>
      <c r="DO31" s="84"/>
      <c r="DP31" s="84"/>
      <c r="DQ31" s="78"/>
    </row>
    <row r="32" spans="1:121" x14ac:dyDescent="0.3">
      <c r="A32">
        <v>1998</v>
      </c>
      <c r="B32" s="39">
        <v>44308</v>
      </c>
      <c r="C32" s="57">
        <v>27</v>
      </c>
      <c r="D32" s="57">
        <v>14</v>
      </c>
      <c r="E32" s="58">
        <v>0</v>
      </c>
      <c r="F32" s="41"/>
      <c r="G32" s="42">
        <v>41</v>
      </c>
      <c r="H32" s="51">
        <f t="shared" si="17"/>
        <v>6.0937076825855381E-4</v>
      </c>
      <c r="I32" s="51">
        <f t="shared" si="8"/>
        <v>3.1597002798591675E-4</v>
      </c>
      <c r="J32" s="51">
        <f t="shared" si="9"/>
        <v>0</v>
      </c>
      <c r="K32" s="51">
        <f t="shared" si="10"/>
        <v>0</v>
      </c>
      <c r="L32" s="51">
        <f t="shared" si="11"/>
        <v>9.253407962444705E-4</v>
      </c>
      <c r="M32" s="39">
        <v>44267</v>
      </c>
      <c r="N32" s="16">
        <v>38342</v>
      </c>
      <c r="O32" s="16">
        <v>775</v>
      </c>
      <c r="P32" s="16">
        <f t="shared" si="0"/>
        <v>39117</v>
      </c>
      <c r="Q32" s="43">
        <v>0</v>
      </c>
      <c r="R32" s="40">
        <v>1</v>
      </c>
      <c r="S32" s="40">
        <v>0</v>
      </c>
      <c r="T32" s="45">
        <v>2224</v>
      </c>
      <c r="U32" s="46">
        <v>2225</v>
      </c>
      <c r="V32" s="39">
        <v>42042</v>
      </c>
      <c r="W32" s="44">
        <v>0.95</v>
      </c>
      <c r="X32" s="44"/>
      <c r="Y32" s="55">
        <f t="shared" si="18"/>
        <v>0</v>
      </c>
      <c r="Z32" s="55">
        <f t="shared" si="19"/>
        <v>5.0216665162047487E-2</v>
      </c>
      <c r="AA32" s="44">
        <f t="shared" si="20"/>
        <v>5.6880640130889386E-2</v>
      </c>
      <c r="AB32" s="44">
        <f t="shared" si="21"/>
        <v>5.0216665162047487E-2</v>
      </c>
      <c r="AC32" s="55">
        <f t="shared" si="22"/>
        <v>3.1597002798591675E-4</v>
      </c>
      <c r="AD32" s="55">
        <f t="shared" si="23"/>
        <v>6.0937076825855381E-4</v>
      </c>
      <c r="AE32" s="55">
        <f t="shared" si="24"/>
        <v>9.253407962444705E-4</v>
      </c>
      <c r="AF32" s="44">
        <f t="shared" si="25"/>
        <v>5.0216665162047487E-2</v>
      </c>
      <c r="AG32" s="44">
        <f t="shared" si="26"/>
        <v>5.1142005958291957E-2</v>
      </c>
      <c r="AI32" s="16">
        <v>4124</v>
      </c>
      <c r="AJ32" s="16">
        <v>37</v>
      </c>
      <c r="AK32" s="16">
        <f t="shared" si="1"/>
        <v>4161</v>
      </c>
      <c r="AL32" s="16">
        <v>12434</v>
      </c>
      <c r="AM32" s="16">
        <v>130</v>
      </c>
      <c r="AN32" s="16">
        <f t="shared" si="2"/>
        <v>12564</v>
      </c>
      <c r="AP32" s="16">
        <f t="shared" si="27"/>
        <v>16725</v>
      </c>
      <c r="AQ32" s="48">
        <f t="shared" si="31"/>
        <v>0.9</v>
      </c>
      <c r="AR32" s="16">
        <f t="shared" si="28"/>
        <v>19704.116068524341</v>
      </c>
      <c r="AS32" s="16">
        <f t="shared" si="29"/>
        <v>19412.883931475659</v>
      </c>
      <c r="AT32" s="16"/>
      <c r="AU32" s="16"/>
      <c r="AV32" s="48">
        <f t="shared" si="12"/>
        <v>0.49627742238606382</v>
      </c>
      <c r="AW32" s="16">
        <f t="shared" si="13"/>
        <v>19430.864102736203</v>
      </c>
      <c r="AX32" s="16">
        <f t="shared" si="30"/>
        <v>17.980171260544015</v>
      </c>
      <c r="AY32" s="16">
        <f t="shared" si="14"/>
        <v>1104.217264808992</v>
      </c>
      <c r="AZ32" s="16">
        <f t="shared" si="15"/>
        <v>993.73336771689617</v>
      </c>
      <c r="BA32" s="16">
        <f t="shared" si="16"/>
        <v>16477.800000000003</v>
      </c>
      <c r="BB32" s="73"/>
      <c r="BC32" s="94">
        <v>702</v>
      </c>
      <c r="BD32" s="94">
        <v>397</v>
      </c>
      <c r="BE32" s="94">
        <v>305</v>
      </c>
      <c r="BF32" s="94">
        <v>149</v>
      </c>
      <c r="BG32" s="94">
        <v>8</v>
      </c>
      <c r="BH32" s="94">
        <v>6</v>
      </c>
      <c r="BI32" s="94">
        <v>76</v>
      </c>
      <c r="BJ32" s="94">
        <v>59</v>
      </c>
      <c r="BK32" s="94">
        <v>553</v>
      </c>
      <c r="BL32" s="94">
        <v>313</v>
      </c>
      <c r="BM32" s="94">
        <v>240</v>
      </c>
      <c r="BN32" s="94"/>
      <c r="BO32" s="73"/>
      <c r="BP32" s="73"/>
      <c r="BQ32" s="73"/>
      <c r="BR32" s="73"/>
      <c r="BS32" s="73"/>
      <c r="BT32" s="73"/>
      <c r="BU32" s="73"/>
      <c r="BV32" s="73"/>
      <c r="BW32" s="73"/>
      <c r="BX32" s="72">
        <v>0</v>
      </c>
      <c r="BY32" s="72">
        <v>0</v>
      </c>
      <c r="BZ32" s="72">
        <v>0</v>
      </c>
      <c r="CA32" s="72">
        <v>870</v>
      </c>
      <c r="CB32" s="72">
        <v>870</v>
      </c>
      <c r="CC32" s="72"/>
      <c r="CD32" s="72">
        <v>248</v>
      </c>
      <c r="CE32" s="72">
        <v>23</v>
      </c>
      <c r="CF32" s="218">
        <v>647</v>
      </c>
      <c r="CG32" s="72">
        <v>6</v>
      </c>
      <c r="CH32" s="72"/>
      <c r="CI32" s="72"/>
      <c r="CJ32" s="72"/>
      <c r="CK32" s="72"/>
      <c r="CL32" s="72"/>
      <c r="CN32" s="42">
        <v>343</v>
      </c>
      <c r="CO32" s="42">
        <v>66</v>
      </c>
      <c r="CP32" s="234">
        <f t="shared" si="32"/>
        <v>0.16136919315403422</v>
      </c>
      <c r="CQ32">
        <f t="shared" si="7"/>
        <v>409</v>
      </c>
      <c r="CU32" s="16">
        <v>1878</v>
      </c>
      <c r="CV32" s="16">
        <f t="shared" si="6"/>
        <v>1853</v>
      </c>
      <c r="CW32" s="16">
        <v>25</v>
      </c>
      <c r="CX32" s="229">
        <v>1903</v>
      </c>
      <c r="CY32" s="16">
        <v>795</v>
      </c>
      <c r="DC32" s="82">
        <v>188</v>
      </c>
      <c r="DD32" s="81">
        <v>0</v>
      </c>
      <c r="DE32" s="82">
        <v>0</v>
      </c>
      <c r="DF32" s="81">
        <v>0</v>
      </c>
      <c r="DG32" s="83">
        <v>188</v>
      </c>
      <c r="DH32" s="82">
        <v>0</v>
      </c>
      <c r="DI32" s="81">
        <v>188</v>
      </c>
      <c r="DJ32" s="84">
        <v>9.9000000000000005E-2</v>
      </c>
      <c r="DK32" s="230">
        <v>148</v>
      </c>
      <c r="DL32" s="230">
        <v>330</v>
      </c>
      <c r="DM32" s="231">
        <f t="shared" si="5"/>
        <v>370</v>
      </c>
      <c r="DN32" s="231">
        <f t="shared" si="4"/>
        <v>825</v>
      </c>
      <c r="DO32" s="84"/>
      <c r="DP32" s="84"/>
      <c r="DQ32" s="78"/>
    </row>
    <row r="33" spans="1:121" x14ac:dyDescent="0.3">
      <c r="A33">
        <v>1999</v>
      </c>
      <c r="B33" s="39">
        <v>43067</v>
      </c>
      <c r="C33" s="57">
        <v>28</v>
      </c>
      <c r="D33" s="57">
        <v>16</v>
      </c>
      <c r="E33" s="58">
        <v>0</v>
      </c>
      <c r="F33" s="41"/>
      <c r="G33" s="42">
        <v>44</v>
      </c>
      <c r="H33" s="51">
        <f t="shared" si="17"/>
        <v>6.50149766642673E-4</v>
      </c>
      <c r="I33" s="51">
        <f t="shared" si="8"/>
        <v>3.7151415236724174E-4</v>
      </c>
      <c r="J33" s="51">
        <f t="shared" si="9"/>
        <v>0</v>
      </c>
      <c r="K33" s="51">
        <f t="shared" si="10"/>
        <v>0</v>
      </c>
      <c r="L33" s="51">
        <f t="shared" si="11"/>
        <v>1.0216639190099147E-3</v>
      </c>
      <c r="M33" s="39">
        <v>43023</v>
      </c>
      <c r="N33" s="16">
        <v>38669</v>
      </c>
      <c r="O33" s="16">
        <v>8691</v>
      </c>
      <c r="P33" s="16">
        <f t="shared" si="0"/>
        <v>47360</v>
      </c>
      <c r="Q33" s="43">
        <v>0</v>
      </c>
      <c r="R33" s="40">
        <v>1</v>
      </c>
      <c r="S33" s="40">
        <v>0</v>
      </c>
      <c r="T33" s="45">
        <v>1983</v>
      </c>
      <c r="U33" s="46">
        <v>1984</v>
      </c>
      <c r="V33" s="39">
        <v>41039</v>
      </c>
      <c r="W33" s="44">
        <v>0.95</v>
      </c>
      <c r="X33" s="44"/>
      <c r="Y33" s="55">
        <f t="shared" si="18"/>
        <v>0</v>
      </c>
      <c r="Z33" s="55">
        <f t="shared" si="19"/>
        <v>4.6067754893537975E-2</v>
      </c>
      <c r="AA33" s="44">
        <f t="shared" si="20"/>
        <v>4.1891891891891894E-2</v>
      </c>
      <c r="AB33" s="44">
        <f t="shared" si="21"/>
        <v>4.6067754893537975E-2</v>
      </c>
      <c r="AC33" s="55">
        <f t="shared" si="22"/>
        <v>3.7151415236724174E-4</v>
      </c>
      <c r="AD33" s="55">
        <f t="shared" si="23"/>
        <v>6.50149766642673E-4</v>
      </c>
      <c r="AE33" s="55">
        <f t="shared" si="24"/>
        <v>1.0216639190099147E-3</v>
      </c>
      <c r="AF33" s="44">
        <f t="shared" si="25"/>
        <v>4.6067754893537975E-2</v>
      </c>
      <c r="AG33" s="44">
        <f t="shared" si="26"/>
        <v>4.7089418812547891E-2</v>
      </c>
      <c r="AI33" s="16">
        <v>4149</v>
      </c>
      <c r="AJ33" s="16">
        <v>761</v>
      </c>
      <c r="AK33" s="16">
        <f t="shared" si="1"/>
        <v>4910</v>
      </c>
      <c r="AL33" s="16">
        <v>5351</v>
      </c>
      <c r="AM33" s="16">
        <v>2657</v>
      </c>
      <c r="AN33" s="16">
        <f t="shared" si="2"/>
        <v>8008</v>
      </c>
      <c r="AP33" s="16">
        <f t="shared" si="27"/>
        <v>12918</v>
      </c>
      <c r="AQ33" s="48">
        <f t="shared" si="31"/>
        <v>0.9</v>
      </c>
      <c r="AR33" s="16">
        <f t="shared" si="28"/>
        <v>14980.912082745652</v>
      </c>
      <c r="AS33" s="16">
        <f t="shared" si="29"/>
        <v>32379.08791725435</v>
      </c>
      <c r="AT33" s="16"/>
      <c r="AU33" s="16"/>
      <c r="AV33" s="48">
        <f t="shared" si="12"/>
        <v>0.6836800658204043</v>
      </c>
      <c r="AW33" s="16">
        <f t="shared" si="13"/>
        <v>32412.202294874674</v>
      </c>
      <c r="AX33" s="16">
        <f t="shared" si="30"/>
        <v>33.114377620323815</v>
      </c>
      <c r="AY33" s="16">
        <f t="shared" si="14"/>
        <v>1356.4212505876824</v>
      </c>
      <c r="AZ33" s="16">
        <f t="shared" si="15"/>
        <v>1526.2717685003795</v>
      </c>
      <c r="BA33" s="16">
        <f t="shared" si="16"/>
        <v>27920.400000000001</v>
      </c>
      <c r="BB33" s="73"/>
      <c r="BC33" s="94">
        <v>728</v>
      </c>
      <c r="BD33" s="94">
        <v>578</v>
      </c>
      <c r="BE33" s="94">
        <v>150</v>
      </c>
      <c r="BF33" s="94">
        <v>151</v>
      </c>
      <c r="BG33" s="94">
        <v>60</v>
      </c>
      <c r="BH33" s="94">
        <v>16</v>
      </c>
      <c r="BI33" s="94">
        <v>60</v>
      </c>
      <c r="BJ33" s="94">
        <v>15</v>
      </c>
      <c r="BK33" s="94">
        <v>577</v>
      </c>
      <c r="BL33" s="94">
        <v>458</v>
      </c>
      <c r="BM33" s="94">
        <v>119</v>
      </c>
      <c r="BN33" s="94"/>
      <c r="BO33" s="73"/>
      <c r="BP33" s="73"/>
      <c r="BQ33" s="73"/>
      <c r="BR33" s="73"/>
      <c r="BS33" s="73"/>
      <c r="BT33" s="73"/>
      <c r="BU33" s="73"/>
      <c r="BV33" s="73">
        <v>998</v>
      </c>
      <c r="BW33" s="73">
        <v>915</v>
      </c>
      <c r="BX33" s="72">
        <v>45</v>
      </c>
      <c r="BY33" s="72">
        <v>0</v>
      </c>
      <c r="BZ33" s="72">
        <v>0</v>
      </c>
      <c r="CA33" s="72">
        <v>271</v>
      </c>
      <c r="CB33" s="72">
        <v>316</v>
      </c>
      <c r="CC33" s="72"/>
      <c r="CD33" s="72">
        <v>367</v>
      </c>
      <c r="CE33" s="72">
        <v>127</v>
      </c>
      <c r="CF33" s="218">
        <v>2644</v>
      </c>
      <c r="CG33" s="72">
        <v>126</v>
      </c>
      <c r="CH33" s="72"/>
      <c r="CI33" s="72"/>
      <c r="CJ33" s="72"/>
      <c r="CK33" s="72"/>
      <c r="CL33" s="72"/>
      <c r="CN33" s="42">
        <v>1742</v>
      </c>
      <c r="CO33" s="42">
        <v>22</v>
      </c>
      <c r="CP33" s="234">
        <f t="shared" si="32"/>
        <v>1.2471655328798186E-2</v>
      </c>
      <c r="CQ33">
        <f t="shared" si="7"/>
        <v>1764</v>
      </c>
      <c r="CU33" s="16">
        <v>1795</v>
      </c>
      <c r="CV33" s="16">
        <f t="shared" si="6"/>
        <v>817</v>
      </c>
      <c r="CW33" s="16">
        <v>978</v>
      </c>
      <c r="CX33" s="229">
        <v>2773</v>
      </c>
      <c r="CY33" s="16">
        <v>1704</v>
      </c>
      <c r="DC33" s="82">
        <v>321</v>
      </c>
      <c r="DD33" s="81">
        <v>283</v>
      </c>
      <c r="DE33" s="82">
        <v>0</v>
      </c>
      <c r="DF33" s="81">
        <v>0</v>
      </c>
      <c r="DG33" s="83">
        <v>321</v>
      </c>
      <c r="DH33" s="82">
        <v>283</v>
      </c>
      <c r="DI33" s="81">
        <v>604</v>
      </c>
      <c r="DJ33" s="84">
        <v>0.217</v>
      </c>
      <c r="DK33" s="230">
        <v>224</v>
      </c>
      <c r="DL33" s="230">
        <v>186</v>
      </c>
      <c r="DM33" s="231">
        <f t="shared" si="5"/>
        <v>560</v>
      </c>
      <c r="DN33" s="231">
        <f t="shared" si="4"/>
        <v>465</v>
      </c>
      <c r="DO33" s="84"/>
      <c r="DP33" s="84"/>
      <c r="DQ33" s="78"/>
    </row>
    <row r="34" spans="1:121" x14ac:dyDescent="0.3">
      <c r="A34">
        <v>2000</v>
      </c>
      <c r="B34" s="39">
        <v>186715</v>
      </c>
      <c r="C34" s="57">
        <v>245</v>
      </c>
      <c r="D34" s="57">
        <v>124</v>
      </c>
      <c r="E34" s="58">
        <v>6</v>
      </c>
      <c r="F34" s="41"/>
      <c r="G34" s="42">
        <v>375</v>
      </c>
      <c r="H34" s="51">
        <f t="shared" si="17"/>
        <v>1.3121602442224781E-3</v>
      </c>
      <c r="I34" s="51">
        <f t="shared" si="8"/>
        <v>6.6411375625953994E-4</v>
      </c>
      <c r="J34" s="51">
        <f t="shared" si="9"/>
        <v>3.2134536593203547E-5</v>
      </c>
      <c r="K34" s="51">
        <f t="shared" si="10"/>
        <v>0</v>
      </c>
      <c r="L34" s="51">
        <f t="shared" si="11"/>
        <v>2.0084085370752217E-3</v>
      </c>
      <c r="M34" s="39">
        <v>186340</v>
      </c>
      <c r="N34" s="16">
        <v>178302</v>
      </c>
      <c r="O34" s="16">
        <v>21259</v>
      </c>
      <c r="P34" s="16">
        <f t="shared" si="0"/>
        <v>199561</v>
      </c>
      <c r="Q34" s="43">
        <v>0</v>
      </c>
      <c r="R34" s="40">
        <v>31</v>
      </c>
      <c r="S34" s="45">
        <v>1348</v>
      </c>
      <c r="T34" s="45">
        <v>9973</v>
      </c>
      <c r="U34" s="46">
        <v>11352</v>
      </c>
      <c r="V34" s="39">
        <v>174988</v>
      </c>
      <c r="W34" s="44">
        <v>0.94</v>
      </c>
      <c r="X34" s="44"/>
      <c r="Y34" s="55">
        <f t="shared" si="18"/>
        <v>0</v>
      </c>
      <c r="Z34" s="55">
        <f t="shared" si="19"/>
        <v>6.0798543234341106E-2</v>
      </c>
      <c r="AA34" s="44">
        <f t="shared" si="20"/>
        <v>5.6884862272688554E-2</v>
      </c>
      <c r="AB34" s="44">
        <f t="shared" si="21"/>
        <v>6.0798543234341106E-2</v>
      </c>
      <c r="AC34" s="55">
        <f t="shared" si="22"/>
        <v>6.9624829285274347E-4</v>
      </c>
      <c r="AD34" s="55">
        <f t="shared" si="23"/>
        <v>1.3121602442224781E-3</v>
      </c>
      <c r="AE34" s="55">
        <f t="shared" si="24"/>
        <v>2.0084085370752217E-3</v>
      </c>
      <c r="AF34" s="44">
        <f t="shared" si="25"/>
        <v>6.0798543234341106E-2</v>
      </c>
      <c r="AG34" s="44">
        <f t="shared" si="26"/>
        <v>6.2806951771416333E-2</v>
      </c>
      <c r="AI34" s="16">
        <v>20098</v>
      </c>
      <c r="AJ34" s="16">
        <v>1092</v>
      </c>
      <c r="AK34" s="16">
        <f t="shared" si="1"/>
        <v>21190</v>
      </c>
      <c r="AL34" s="16">
        <v>38789</v>
      </c>
      <c r="AM34" s="16">
        <v>9489</v>
      </c>
      <c r="AN34" s="16">
        <f t="shared" si="2"/>
        <v>48278</v>
      </c>
      <c r="AP34" s="16">
        <f t="shared" si="27"/>
        <v>69468</v>
      </c>
      <c r="AQ34" s="48">
        <f t="shared" si="31"/>
        <v>0.9</v>
      </c>
      <c r="AR34" s="16">
        <f t="shared" si="28"/>
        <v>81842.251893728069</v>
      </c>
      <c r="AS34" s="16">
        <f t="shared" si="29"/>
        <v>117718.74810627193</v>
      </c>
      <c r="AT34" s="16"/>
      <c r="AU34" s="16"/>
      <c r="AV34" s="48">
        <f t="shared" si="12"/>
        <v>0.58988854588958728</v>
      </c>
      <c r="AW34" s="16">
        <f t="shared" si="13"/>
        <v>117955.65124322509</v>
      </c>
      <c r="AX34" s="16">
        <f t="shared" si="30"/>
        <v>236.90313695316075</v>
      </c>
      <c r="AY34" s="16">
        <f t="shared" si="14"/>
        <v>6696.414772938595</v>
      </c>
      <c r="AZ34" s="16">
        <f t="shared" si="15"/>
        <v>7408.4348987992435</v>
      </c>
      <c r="BA34" s="16">
        <f t="shared" si="16"/>
        <v>99920.1</v>
      </c>
      <c r="BB34" s="73"/>
      <c r="BC34" s="95">
        <v>2708</v>
      </c>
      <c r="BD34" s="95">
        <v>1601</v>
      </c>
      <c r="BE34" s="95">
        <v>1107</v>
      </c>
      <c r="BF34" s="95">
        <v>1446</v>
      </c>
      <c r="BG34" s="94">
        <v>233</v>
      </c>
      <c r="BH34" s="94">
        <v>162</v>
      </c>
      <c r="BI34" s="94">
        <v>621</v>
      </c>
      <c r="BJ34" s="94">
        <v>430</v>
      </c>
      <c r="BK34" s="95">
        <v>1262</v>
      </c>
      <c r="BL34" s="94">
        <v>746</v>
      </c>
      <c r="BM34" s="94">
        <v>516</v>
      </c>
      <c r="BN34" s="94"/>
      <c r="BO34" s="73"/>
      <c r="BP34" s="73"/>
      <c r="BQ34" s="73"/>
      <c r="BR34" s="73"/>
      <c r="BS34" s="73"/>
      <c r="BT34" s="73"/>
      <c r="BU34" s="73"/>
      <c r="BV34" s="73">
        <v>694</v>
      </c>
      <c r="BW34" s="73">
        <v>491</v>
      </c>
      <c r="BX34" s="72">
        <v>0</v>
      </c>
      <c r="BY34" s="72">
        <v>0</v>
      </c>
      <c r="BZ34" s="72">
        <v>0</v>
      </c>
      <c r="CA34" s="72">
        <v>493</v>
      </c>
      <c r="CB34" s="72">
        <v>493</v>
      </c>
      <c r="CC34" s="72"/>
      <c r="CD34" s="72">
        <v>2622</v>
      </c>
      <c r="CE34" s="72">
        <v>81</v>
      </c>
      <c r="CF34" s="218">
        <v>6666</v>
      </c>
      <c r="CG34" s="72">
        <v>79</v>
      </c>
      <c r="CH34" s="72"/>
      <c r="CI34" s="72"/>
      <c r="CJ34" s="72"/>
      <c r="CK34" s="72"/>
      <c r="CL34" s="72"/>
      <c r="CN34" s="42">
        <v>3863</v>
      </c>
      <c r="CO34" s="42">
        <v>348</v>
      </c>
      <c r="CP34" s="234">
        <f t="shared" si="32"/>
        <v>8.2640702920921391E-2</v>
      </c>
      <c r="CQ34">
        <f t="shared" si="7"/>
        <v>4211</v>
      </c>
      <c r="CU34" s="16">
        <v>17422</v>
      </c>
      <c r="CV34" s="16">
        <f t="shared" si="6"/>
        <v>15833</v>
      </c>
      <c r="CW34" s="16">
        <v>1589</v>
      </c>
      <c r="CX34" s="229">
        <v>19011</v>
      </c>
      <c r="CY34" s="16">
        <v>12327</v>
      </c>
      <c r="CZ34">
        <v>18257</v>
      </c>
      <c r="DA34">
        <v>663</v>
      </c>
      <c r="DC34" s="86">
        <v>2271</v>
      </c>
      <c r="DD34" s="81">
        <v>87</v>
      </c>
      <c r="DE34" s="82">
        <v>92</v>
      </c>
      <c r="DF34" s="81">
        <v>8</v>
      </c>
      <c r="DG34" s="87">
        <v>2363</v>
      </c>
      <c r="DH34" s="82">
        <v>95</v>
      </c>
      <c r="DI34" s="88">
        <v>2458</v>
      </c>
      <c r="DJ34" s="84">
        <v>0.128</v>
      </c>
      <c r="DK34" s="231">
        <v>3836</v>
      </c>
      <c r="DL34" s="230">
        <v>888</v>
      </c>
      <c r="DM34" s="231">
        <f t="shared" si="5"/>
        <v>9590</v>
      </c>
      <c r="DN34" s="231">
        <f t="shared" si="4"/>
        <v>2220</v>
      </c>
      <c r="DO34" s="84"/>
      <c r="DP34" s="84"/>
      <c r="DQ34" s="78"/>
    </row>
    <row r="35" spans="1:121" x14ac:dyDescent="0.3">
      <c r="A35">
        <v>2001</v>
      </c>
      <c r="B35" s="39">
        <v>440336</v>
      </c>
      <c r="C35" s="59">
        <v>2054</v>
      </c>
      <c r="D35" s="59">
        <v>22719</v>
      </c>
      <c r="E35" s="58">
        <v>484</v>
      </c>
      <c r="F35" s="41"/>
      <c r="G35" s="46">
        <v>25257</v>
      </c>
      <c r="H35" s="51">
        <f t="shared" si="17"/>
        <v>4.6646197449220599E-3</v>
      </c>
      <c r="I35" s="51">
        <f t="shared" si="8"/>
        <v>5.1594691326623303E-2</v>
      </c>
      <c r="J35" s="51">
        <f t="shared" si="9"/>
        <v>1.0991606409650812E-3</v>
      </c>
      <c r="K35" s="51">
        <f t="shared" si="10"/>
        <v>0</v>
      </c>
      <c r="L35" s="51">
        <f t="shared" si="11"/>
        <v>5.7358471712510448E-2</v>
      </c>
      <c r="M35" s="39">
        <v>415079</v>
      </c>
      <c r="N35" s="16">
        <v>391367</v>
      </c>
      <c r="O35" s="16">
        <v>14172</v>
      </c>
      <c r="P35" s="16">
        <f t="shared" si="0"/>
        <v>405539</v>
      </c>
      <c r="Q35" s="43">
        <v>168</v>
      </c>
      <c r="R35" s="40">
        <v>160</v>
      </c>
      <c r="S35" s="45">
        <v>43630</v>
      </c>
      <c r="T35" s="45">
        <v>10985</v>
      </c>
      <c r="U35" s="46">
        <v>54943</v>
      </c>
      <c r="V35" s="39">
        <v>360137</v>
      </c>
      <c r="W35" s="44">
        <v>0.82</v>
      </c>
      <c r="X35" s="44"/>
      <c r="Y35" s="55">
        <f t="shared" si="18"/>
        <v>3.8152683405399512E-4</v>
      </c>
      <c r="Z35" s="55">
        <f t="shared" si="19"/>
        <v>0.12439364485302133</v>
      </c>
      <c r="AA35" s="44">
        <f t="shared" si="20"/>
        <v>0.13548142102239241</v>
      </c>
      <c r="AB35" s="44">
        <f t="shared" si="21"/>
        <v>0.12477517168707532</v>
      </c>
      <c r="AC35" s="55">
        <f t="shared" si="22"/>
        <v>5.3075378801642384E-2</v>
      </c>
      <c r="AD35" s="55">
        <f t="shared" si="23"/>
        <v>4.6646197449220599E-3</v>
      </c>
      <c r="AE35" s="55">
        <f t="shared" si="24"/>
        <v>5.773999854656444E-2</v>
      </c>
      <c r="AF35" s="44">
        <f t="shared" si="25"/>
        <v>0.12439364485302133</v>
      </c>
      <c r="AG35" s="44">
        <f t="shared" si="26"/>
        <v>0.18213364339958577</v>
      </c>
      <c r="AI35" s="16">
        <v>51133</v>
      </c>
      <c r="AJ35" s="16">
        <v>987</v>
      </c>
      <c r="AK35" s="16">
        <f t="shared" si="1"/>
        <v>52120</v>
      </c>
      <c r="AL35" s="16">
        <v>171173</v>
      </c>
      <c r="AM35" s="16">
        <v>3026</v>
      </c>
      <c r="AN35" s="16">
        <f t="shared" si="2"/>
        <v>174199</v>
      </c>
      <c r="AP35" s="16">
        <f t="shared" si="27"/>
        <v>226319</v>
      </c>
      <c r="AQ35" s="48">
        <f t="shared" si="31"/>
        <v>0.9</v>
      </c>
      <c r="AR35" s="16">
        <f t="shared" si="28"/>
        <v>290873.51234596071</v>
      </c>
      <c r="AS35" s="16">
        <f t="shared" si="29"/>
        <v>114665.48765403929</v>
      </c>
      <c r="AT35" s="16"/>
      <c r="AU35" s="16"/>
      <c r="AV35" s="48">
        <f t="shared" si="12"/>
        <v>0.28274836120333502</v>
      </c>
      <c r="AW35" s="16">
        <f t="shared" si="13"/>
        <v>121642.72866521563</v>
      </c>
      <c r="AX35" s="16">
        <f t="shared" si="30"/>
        <v>6977.2410111763547</v>
      </c>
      <c r="AY35" s="16">
        <f t="shared" si="14"/>
        <v>15535.043209594836</v>
      </c>
      <c r="AZ35" s="16">
        <f t="shared" si="15"/>
        <v>22155.233364862954</v>
      </c>
      <c r="BA35" s="16">
        <f t="shared" si="16"/>
        <v>89217.400000000009</v>
      </c>
      <c r="BB35" s="73"/>
      <c r="BC35" s="95">
        <v>1126</v>
      </c>
      <c r="BD35" s="94">
        <v>595</v>
      </c>
      <c r="BE35" s="94">
        <v>531</v>
      </c>
      <c r="BF35" s="94">
        <v>464</v>
      </c>
      <c r="BG35" s="94">
        <v>66</v>
      </c>
      <c r="BH35" s="94">
        <v>58</v>
      </c>
      <c r="BI35" s="94">
        <v>180</v>
      </c>
      <c r="BJ35" s="94">
        <v>160</v>
      </c>
      <c r="BK35" s="94">
        <v>662</v>
      </c>
      <c r="BL35" s="94">
        <v>350</v>
      </c>
      <c r="BM35" s="94">
        <v>312</v>
      </c>
      <c r="BN35" s="94"/>
      <c r="BO35" s="73"/>
      <c r="BP35" s="73"/>
      <c r="BQ35" s="73"/>
      <c r="BR35" s="73"/>
      <c r="BS35" s="73"/>
      <c r="BT35" s="73"/>
      <c r="BU35" s="73"/>
      <c r="BV35" s="73">
        <v>3760</v>
      </c>
      <c r="BW35" s="73">
        <v>2358</v>
      </c>
      <c r="BX35" s="72">
        <v>326</v>
      </c>
      <c r="BY35" s="72">
        <v>14</v>
      </c>
      <c r="BZ35" s="72">
        <v>0</v>
      </c>
      <c r="CA35" s="39">
        <v>2705</v>
      </c>
      <c r="CB35" s="39">
        <v>3045</v>
      </c>
      <c r="CC35" s="39"/>
      <c r="CD35" s="39">
        <v>2155</v>
      </c>
      <c r="CE35" s="39">
        <v>97</v>
      </c>
      <c r="CF35" s="217">
        <v>4369</v>
      </c>
      <c r="CG35" s="39">
        <v>97</v>
      </c>
      <c r="CH35" s="39"/>
      <c r="CI35" s="39"/>
      <c r="CJ35" s="39"/>
      <c r="CK35" s="39"/>
      <c r="CL35" s="39"/>
      <c r="CN35" s="42">
        <v>4164</v>
      </c>
      <c r="CO35" s="42">
        <v>212</v>
      </c>
      <c r="CP35" s="234">
        <f t="shared" si="32"/>
        <v>4.8446069469835464E-2</v>
      </c>
      <c r="CQ35">
        <f t="shared" si="7"/>
        <v>4376</v>
      </c>
      <c r="CU35" s="16">
        <v>19763</v>
      </c>
      <c r="CV35" s="16">
        <f t="shared" si="6"/>
        <v>18054</v>
      </c>
      <c r="CW35" s="16">
        <v>1709</v>
      </c>
      <c r="CX35" s="229">
        <v>21472</v>
      </c>
      <c r="CY35" s="16">
        <v>12516</v>
      </c>
      <c r="CZ35">
        <v>5346</v>
      </c>
      <c r="DA35">
        <v>7170</v>
      </c>
      <c r="DC35" s="86">
        <v>2510</v>
      </c>
      <c r="DD35" s="81">
        <v>96</v>
      </c>
      <c r="DE35" s="86">
        <v>1908</v>
      </c>
      <c r="DF35" s="81">
        <v>116</v>
      </c>
      <c r="DG35" s="87">
        <v>4418</v>
      </c>
      <c r="DH35" s="82">
        <v>212</v>
      </c>
      <c r="DI35" s="88">
        <v>4630</v>
      </c>
      <c r="DJ35" s="84">
        <v>0.19900000000000001</v>
      </c>
      <c r="DK35" s="231">
        <v>3305</v>
      </c>
      <c r="DL35" s="231">
        <v>1192</v>
      </c>
      <c r="DM35" s="231">
        <f t="shared" si="5"/>
        <v>8262.5</v>
      </c>
      <c r="DN35" s="231">
        <f t="shared" si="4"/>
        <v>2980</v>
      </c>
      <c r="DO35" s="84"/>
      <c r="DP35" s="84"/>
      <c r="DQ35" s="78"/>
    </row>
    <row r="36" spans="1:121" x14ac:dyDescent="0.3">
      <c r="A36">
        <v>2002</v>
      </c>
      <c r="B36" s="39">
        <v>335214</v>
      </c>
      <c r="C36" s="59">
        <v>10070</v>
      </c>
      <c r="D36" s="59">
        <v>16268</v>
      </c>
      <c r="E36" s="58">
        <v>81</v>
      </c>
      <c r="F36" s="41"/>
      <c r="G36" s="46">
        <v>26419</v>
      </c>
      <c r="H36" s="51">
        <f t="shared" si="17"/>
        <v>3.0040511434486626E-2</v>
      </c>
      <c r="I36" s="51">
        <f t="shared" si="8"/>
        <v>4.8530192653051481E-2</v>
      </c>
      <c r="J36" s="51">
        <f t="shared" si="9"/>
        <v>2.4163668581861139E-4</v>
      </c>
      <c r="K36" s="51">
        <f t="shared" si="10"/>
        <v>0</v>
      </c>
      <c r="L36" s="51">
        <f t="shared" si="11"/>
        <v>7.8812340773356721E-2</v>
      </c>
      <c r="M36" s="39">
        <v>308795</v>
      </c>
      <c r="N36" s="16">
        <v>268813</v>
      </c>
      <c r="O36" s="16">
        <v>6477</v>
      </c>
      <c r="P36" s="16">
        <f t="shared" si="0"/>
        <v>275290</v>
      </c>
      <c r="Q36" s="47">
        <v>1716</v>
      </c>
      <c r="R36" s="40">
        <v>48</v>
      </c>
      <c r="S36" s="45">
        <v>24209</v>
      </c>
      <c r="T36" s="45">
        <v>9208</v>
      </c>
      <c r="U36" s="46">
        <v>35181</v>
      </c>
      <c r="V36" s="39">
        <v>273614</v>
      </c>
      <c r="W36" s="44">
        <v>0.82</v>
      </c>
      <c r="X36" s="44"/>
      <c r="Y36" s="55">
        <f t="shared" si="18"/>
        <v>5.1191179366016932E-3</v>
      </c>
      <c r="Z36" s="55">
        <f t="shared" si="19"/>
        <v>9.9831749270615194E-2</v>
      </c>
      <c r="AA36" s="44">
        <f t="shared" si="20"/>
        <v>0.12779614224999092</v>
      </c>
      <c r="AB36" s="44">
        <f t="shared" si="21"/>
        <v>0.10495086720721689</v>
      </c>
      <c r="AC36" s="55">
        <f t="shared" si="22"/>
        <v>5.3890947275471786E-2</v>
      </c>
      <c r="AD36" s="55">
        <f t="shared" si="23"/>
        <v>3.0040511434486626E-2</v>
      </c>
      <c r="AE36" s="55">
        <f t="shared" si="24"/>
        <v>8.3931458709958412E-2</v>
      </c>
      <c r="AF36" s="44">
        <f t="shared" si="25"/>
        <v>9.9831749270615194E-2</v>
      </c>
      <c r="AG36" s="44">
        <f t="shared" si="26"/>
        <v>0.18376320798057361</v>
      </c>
      <c r="AI36" s="16">
        <v>34066</v>
      </c>
      <c r="AJ36" s="16">
        <v>196</v>
      </c>
      <c r="AK36" s="16">
        <f t="shared" si="1"/>
        <v>34262</v>
      </c>
      <c r="AL36" s="16">
        <v>85207</v>
      </c>
      <c r="AM36" s="16">
        <v>1826</v>
      </c>
      <c r="AN36" s="16">
        <f t="shared" si="2"/>
        <v>87033</v>
      </c>
      <c r="AP36" s="16">
        <f t="shared" si="27"/>
        <v>121295</v>
      </c>
      <c r="AQ36" s="48">
        <f t="shared" si="31"/>
        <v>0.9</v>
      </c>
      <c r="AR36" s="16">
        <f t="shared" si="28"/>
        <v>154519.17693862188</v>
      </c>
      <c r="AS36" s="16">
        <f t="shared" si="29"/>
        <v>120770.82306137812</v>
      </c>
      <c r="AT36" s="16"/>
      <c r="AU36" s="16"/>
      <c r="AV36" s="48">
        <f t="shared" si="12"/>
        <v>0.43870399600921978</v>
      </c>
      <c r="AW36" s="16">
        <f t="shared" si="13"/>
        <v>131103.38794895256</v>
      </c>
      <c r="AX36" s="16">
        <f t="shared" si="30"/>
        <v>10332.564887574437</v>
      </c>
      <c r="AY36" s="16">
        <f t="shared" si="14"/>
        <v>15434.045283600362</v>
      </c>
      <c r="AZ36" s="16">
        <f t="shared" si="15"/>
        <v>24091.979146621197</v>
      </c>
      <c r="BA36" s="16">
        <f t="shared" si="16"/>
        <v>94803.099999999977</v>
      </c>
      <c r="BB36" s="73"/>
      <c r="BC36" s="95">
        <v>2330</v>
      </c>
      <c r="BD36" s="95">
        <v>1143</v>
      </c>
      <c r="BE36" s="95">
        <v>1187</v>
      </c>
      <c r="BF36" s="94">
        <v>568</v>
      </c>
      <c r="BG36" s="94">
        <v>76</v>
      </c>
      <c r="BH36" s="94">
        <v>78</v>
      </c>
      <c r="BI36" s="94">
        <v>203</v>
      </c>
      <c r="BJ36" s="94">
        <v>211</v>
      </c>
      <c r="BK36" s="95">
        <v>1762</v>
      </c>
      <c r="BL36" s="94">
        <v>864</v>
      </c>
      <c r="BM36" s="94">
        <v>898</v>
      </c>
      <c r="BN36" s="94"/>
      <c r="BO36" s="73"/>
      <c r="BP36" s="73"/>
      <c r="BQ36" s="73"/>
      <c r="BR36" s="73"/>
      <c r="BS36" s="73"/>
      <c r="BT36" s="73"/>
      <c r="BU36" s="73"/>
      <c r="BV36" s="73">
        <v>4678</v>
      </c>
      <c r="BW36" s="73">
        <v>4391</v>
      </c>
      <c r="BX36" s="72">
        <v>170</v>
      </c>
      <c r="BY36" s="72">
        <v>5</v>
      </c>
      <c r="BZ36" s="72">
        <v>0</v>
      </c>
      <c r="CA36" s="39">
        <v>2252</v>
      </c>
      <c r="CB36" s="39">
        <v>2427</v>
      </c>
      <c r="CC36" s="39"/>
      <c r="CD36" s="39">
        <v>1388</v>
      </c>
      <c r="CE36" s="39">
        <v>51</v>
      </c>
      <c r="CF36" s="217">
        <v>6840</v>
      </c>
      <c r="CG36" s="39">
        <v>51</v>
      </c>
      <c r="CH36" s="39"/>
      <c r="CI36" s="39"/>
      <c r="CJ36" s="39"/>
      <c r="CK36" s="39"/>
      <c r="CL36" s="39"/>
      <c r="CN36" s="42">
        <v>4785</v>
      </c>
      <c r="CO36" s="42">
        <v>276</v>
      </c>
      <c r="CP36" s="234">
        <f t="shared" si="32"/>
        <v>5.4534676941315946E-2</v>
      </c>
      <c r="CQ36">
        <f t="shared" si="7"/>
        <v>5061</v>
      </c>
      <c r="CU36" s="16">
        <v>14054</v>
      </c>
      <c r="CV36" s="16">
        <f t="shared" si="6"/>
        <v>13337</v>
      </c>
      <c r="CW36" s="16">
        <v>717</v>
      </c>
      <c r="CX36" s="229">
        <v>14771</v>
      </c>
      <c r="CY36" s="16">
        <v>8922</v>
      </c>
      <c r="CZ36">
        <v>2538</v>
      </c>
      <c r="DA36">
        <v>6384</v>
      </c>
      <c r="DC36" s="86">
        <v>2507</v>
      </c>
      <c r="DD36" s="81">
        <v>73</v>
      </c>
      <c r="DE36" s="89">
        <v>523</v>
      </c>
      <c r="DF36" s="81">
        <v>5</v>
      </c>
      <c r="DG36" s="87">
        <v>3030</v>
      </c>
      <c r="DH36" s="82">
        <v>78</v>
      </c>
      <c r="DI36" s="88">
        <v>3108</v>
      </c>
      <c r="DJ36" s="84">
        <v>0.20599999999999999</v>
      </c>
      <c r="DK36" s="231">
        <v>2826</v>
      </c>
      <c r="DL36" s="230">
        <v>943</v>
      </c>
      <c r="DM36" s="231">
        <f t="shared" si="5"/>
        <v>7065</v>
      </c>
      <c r="DN36" s="231">
        <f t="shared" si="4"/>
        <v>2357.5</v>
      </c>
      <c r="DO36" s="84"/>
      <c r="DP36" s="84"/>
      <c r="DQ36" s="78"/>
    </row>
    <row r="37" spans="1:121" x14ac:dyDescent="0.3">
      <c r="A37">
        <v>2003</v>
      </c>
      <c r="B37" s="39">
        <v>242605</v>
      </c>
      <c r="C37" s="59">
        <v>3161</v>
      </c>
      <c r="D37" s="59">
        <v>9611</v>
      </c>
      <c r="E37" s="58">
        <v>332</v>
      </c>
      <c r="F37" s="41"/>
      <c r="G37" s="46">
        <v>13104</v>
      </c>
      <c r="H37" s="51">
        <f t="shared" si="17"/>
        <v>1.3029409946208858E-2</v>
      </c>
      <c r="I37" s="51">
        <f t="shared" si="8"/>
        <v>3.9615836441952969E-2</v>
      </c>
      <c r="J37" s="51">
        <f t="shared" si="9"/>
        <v>1.3684796273778365E-3</v>
      </c>
      <c r="K37" s="51">
        <f t="shared" si="10"/>
        <v>0</v>
      </c>
      <c r="L37" s="51">
        <f t="shared" si="11"/>
        <v>5.4013726015539665E-2</v>
      </c>
      <c r="M37" s="39">
        <v>229501</v>
      </c>
      <c r="N37" s="16">
        <v>192010</v>
      </c>
      <c r="O37" s="16">
        <v>14258</v>
      </c>
      <c r="P37" s="16">
        <f t="shared" ref="P37:P51" si="33">O37+N37</f>
        <v>206268</v>
      </c>
      <c r="Q37" s="47">
        <v>1860</v>
      </c>
      <c r="R37" s="40">
        <v>857</v>
      </c>
      <c r="S37" s="45">
        <v>8348</v>
      </c>
      <c r="T37" s="45">
        <v>9090</v>
      </c>
      <c r="U37" s="46">
        <v>20155</v>
      </c>
      <c r="V37" s="39">
        <v>209346</v>
      </c>
      <c r="W37" s="44">
        <v>0.86</v>
      </c>
      <c r="X37" s="44"/>
      <c r="Y37" s="55">
        <f t="shared" si="18"/>
        <v>7.6667834545866738E-3</v>
      </c>
      <c r="Z37" s="55">
        <f t="shared" si="19"/>
        <v>7.5410646936378056E-2</v>
      </c>
      <c r="AA37" s="44">
        <f t="shared" si="20"/>
        <v>9.7712684468749395E-2</v>
      </c>
      <c r="AB37" s="44">
        <f t="shared" si="21"/>
        <v>8.307743039096474E-2</v>
      </c>
      <c r="AC37" s="55">
        <f t="shared" si="22"/>
        <v>4.8651099523917482E-2</v>
      </c>
      <c r="AD37" s="55">
        <f t="shared" si="23"/>
        <v>1.3029409946208858E-2</v>
      </c>
      <c r="AE37" s="55">
        <f t="shared" si="24"/>
        <v>6.1680509470126335E-2</v>
      </c>
      <c r="AF37" s="44">
        <f t="shared" si="25"/>
        <v>7.5410646936378056E-2</v>
      </c>
      <c r="AG37" s="44">
        <f t="shared" si="26"/>
        <v>0.13709115640650438</v>
      </c>
      <c r="AI37" s="16">
        <v>17441</v>
      </c>
      <c r="AJ37" s="16">
        <v>663</v>
      </c>
      <c r="AK37" s="16">
        <f t="shared" si="1"/>
        <v>18104</v>
      </c>
      <c r="AL37" s="16">
        <v>78170</v>
      </c>
      <c r="AM37" s="16">
        <v>8020</v>
      </c>
      <c r="AN37" s="16">
        <f t="shared" si="2"/>
        <v>86190</v>
      </c>
      <c r="AP37" s="16">
        <f t="shared" si="27"/>
        <v>104294</v>
      </c>
      <c r="AQ37" s="48">
        <f t="shared" si="31"/>
        <v>0.9</v>
      </c>
      <c r="AR37" s="16">
        <f t="shared" si="28"/>
        <v>128431.62064623821</v>
      </c>
      <c r="AS37" s="16">
        <f t="shared" si="29"/>
        <v>77836.379353761789</v>
      </c>
      <c r="AT37" s="16"/>
      <c r="AU37" s="16"/>
      <c r="AV37" s="48">
        <f t="shared" si="12"/>
        <v>0.37735557310761625</v>
      </c>
      <c r="AW37" s="16">
        <f t="shared" si="13"/>
        <v>82280.66462943246</v>
      </c>
      <c r="AX37" s="16">
        <f t="shared" si="30"/>
        <v>4444.2852756706707</v>
      </c>
      <c r="AY37" s="16">
        <f t="shared" si="14"/>
        <v>7605.6015759840056</v>
      </c>
      <c r="AZ37" s="16">
        <f t="shared" si="15"/>
        <v>11279.951463944659</v>
      </c>
      <c r="BA37" s="16">
        <f t="shared" si="16"/>
        <v>63207.700000000004</v>
      </c>
      <c r="BB37" s="73"/>
      <c r="BC37" s="95">
        <v>3892</v>
      </c>
      <c r="BD37" s="95">
        <v>1895</v>
      </c>
      <c r="BE37" s="95">
        <v>1997</v>
      </c>
      <c r="BF37" s="95">
        <v>1666</v>
      </c>
      <c r="BG37" s="94">
        <v>333</v>
      </c>
      <c r="BH37" s="94">
        <v>350</v>
      </c>
      <c r="BI37" s="94">
        <v>479</v>
      </c>
      <c r="BJ37" s="94">
        <v>504</v>
      </c>
      <c r="BK37" s="95">
        <v>2226</v>
      </c>
      <c r="BL37" s="95">
        <v>1084</v>
      </c>
      <c r="BM37" s="95">
        <v>1142</v>
      </c>
      <c r="BN37" s="95"/>
      <c r="BO37" s="73"/>
      <c r="BP37" s="73"/>
      <c r="BQ37" s="73"/>
      <c r="BR37" s="73"/>
      <c r="BS37" s="73"/>
      <c r="BT37" s="73"/>
      <c r="BU37" s="73"/>
      <c r="BV37" s="73">
        <v>3503</v>
      </c>
      <c r="BW37" s="73">
        <v>3476</v>
      </c>
      <c r="BX37" s="72">
        <v>184</v>
      </c>
      <c r="BY37" s="72">
        <v>3</v>
      </c>
      <c r="BZ37" s="72">
        <v>0</v>
      </c>
      <c r="CA37" s="39">
        <v>1440</v>
      </c>
      <c r="CB37" s="39">
        <v>1627</v>
      </c>
      <c r="CC37" s="39"/>
      <c r="CD37" s="39">
        <v>1280</v>
      </c>
      <c r="CE37" s="39">
        <v>120</v>
      </c>
      <c r="CF37" s="217">
        <v>5906</v>
      </c>
      <c r="CG37" s="39">
        <v>117</v>
      </c>
      <c r="CH37" s="39"/>
      <c r="CI37" s="39"/>
      <c r="CJ37" s="39"/>
      <c r="CK37" s="39"/>
      <c r="CL37" s="39"/>
      <c r="CN37" s="77"/>
      <c r="CO37" s="77"/>
      <c r="CP37" s="77"/>
      <c r="CQ37">
        <v>3600</v>
      </c>
      <c r="CU37" s="16">
        <v>4999</v>
      </c>
      <c r="CV37" s="16">
        <f t="shared" si="6"/>
        <v>3100</v>
      </c>
      <c r="CW37" s="16">
        <v>1899</v>
      </c>
      <c r="CX37" s="229">
        <v>6898</v>
      </c>
      <c r="CY37" s="16">
        <v>3842</v>
      </c>
      <c r="CZ37">
        <v>1558</v>
      </c>
      <c r="DA37">
        <v>2284</v>
      </c>
      <c r="DC37" s="82">
        <v>352</v>
      </c>
      <c r="DD37" s="81">
        <v>88</v>
      </c>
      <c r="DE37" s="82">
        <v>0</v>
      </c>
      <c r="DF37" s="81">
        <v>0</v>
      </c>
      <c r="DG37" s="83">
        <v>352</v>
      </c>
      <c r="DH37" s="82">
        <v>88</v>
      </c>
      <c r="DI37" s="81">
        <v>440</v>
      </c>
      <c r="DJ37" s="84">
        <v>6.3E-2</v>
      </c>
      <c r="DK37" s="230">
        <v>890</v>
      </c>
      <c r="DL37" s="230">
        <v>935</v>
      </c>
      <c r="DM37" s="231">
        <f t="shared" si="5"/>
        <v>2225</v>
      </c>
      <c r="DN37" s="231">
        <f t="shared" si="4"/>
        <v>2337.5</v>
      </c>
      <c r="DO37" s="84"/>
      <c r="DP37" s="84"/>
      <c r="DQ37" s="78"/>
    </row>
    <row r="38" spans="1:121" x14ac:dyDescent="0.3">
      <c r="A38">
        <v>2004</v>
      </c>
      <c r="B38" s="39">
        <v>221675</v>
      </c>
      <c r="C38" s="59">
        <v>6223</v>
      </c>
      <c r="D38" s="59">
        <v>17146</v>
      </c>
      <c r="E38" s="58">
        <v>9</v>
      </c>
      <c r="F38" s="41"/>
      <c r="G38" s="46">
        <v>23379</v>
      </c>
      <c r="H38" s="51">
        <f t="shared" si="17"/>
        <v>2.8072628848539529E-2</v>
      </c>
      <c r="I38" s="51">
        <f t="shared" si="8"/>
        <v>7.7347468140295472E-2</v>
      </c>
      <c r="J38" s="51">
        <f t="shared" si="9"/>
        <v>4.0599977444456973E-5</v>
      </c>
      <c r="K38" s="51">
        <f t="shared" si="10"/>
        <v>0</v>
      </c>
      <c r="L38" s="51">
        <f t="shared" si="11"/>
        <v>0.10546520807488441</v>
      </c>
      <c r="M38" s="39">
        <v>198296</v>
      </c>
      <c r="N38" s="16">
        <v>170152</v>
      </c>
      <c r="O38" s="16">
        <v>8885</v>
      </c>
      <c r="P38" s="16">
        <f t="shared" si="33"/>
        <v>179037</v>
      </c>
      <c r="Q38" s="47">
        <v>1596</v>
      </c>
      <c r="R38" s="40">
        <v>2</v>
      </c>
      <c r="S38" s="45">
        <v>8368</v>
      </c>
      <c r="T38" s="45">
        <v>9114</v>
      </c>
      <c r="U38" s="46">
        <v>19080</v>
      </c>
      <c r="V38" s="39">
        <v>179216</v>
      </c>
      <c r="W38" s="44">
        <v>0.81</v>
      </c>
      <c r="X38" s="44"/>
      <c r="Y38" s="55">
        <f t="shared" si="18"/>
        <v>7.1997293334837035E-3</v>
      </c>
      <c r="Z38" s="55">
        <f t="shared" si="19"/>
        <v>7.8872222848765078E-2</v>
      </c>
      <c r="AA38" s="44">
        <f t="shared" si="20"/>
        <v>0.10657015030412707</v>
      </c>
      <c r="AB38" s="44">
        <f t="shared" si="21"/>
        <v>8.6071952182248793E-2</v>
      </c>
      <c r="AC38" s="55">
        <f t="shared" si="22"/>
        <v>8.4587797451223634E-2</v>
      </c>
      <c r="AD38" s="55">
        <f t="shared" si="23"/>
        <v>2.8072628848539529E-2</v>
      </c>
      <c r="AE38" s="55">
        <f t="shared" si="24"/>
        <v>0.11266042629976317</v>
      </c>
      <c r="AF38" s="44">
        <f t="shared" si="25"/>
        <v>7.8872222848765078E-2</v>
      </c>
      <c r="AG38" s="44">
        <f t="shared" si="26"/>
        <v>0.19153264914852824</v>
      </c>
      <c r="AI38" s="16">
        <v>13521</v>
      </c>
      <c r="AJ38" s="16">
        <v>1020</v>
      </c>
      <c r="AK38" s="16">
        <f t="shared" si="1"/>
        <v>14541</v>
      </c>
      <c r="AL38" s="16">
        <v>76806</v>
      </c>
      <c r="AM38" s="16">
        <v>4646</v>
      </c>
      <c r="AN38" s="16">
        <f t="shared" si="2"/>
        <v>81452</v>
      </c>
      <c r="AP38" s="16">
        <f t="shared" si="27"/>
        <v>95993</v>
      </c>
      <c r="AQ38" s="48">
        <f t="shared" si="31"/>
        <v>0.9</v>
      </c>
      <c r="AR38" s="16">
        <f t="shared" si="28"/>
        <v>119381.38055852511</v>
      </c>
      <c r="AS38" s="16">
        <f t="shared" si="29"/>
        <v>59655.61944147489</v>
      </c>
      <c r="AT38" s="16"/>
      <c r="AU38" s="16"/>
      <c r="AV38" s="48">
        <f t="shared" si="12"/>
        <v>0.3332027426815401</v>
      </c>
      <c r="AW38" s="16">
        <f t="shared" si="13"/>
        <v>66688.987370844319</v>
      </c>
      <c r="AX38" s="16">
        <f t="shared" si="30"/>
        <v>7033.3679293694349</v>
      </c>
      <c r="AY38" s="16">
        <f t="shared" si="14"/>
        <v>6357.5083303637839</v>
      </c>
      <c r="AZ38" s="16">
        <f t="shared" si="15"/>
        <v>12773.118420170556</v>
      </c>
      <c r="BA38" s="16">
        <f t="shared" si="16"/>
        <v>47968.3</v>
      </c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42">
        <v>817</v>
      </c>
      <c r="BN38" s="73"/>
      <c r="BO38" s="73"/>
      <c r="BP38" s="73"/>
      <c r="BQ38" s="73"/>
      <c r="BR38" s="73"/>
      <c r="BS38" s="73"/>
      <c r="BT38" s="73"/>
      <c r="BU38" s="73"/>
      <c r="BV38" s="73">
        <v>589</v>
      </c>
      <c r="BW38" s="73">
        <v>355</v>
      </c>
      <c r="BX38" s="72">
        <v>7</v>
      </c>
      <c r="BY38" s="72">
        <v>0</v>
      </c>
      <c r="BZ38" s="72">
        <v>0</v>
      </c>
      <c r="CA38" s="39">
        <v>1519</v>
      </c>
      <c r="CB38" s="39">
        <v>1566</v>
      </c>
      <c r="CC38" s="39"/>
      <c r="CD38" s="39">
        <v>2350</v>
      </c>
      <c r="CE38" s="39">
        <v>78</v>
      </c>
      <c r="CF38" s="217">
        <v>3436</v>
      </c>
      <c r="CG38" s="39">
        <v>108</v>
      </c>
      <c r="CH38" s="39"/>
      <c r="CI38" s="39"/>
      <c r="CJ38" s="39"/>
      <c r="CK38" s="39"/>
      <c r="CL38" s="39"/>
      <c r="CN38" s="77"/>
      <c r="CO38" s="77"/>
      <c r="CP38" s="77"/>
      <c r="CQ38">
        <v>3000</v>
      </c>
      <c r="CU38" s="16">
        <v>14413</v>
      </c>
      <c r="CV38" s="16">
        <f t="shared" si="6"/>
        <v>13672</v>
      </c>
      <c r="CW38" s="16">
        <v>741</v>
      </c>
      <c r="DC38" s="78"/>
      <c r="DD38" s="78"/>
      <c r="DE38" s="78"/>
      <c r="DF38" s="78"/>
      <c r="DG38" s="78"/>
      <c r="DH38" s="78"/>
      <c r="DI38" s="78"/>
      <c r="DJ38" s="78"/>
      <c r="DK38" s="231">
        <v>3444</v>
      </c>
      <c r="DL38" s="230">
        <v>719</v>
      </c>
      <c r="DM38" s="231">
        <f t="shared" si="5"/>
        <v>8610</v>
      </c>
      <c r="DN38" s="231">
        <f t="shared" si="4"/>
        <v>1797.5</v>
      </c>
      <c r="DO38" s="78"/>
      <c r="DP38" s="78"/>
      <c r="DQ38" s="78"/>
    </row>
    <row r="39" spans="1:121" x14ac:dyDescent="0.3">
      <c r="A39">
        <v>2005</v>
      </c>
      <c r="B39" s="39">
        <v>106900</v>
      </c>
      <c r="C39" s="59">
        <v>2267</v>
      </c>
      <c r="D39" s="59">
        <v>7224</v>
      </c>
      <c r="E39" s="58">
        <v>22</v>
      </c>
      <c r="F39" s="41"/>
      <c r="G39" s="46">
        <v>9513</v>
      </c>
      <c r="H39" s="51">
        <f t="shared" si="17"/>
        <v>2.1206735266604302E-2</v>
      </c>
      <c r="I39" s="51">
        <f t="shared" si="8"/>
        <v>6.7577174929840972E-2</v>
      </c>
      <c r="J39" s="51">
        <f t="shared" si="9"/>
        <v>2.0579981290926098E-4</v>
      </c>
      <c r="K39" s="51">
        <f t="shared" si="10"/>
        <v>0</v>
      </c>
      <c r="L39" s="51">
        <f t="shared" si="11"/>
        <v>8.8989710009354531E-2</v>
      </c>
      <c r="M39" s="39">
        <v>97387</v>
      </c>
      <c r="N39" s="16">
        <v>74038</v>
      </c>
      <c r="O39" s="16">
        <v>4288</v>
      </c>
      <c r="P39" s="16">
        <f t="shared" si="33"/>
        <v>78326</v>
      </c>
      <c r="Q39" s="43">
        <v>464</v>
      </c>
      <c r="R39" s="40">
        <v>1</v>
      </c>
      <c r="S39" s="40">
        <v>0</v>
      </c>
      <c r="T39" s="45">
        <v>6163</v>
      </c>
      <c r="U39" s="46">
        <v>6628</v>
      </c>
      <c r="V39" s="39">
        <v>90759</v>
      </c>
      <c r="W39" s="44">
        <v>0.85</v>
      </c>
      <c r="X39" s="44"/>
      <c r="Y39" s="55">
        <f t="shared" si="18"/>
        <v>4.3405051449953228E-3</v>
      </c>
      <c r="Z39" s="55">
        <f t="shared" si="19"/>
        <v>5.7661365762394765E-2</v>
      </c>
      <c r="AA39" s="44">
        <f t="shared" si="20"/>
        <v>8.4620687894185836E-2</v>
      </c>
      <c r="AB39" s="44">
        <f t="shared" si="21"/>
        <v>6.2001870907390087E-2</v>
      </c>
      <c r="AC39" s="55">
        <f t="shared" si="22"/>
        <v>7.2123479887745562E-2</v>
      </c>
      <c r="AD39" s="55">
        <f t="shared" si="23"/>
        <v>2.1206735266604302E-2</v>
      </c>
      <c r="AE39" s="55">
        <f t="shared" si="24"/>
        <v>9.333021515434986E-2</v>
      </c>
      <c r="AF39" s="44">
        <f t="shared" si="25"/>
        <v>5.7661365762394765E-2</v>
      </c>
      <c r="AG39" s="44">
        <f t="shared" si="26"/>
        <v>0.15099158091674464</v>
      </c>
      <c r="AI39" s="16">
        <v>14148</v>
      </c>
      <c r="AJ39" s="16">
        <v>515</v>
      </c>
      <c r="AK39" s="16">
        <f t="shared" si="1"/>
        <v>14663</v>
      </c>
      <c r="AL39" s="16">
        <v>28039</v>
      </c>
      <c r="AM39" s="16">
        <v>1267</v>
      </c>
      <c r="AN39" s="16">
        <f t="shared" si="2"/>
        <v>29306</v>
      </c>
      <c r="AP39" s="16">
        <f t="shared" si="27"/>
        <v>43969</v>
      </c>
      <c r="AQ39" s="48">
        <f t="shared" si="31"/>
        <v>0.9</v>
      </c>
      <c r="AR39" s="16">
        <f t="shared" si="28"/>
        <v>53370.710697028582</v>
      </c>
      <c r="AS39" s="16">
        <f t="shared" si="29"/>
        <v>24955.289302971418</v>
      </c>
      <c r="AT39" s="16"/>
      <c r="AU39" s="16"/>
      <c r="AV39" s="48">
        <f t="shared" si="12"/>
        <v>0.31860798844536192</v>
      </c>
      <c r="AW39" s="16">
        <f t="shared" si="13"/>
        <v>27392.982908269529</v>
      </c>
      <c r="AX39" s="16">
        <f t="shared" si="30"/>
        <v>2437.6936052981105</v>
      </c>
      <c r="AY39" s="16">
        <f t="shared" si="14"/>
        <v>2111.7337474158589</v>
      </c>
      <c r="AZ39" s="16">
        <f t="shared" si="15"/>
        <v>4136.1097953449816</v>
      </c>
      <c r="BA39" s="16">
        <f t="shared" si="16"/>
        <v>20559.200000000004</v>
      </c>
      <c r="BM39" s="94">
        <v>125</v>
      </c>
      <c r="BV39" s="73">
        <v>1715</v>
      </c>
      <c r="BW39" s="73">
        <v>1497</v>
      </c>
      <c r="CD39" s="39">
        <v>677</v>
      </c>
      <c r="CE39">
        <v>30</v>
      </c>
      <c r="CF39" s="217">
        <v>962</v>
      </c>
      <c r="CG39" s="39">
        <v>201</v>
      </c>
      <c r="CN39" s="77"/>
      <c r="CO39" s="77"/>
      <c r="CP39" s="77"/>
      <c r="CQ39">
        <v>2000</v>
      </c>
      <c r="CU39" s="16">
        <v>7882</v>
      </c>
      <c r="CV39" s="16">
        <f t="shared" si="6"/>
        <v>7357</v>
      </c>
      <c r="CW39" s="16">
        <v>525</v>
      </c>
      <c r="DC39" s="78"/>
      <c r="DD39" s="78"/>
      <c r="DE39" s="78"/>
      <c r="DF39" s="78"/>
      <c r="DG39" s="78"/>
      <c r="DH39" s="78"/>
      <c r="DI39" s="78"/>
      <c r="DJ39" s="78"/>
      <c r="DK39" s="231">
        <v>2019</v>
      </c>
      <c r="DL39" s="230">
        <v>574</v>
      </c>
      <c r="DM39" s="231">
        <f t="shared" si="5"/>
        <v>5047.5</v>
      </c>
      <c r="DN39" s="231">
        <f t="shared" si="4"/>
        <v>1435</v>
      </c>
      <c r="DO39" s="78"/>
      <c r="DP39" s="78"/>
    </row>
    <row r="40" spans="1:121" x14ac:dyDescent="0.3">
      <c r="A40">
        <v>2006</v>
      </c>
      <c r="B40" s="39">
        <v>132583</v>
      </c>
      <c r="C40" s="59">
        <v>2222</v>
      </c>
      <c r="D40" s="59">
        <v>4187</v>
      </c>
      <c r="E40" s="58">
        <v>17</v>
      </c>
      <c r="F40" s="41"/>
      <c r="G40" s="46">
        <v>6425</v>
      </c>
      <c r="H40" s="51">
        <f t="shared" si="17"/>
        <v>1.6759313034099395E-2</v>
      </c>
      <c r="I40" s="51">
        <f t="shared" si="8"/>
        <v>3.1580217674965869E-2</v>
      </c>
      <c r="J40" s="51">
        <f t="shared" si="9"/>
        <v>1.2822156686754713E-4</v>
      </c>
      <c r="K40" s="51">
        <f t="shared" si="10"/>
        <v>0</v>
      </c>
      <c r="L40" s="51">
        <f t="shared" si="11"/>
        <v>4.8460209830822956E-2</v>
      </c>
      <c r="M40" s="39">
        <v>126158</v>
      </c>
      <c r="N40" s="16">
        <v>96456</v>
      </c>
      <c r="O40" s="16">
        <v>2908</v>
      </c>
      <c r="P40" s="16">
        <f t="shared" si="33"/>
        <v>99364</v>
      </c>
      <c r="Q40" s="47">
        <v>1362</v>
      </c>
      <c r="R40" s="40">
        <v>0</v>
      </c>
      <c r="S40" s="40">
        <v>0</v>
      </c>
      <c r="T40" s="45">
        <v>8401</v>
      </c>
      <c r="U40" s="46">
        <v>9763</v>
      </c>
      <c r="V40" s="39">
        <v>116395</v>
      </c>
      <c r="W40" s="44">
        <v>0.88</v>
      </c>
      <c r="X40" s="44"/>
      <c r="Y40" s="55">
        <f t="shared" si="18"/>
        <v>1.0272810239623481E-2</v>
      </c>
      <c r="Z40" s="55">
        <f t="shared" si="19"/>
        <v>6.336408136789784E-2</v>
      </c>
      <c r="AA40" s="44">
        <f t="shared" si="20"/>
        <v>9.8254901171450429E-2</v>
      </c>
      <c r="AB40" s="44">
        <f t="shared" si="21"/>
        <v>7.3636891607521321E-2</v>
      </c>
      <c r="AC40" s="55">
        <f t="shared" si="22"/>
        <v>4.19812494814569E-2</v>
      </c>
      <c r="AD40" s="55">
        <f t="shared" si="23"/>
        <v>1.6759313034099395E-2</v>
      </c>
      <c r="AE40" s="55">
        <f t="shared" si="24"/>
        <v>5.8740562515556295E-2</v>
      </c>
      <c r="AF40" s="44">
        <f t="shared" si="25"/>
        <v>6.336408136789784E-2</v>
      </c>
      <c r="AG40" s="44">
        <f t="shared" si="26"/>
        <v>0.12210464388345413</v>
      </c>
      <c r="AI40" s="16">
        <v>8535</v>
      </c>
      <c r="AJ40" s="16">
        <v>81</v>
      </c>
      <c r="AK40" s="16">
        <f t="shared" si="1"/>
        <v>8616</v>
      </c>
      <c r="AL40" s="16">
        <v>25434</v>
      </c>
      <c r="AM40" s="16">
        <v>875</v>
      </c>
      <c r="AN40" s="16">
        <f t="shared" si="2"/>
        <v>26309</v>
      </c>
      <c r="AP40" s="16">
        <f t="shared" si="27"/>
        <v>34925</v>
      </c>
      <c r="AQ40" s="48">
        <f t="shared" si="31"/>
        <v>0.9</v>
      </c>
      <c r="AR40" s="16">
        <f t="shared" si="28"/>
        <v>43033.841388178946</v>
      </c>
      <c r="AS40" s="16">
        <f t="shared" si="29"/>
        <v>56330.158611821054</v>
      </c>
      <c r="AT40" s="16"/>
      <c r="AU40" s="16"/>
      <c r="AV40" s="48">
        <f t="shared" si="12"/>
        <v>0.56690711537197636</v>
      </c>
      <c r="AW40" s="16">
        <f t="shared" si="13"/>
        <v>59198.952260110906</v>
      </c>
      <c r="AX40" s="16">
        <f t="shared" si="30"/>
        <v>2868.7936482898454</v>
      </c>
      <c r="AY40" s="16">
        <f t="shared" si="14"/>
        <v>5534.7141673766046</v>
      </c>
      <c r="AZ40" s="16">
        <f t="shared" si="15"/>
        <v>7228.4669839944436</v>
      </c>
      <c r="BA40" s="16">
        <f t="shared" si="16"/>
        <v>45715.900000000009</v>
      </c>
      <c r="BM40" s="94">
        <v>242</v>
      </c>
      <c r="BV40" s="73">
        <v>1800</v>
      </c>
      <c r="BW40" s="73">
        <v>1371</v>
      </c>
      <c r="CD40" s="39">
        <v>1015</v>
      </c>
      <c r="CE40">
        <v>68</v>
      </c>
      <c r="CF40" s="12">
        <v>2636</v>
      </c>
      <c r="CG40" s="39">
        <v>140</v>
      </c>
      <c r="CQ40">
        <v>4900</v>
      </c>
      <c r="CU40" s="16">
        <v>6012</v>
      </c>
      <c r="CV40" s="16">
        <f t="shared" si="6"/>
        <v>5710</v>
      </c>
      <c r="CW40" s="16">
        <v>302</v>
      </c>
      <c r="DK40" s="231">
        <v>1250</v>
      </c>
      <c r="DL40" s="230">
        <v>447</v>
      </c>
      <c r="DM40" s="231">
        <f t="shared" si="5"/>
        <v>3125</v>
      </c>
      <c r="DN40" s="231">
        <f t="shared" si="4"/>
        <v>1117.5</v>
      </c>
    </row>
    <row r="41" spans="1:121" x14ac:dyDescent="0.3">
      <c r="A41">
        <v>2007</v>
      </c>
      <c r="B41" s="39">
        <v>86247</v>
      </c>
      <c r="C41" s="59">
        <v>1483</v>
      </c>
      <c r="D41" s="59">
        <v>3927</v>
      </c>
      <c r="E41" s="58">
        <v>7</v>
      </c>
      <c r="F41" s="41"/>
      <c r="G41" s="46">
        <v>5418</v>
      </c>
      <c r="H41" s="51">
        <f t="shared" si="17"/>
        <v>1.7194800978584762E-2</v>
      </c>
      <c r="I41" s="51">
        <f t="shared" si="8"/>
        <v>4.553201850499148E-2</v>
      </c>
      <c r="J41" s="51">
        <f t="shared" si="9"/>
        <v>8.1162243324405485E-5</v>
      </c>
      <c r="K41" s="51">
        <f t="shared" si="10"/>
        <v>0</v>
      </c>
      <c r="L41" s="51">
        <f t="shared" si="11"/>
        <v>6.2819576333089849E-2</v>
      </c>
      <c r="M41" s="39">
        <v>80829</v>
      </c>
      <c r="N41" s="16">
        <v>66624</v>
      </c>
      <c r="O41" s="16">
        <v>16606</v>
      </c>
      <c r="P41" s="16">
        <f t="shared" si="33"/>
        <v>83230</v>
      </c>
      <c r="Q41" s="47">
        <v>1445</v>
      </c>
      <c r="R41" s="40">
        <v>3</v>
      </c>
      <c r="S41" s="40">
        <v>0</v>
      </c>
      <c r="T41" s="45">
        <v>5624</v>
      </c>
      <c r="U41" s="46">
        <v>7072</v>
      </c>
      <c r="V41" s="39">
        <v>73757</v>
      </c>
      <c r="W41" s="44">
        <v>0.86</v>
      </c>
      <c r="X41" s="44"/>
      <c r="Y41" s="55">
        <f t="shared" si="18"/>
        <v>1.6754205943395134E-2</v>
      </c>
      <c r="Z41" s="55">
        <f t="shared" si="19"/>
        <v>6.5242849026632813E-2</v>
      </c>
      <c r="AA41" s="44">
        <f t="shared" si="20"/>
        <v>8.496936200889102E-2</v>
      </c>
      <c r="AB41" s="44">
        <f t="shared" si="21"/>
        <v>8.1997054970027947E-2</v>
      </c>
      <c r="AC41" s="55">
        <f t="shared" si="22"/>
        <v>6.2367386691711019E-2</v>
      </c>
      <c r="AD41" s="55">
        <f t="shared" si="23"/>
        <v>1.7194800978584762E-2</v>
      </c>
      <c r="AE41" s="55">
        <f t="shared" si="24"/>
        <v>7.9562187670295784E-2</v>
      </c>
      <c r="AF41" s="44">
        <f t="shared" si="25"/>
        <v>6.5242849026632813E-2</v>
      </c>
      <c r="AG41" s="44">
        <f t="shared" si="26"/>
        <v>0.1448050366969286</v>
      </c>
      <c r="AI41" s="16">
        <v>6708</v>
      </c>
      <c r="AJ41" s="16">
        <v>489</v>
      </c>
      <c r="AK41" s="16">
        <f t="shared" si="1"/>
        <v>7197</v>
      </c>
      <c r="AL41" s="16">
        <v>28047</v>
      </c>
      <c r="AM41" s="16">
        <v>7308</v>
      </c>
      <c r="AN41" s="16">
        <f t="shared" si="2"/>
        <v>35355</v>
      </c>
      <c r="AP41" s="16">
        <f t="shared" si="27"/>
        <v>42552</v>
      </c>
      <c r="AQ41" s="48">
        <f t="shared" si="31"/>
        <v>0.9</v>
      </c>
      <c r="AR41" s="16">
        <f t="shared" si="28"/>
        <v>51670.401008429842</v>
      </c>
      <c r="AS41" s="16">
        <f t="shared" si="29"/>
        <v>31559.598991570158</v>
      </c>
      <c r="AT41" s="16"/>
      <c r="AU41" s="16"/>
      <c r="AV41" s="48">
        <f t="shared" si="12"/>
        <v>0.37918537776727329</v>
      </c>
      <c r="AW41" s="16">
        <f t="shared" si="13"/>
        <v>33675.051457100191</v>
      </c>
      <c r="AX41" s="16">
        <f t="shared" si="30"/>
        <v>2115.4524655300338</v>
      </c>
      <c r="AY41" s="16">
        <f t="shared" si="14"/>
        <v>2681.5989915701566</v>
      </c>
      <c r="AZ41" s="16">
        <f t="shared" si="15"/>
        <v>4876.3170620163519</v>
      </c>
      <c r="BA41" s="16">
        <f t="shared" si="16"/>
        <v>25990.2</v>
      </c>
      <c r="BC41">
        <v>1966</v>
      </c>
      <c r="BD41">
        <v>1553</v>
      </c>
      <c r="BE41">
        <v>413</v>
      </c>
      <c r="BV41" s="73">
        <v>1761</v>
      </c>
      <c r="BW41" s="73">
        <v>1276</v>
      </c>
      <c r="CD41" s="39">
        <v>367</v>
      </c>
      <c r="CE41">
        <v>32</v>
      </c>
      <c r="CF41" s="12">
        <v>1196</v>
      </c>
      <c r="CG41" s="39">
        <v>366</v>
      </c>
      <c r="CQ41">
        <v>2900</v>
      </c>
      <c r="CU41" s="16">
        <v>2867</v>
      </c>
      <c r="CV41" s="16">
        <f t="shared" si="6"/>
        <v>1441</v>
      </c>
      <c r="CW41" s="16">
        <v>1426</v>
      </c>
      <c r="DK41" s="230">
        <v>726</v>
      </c>
      <c r="DL41" s="230">
        <v>313</v>
      </c>
      <c r="DM41" s="231">
        <f t="shared" si="5"/>
        <v>1815</v>
      </c>
      <c r="DN41" s="231">
        <f t="shared" si="4"/>
        <v>782.5</v>
      </c>
    </row>
    <row r="42" spans="1:121" x14ac:dyDescent="0.3">
      <c r="A42">
        <v>2008</v>
      </c>
      <c r="B42" s="39">
        <v>178629</v>
      </c>
      <c r="C42" s="59">
        <v>6134</v>
      </c>
      <c r="D42" s="59">
        <v>19612</v>
      </c>
      <c r="E42" s="58">
        <v>158</v>
      </c>
      <c r="F42" s="40">
        <v>830</v>
      </c>
      <c r="G42" s="46">
        <v>26734</v>
      </c>
      <c r="H42" s="51">
        <f t="shared" si="17"/>
        <v>3.4339329000330293E-2</v>
      </c>
      <c r="I42" s="51">
        <f t="shared" si="8"/>
        <v>0.10979180312267325</v>
      </c>
      <c r="J42" s="51">
        <f t="shared" si="9"/>
        <v>8.8451483241802848E-4</v>
      </c>
      <c r="K42" s="51">
        <f t="shared" si="10"/>
        <v>4.6465019677655924E-3</v>
      </c>
      <c r="L42" s="51">
        <f t="shared" si="11"/>
        <v>0.14966214892318716</v>
      </c>
      <c r="M42" s="39">
        <v>151895</v>
      </c>
      <c r="N42" s="16">
        <v>125543</v>
      </c>
      <c r="O42" s="16">
        <v>17554</v>
      </c>
      <c r="P42" s="16">
        <f t="shared" si="33"/>
        <v>143097</v>
      </c>
      <c r="Q42" s="47">
        <v>2068</v>
      </c>
      <c r="R42" s="40">
        <v>0</v>
      </c>
      <c r="S42" s="45">
        <v>12314</v>
      </c>
      <c r="T42" s="45">
        <v>8247</v>
      </c>
      <c r="U42" s="46">
        <v>22629</v>
      </c>
      <c r="V42" s="39">
        <v>129267</v>
      </c>
      <c r="W42" s="44">
        <v>0.72</v>
      </c>
      <c r="X42" s="44"/>
      <c r="Y42" s="55">
        <f t="shared" si="18"/>
        <v>1.1577067553420778E-2</v>
      </c>
      <c r="Z42" s="55">
        <f t="shared" si="19"/>
        <v>0.11510449031232331</v>
      </c>
      <c r="AA42" s="44">
        <f t="shared" si="20"/>
        <v>0.15813748715905993</v>
      </c>
      <c r="AB42" s="44">
        <f t="shared" si="21"/>
        <v>0.12668155786574409</v>
      </c>
      <c r="AC42" s="55">
        <f t="shared" si="22"/>
        <v>0.12225338550851206</v>
      </c>
      <c r="AD42" s="55">
        <f t="shared" si="23"/>
        <v>3.4339329000330293E-2</v>
      </c>
      <c r="AE42" s="55">
        <f t="shared" si="24"/>
        <v>0.15659271450884235</v>
      </c>
      <c r="AF42" s="44">
        <f t="shared" si="25"/>
        <v>0.1197509922800889</v>
      </c>
      <c r="AG42" s="44">
        <f t="shared" si="26"/>
        <v>0.27634370678893128</v>
      </c>
      <c r="AI42" s="16">
        <v>12178</v>
      </c>
      <c r="AJ42" s="16">
        <v>620</v>
      </c>
      <c r="AK42" s="16">
        <f t="shared" si="1"/>
        <v>12798</v>
      </c>
      <c r="AL42" s="16">
        <v>53142</v>
      </c>
      <c r="AM42" s="16">
        <v>7757</v>
      </c>
      <c r="AN42" s="16">
        <f t="shared" si="2"/>
        <v>60899</v>
      </c>
      <c r="AP42" s="16">
        <f t="shared" si="27"/>
        <v>73697</v>
      </c>
      <c r="AQ42" s="48">
        <f t="shared" si="31"/>
        <v>0.9</v>
      </c>
      <c r="AR42" s="16">
        <f t="shared" si="28"/>
        <v>97267.136030591806</v>
      </c>
      <c r="AS42" s="16">
        <f t="shared" si="29"/>
        <v>45829.863969408194</v>
      </c>
      <c r="AT42" s="16"/>
      <c r="AU42" s="16"/>
      <c r="AV42" s="48">
        <f t="shared" si="12"/>
        <v>0.32027131225258526</v>
      </c>
      <c r="AW42" s="16">
        <f t="shared" si="13"/>
        <v>53896.064853954485</v>
      </c>
      <c r="AX42" s="16">
        <f t="shared" si="30"/>
        <v>8066.2008845462897</v>
      </c>
      <c r="AY42" s="16">
        <f t="shared" si="14"/>
        <v>7247.4195249637514</v>
      </c>
      <c r="AZ42" s="16">
        <f t="shared" si="15"/>
        <v>14893.838343078423</v>
      </c>
      <c r="BA42" s="16">
        <f t="shared" si="16"/>
        <v>34724.200000000004</v>
      </c>
      <c r="BC42">
        <v>1432</v>
      </c>
      <c r="BD42">
        <v>1016</v>
      </c>
      <c r="BE42">
        <v>416</v>
      </c>
      <c r="BO42" s="170">
        <v>534</v>
      </c>
      <c r="BP42" s="170">
        <v>364</v>
      </c>
      <c r="BQ42" s="170">
        <v>1175</v>
      </c>
      <c r="BV42" s="73">
        <v>1604</v>
      </c>
      <c r="BW42" s="73">
        <v>1135</v>
      </c>
      <c r="CD42" s="39">
        <v>532</v>
      </c>
      <c r="CE42">
        <v>24</v>
      </c>
      <c r="CF42" s="217">
        <v>2452</v>
      </c>
      <c r="CG42" s="39">
        <v>245</v>
      </c>
      <c r="CQ42">
        <v>2000</v>
      </c>
      <c r="CU42" s="16">
        <v>6391</v>
      </c>
      <c r="CV42" s="16">
        <f t="shared" si="6"/>
        <v>4723</v>
      </c>
      <c r="CW42" s="16">
        <v>1668</v>
      </c>
      <c r="DK42" s="231">
        <v>1375</v>
      </c>
      <c r="DL42" s="230">
        <v>495</v>
      </c>
      <c r="DM42" s="231">
        <f t="shared" si="5"/>
        <v>3437.5</v>
      </c>
      <c r="DN42" s="231">
        <f t="shared" si="4"/>
        <v>1237.5</v>
      </c>
    </row>
    <row r="43" spans="1:121" x14ac:dyDescent="0.3">
      <c r="A43">
        <v>2009</v>
      </c>
      <c r="B43" s="39">
        <v>169296</v>
      </c>
      <c r="C43" s="59">
        <v>4310</v>
      </c>
      <c r="D43" s="59">
        <v>15246</v>
      </c>
      <c r="E43" s="58">
        <v>233</v>
      </c>
      <c r="F43" s="45">
        <v>2018</v>
      </c>
      <c r="G43" s="46">
        <v>21807</v>
      </c>
      <c r="H43" s="51">
        <f t="shared" si="17"/>
        <v>2.5458368774217938E-2</v>
      </c>
      <c r="I43" s="51">
        <f t="shared" si="8"/>
        <v>9.0055287779982993E-2</v>
      </c>
      <c r="J43" s="51">
        <f t="shared" si="9"/>
        <v>1.3762876854739627E-3</v>
      </c>
      <c r="K43" s="51">
        <f t="shared" si="10"/>
        <v>1.1919950855306682E-2</v>
      </c>
      <c r="L43" s="51">
        <f t="shared" si="11"/>
        <v>0.12880989509498156</v>
      </c>
      <c r="M43" s="39">
        <v>147489</v>
      </c>
      <c r="N43" s="16">
        <v>114525</v>
      </c>
      <c r="O43" s="16">
        <v>66631</v>
      </c>
      <c r="P43" s="16">
        <f t="shared" si="33"/>
        <v>181156</v>
      </c>
      <c r="Q43" s="43">
        <v>644</v>
      </c>
      <c r="R43" s="40">
        <v>0</v>
      </c>
      <c r="S43" s="40">
        <v>0</v>
      </c>
      <c r="T43" s="45">
        <v>11083</v>
      </c>
      <c r="U43" s="46">
        <v>11727</v>
      </c>
      <c r="V43" s="39">
        <v>135762</v>
      </c>
      <c r="W43" s="44">
        <v>0.8</v>
      </c>
      <c r="X43" s="44"/>
      <c r="Y43" s="55">
        <f t="shared" si="18"/>
        <v>3.8039882808808241E-3</v>
      </c>
      <c r="Z43" s="55">
        <f t="shared" si="19"/>
        <v>6.5465220678574798E-2</v>
      </c>
      <c r="AA43" s="44">
        <f t="shared" si="20"/>
        <v>6.4734262182870012E-2</v>
      </c>
      <c r="AB43" s="44">
        <f t="shared" si="21"/>
        <v>6.9269208959455625E-2</v>
      </c>
      <c r="AC43" s="55">
        <f t="shared" si="22"/>
        <v>9.5235563746337779E-2</v>
      </c>
      <c r="AD43" s="55">
        <f t="shared" si="23"/>
        <v>2.5458368774217938E-2</v>
      </c>
      <c r="AE43" s="55">
        <f t="shared" si="24"/>
        <v>0.12069393252055571</v>
      </c>
      <c r="AF43" s="44">
        <f t="shared" si="25"/>
        <v>7.7385171533881483E-2</v>
      </c>
      <c r="AG43" s="44">
        <f t="shared" si="26"/>
        <v>0.19807910405443718</v>
      </c>
      <c r="AI43" s="16">
        <v>13469</v>
      </c>
      <c r="AJ43" s="16">
        <v>2910</v>
      </c>
      <c r="AK43" s="16">
        <f t="shared" si="1"/>
        <v>16379</v>
      </c>
      <c r="AL43" s="16">
        <v>55435</v>
      </c>
      <c r="AM43" s="16">
        <v>28223</v>
      </c>
      <c r="AN43" s="16">
        <f t="shared" si="2"/>
        <v>83658</v>
      </c>
      <c r="AP43" s="16">
        <f t="shared" si="27"/>
        <v>100037</v>
      </c>
      <c r="AQ43" s="48">
        <f t="shared" si="31"/>
        <v>0.9</v>
      </c>
      <c r="AR43" s="16">
        <f t="shared" si="28"/>
        <v>118845.60476004043</v>
      </c>
      <c r="AS43" s="16">
        <f t="shared" si="29"/>
        <v>62310.395239959573</v>
      </c>
      <c r="AT43" s="16"/>
      <c r="AU43" s="16"/>
      <c r="AV43" s="48">
        <f t="shared" si="12"/>
        <v>0.34395987568702979</v>
      </c>
      <c r="AW43" s="16">
        <f t="shared" si="13"/>
        <v>71523.304602676784</v>
      </c>
      <c r="AX43" s="16">
        <f t="shared" si="30"/>
        <v>9212.9093627172078</v>
      </c>
      <c r="AY43" s="16">
        <f t="shared" si="14"/>
        <v>4033.6174621817986</v>
      </c>
      <c r="AZ43" s="16">
        <f t="shared" si="15"/>
        <v>14167.272094710821</v>
      </c>
      <c r="BA43" s="16">
        <f t="shared" si="16"/>
        <v>52449.1</v>
      </c>
      <c r="BC43">
        <v>6521</v>
      </c>
      <c r="BD43">
        <v>5846</v>
      </c>
      <c r="BE43">
        <v>675</v>
      </c>
      <c r="BO43" s="170">
        <v>1512</v>
      </c>
      <c r="BP43" s="170">
        <v>811</v>
      </c>
      <c r="BQ43" s="170">
        <v>1621</v>
      </c>
      <c r="BV43" s="73">
        <v>5217</v>
      </c>
      <c r="BW43" s="73">
        <v>2752</v>
      </c>
      <c r="CQ43">
        <v>2300</v>
      </c>
      <c r="CU43" s="16">
        <v>6538</v>
      </c>
      <c r="CV43" s="16">
        <f t="shared" si="6"/>
        <v>3682</v>
      </c>
      <c r="CW43" s="16">
        <v>2856</v>
      </c>
      <c r="DK43" s="231">
        <v>1579</v>
      </c>
      <c r="DL43" s="230">
        <v>482</v>
      </c>
      <c r="DM43" s="231">
        <f t="shared" si="5"/>
        <v>3947.5</v>
      </c>
      <c r="DN43" s="231">
        <f t="shared" si="4"/>
        <v>1205</v>
      </c>
    </row>
    <row r="44" spans="1:121" x14ac:dyDescent="0.3">
      <c r="A44">
        <v>2010</v>
      </c>
      <c r="B44" s="39">
        <v>315345</v>
      </c>
      <c r="C44" s="59">
        <v>8933</v>
      </c>
      <c r="D44" s="59">
        <v>23535</v>
      </c>
      <c r="E44" s="58">
        <v>349</v>
      </c>
      <c r="F44" s="45">
        <v>5139</v>
      </c>
      <c r="G44" s="46">
        <v>37956</v>
      </c>
      <c r="H44" s="51">
        <f t="shared" si="17"/>
        <v>2.8327704577526203E-2</v>
      </c>
      <c r="I44" s="51">
        <f t="shared" si="8"/>
        <v>7.4632545307520337E-2</v>
      </c>
      <c r="J44" s="51">
        <f t="shared" si="9"/>
        <v>1.1067243812332526E-3</v>
      </c>
      <c r="K44" s="51">
        <f t="shared" si="10"/>
        <v>1.6296437235408839E-2</v>
      </c>
      <c r="L44" s="51">
        <f t="shared" si="11"/>
        <v>0.12036341150168862</v>
      </c>
      <c r="M44" s="39">
        <v>277389</v>
      </c>
      <c r="N44" s="16">
        <v>244385</v>
      </c>
      <c r="O44" s="16">
        <v>12612</v>
      </c>
      <c r="P44" s="16">
        <f t="shared" si="33"/>
        <v>256997</v>
      </c>
      <c r="Q44" s="47">
        <v>3692</v>
      </c>
      <c r="R44" s="40">
        <v>0</v>
      </c>
      <c r="S44" s="45">
        <v>25008</v>
      </c>
      <c r="T44" s="45">
        <v>12807</v>
      </c>
      <c r="U44" s="46">
        <v>41507</v>
      </c>
      <c r="V44" s="39">
        <v>235882</v>
      </c>
      <c r="W44" s="44">
        <v>0.75</v>
      </c>
      <c r="X44" s="44"/>
      <c r="Y44" s="55">
        <f t="shared" si="18"/>
        <v>1.1707812078834293E-2</v>
      </c>
      <c r="Z44" s="55">
        <f t="shared" si="19"/>
        <v>0.11991628216715026</v>
      </c>
      <c r="AA44" s="44">
        <f t="shared" si="20"/>
        <v>0.16150772188002194</v>
      </c>
      <c r="AB44" s="44">
        <f t="shared" si="21"/>
        <v>0.13162409424598456</v>
      </c>
      <c r="AC44" s="55">
        <f t="shared" si="22"/>
        <v>8.7447081767587878E-2</v>
      </c>
      <c r="AD44" s="55">
        <f t="shared" si="23"/>
        <v>2.8327704577526203E-2</v>
      </c>
      <c r="AE44" s="55">
        <f t="shared" si="24"/>
        <v>0.11577478634511408</v>
      </c>
      <c r="AF44" s="44">
        <f t="shared" si="25"/>
        <v>0.13621271940255911</v>
      </c>
      <c r="AG44" s="44">
        <f t="shared" si="26"/>
        <v>0.2519875057476732</v>
      </c>
      <c r="AI44" s="16">
        <v>30539</v>
      </c>
      <c r="AJ44" s="16">
        <v>932</v>
      </c>
      <c r="AK44" s="16">
        <f t="shared" si="1"/>
        <v>31471</v>
      </c>
      <c r="AL44" s="16">
        <v>101188</v>
      </c>
      <c r="AM44" s="16">
        <v>6047</v>
      </c>
      <c r="AN44" s="16">
        <f t="shared" si="2"/>
        <v>107235</v>
      </c>
      <c r="AP44" s="16">
        <f t="shared" si="27"/>
        <v>138706</v>
      </c>
      <c r="AQ44" s="48">
        <f t="shared" si="31"/>
        <v>0.9</v>
      </c>
      <c r="AR44" s="16">
        <f t="shared" si="28"/>
        <v>183803.45508170009</v>
      </c>
      <c r="AS44" s="16">
        <f t="shared" si="29"/>
        <v>73193.544918299915</v>
      </c>
      <c r="AT44" s="16"/>
      <c r="AU44" s="16"/>
      <c r="AV44" s="48">
        <f t="shared" si="12"/>
        <v>0.28480311022424354</v>
      </c>
      <c r="AW44" s="16">
        <f t="shared" si="13"/>
        <v>83208.84542019073</v>
      </c>
      <c r="AX44" s="16">
        <f t="shared" si="30"/>
        <v>10015.300501890815</v>
      </c>
      <c r="AY44" s="16">
        <f t="shared" si="14"/>
        <v>11821.322696077676</v>
      </c>
      <c r="AZ44" s="16">
        <f t="shared" si="15"/>
        <v>20967.589413577563</v>
      </c>
      <c r="BA44" s="16">
        <f t="shared" si="16"/>
        <v>55235.000000000015</v>
      </c>
      <c r="BC44">
        <v>4511</v>
      </c>
      <c r="BD44">
        <v>4022</v>
      </c>
      <c r="BE44">
        <v>489</v>
      </c>
      <c r="BO44" s="170">
        <v>1665</v>
      </c>
      <c r="BP44" s="170">
        <v>534</v>
      </c>
      <c r="BQ44" s="170">
        <v>1673</v>
      </c>
      <c r="BV44" s="73">
        <v>2089</v>
      </c>
      <c r="BW44" s="73">
        <v>1635</v>
      </c>
      <c r="CQ44">
        <v>3200</v>
      </c>
      <c r="CU44" s="16">
        <v>10847</v>
      </c>
      <c r="CV44" s="16">
        <f t="shared" si="6"/>
        <v>9016</v>
      </c>
      <c r="CW44" s="16">
        <v>1831</v>
      </c>
      <c r="DK44" s="231">
        <v>2671</v>
      </c>
      <c r="DL44" s="230">
        <v>552</v>
      </c>
      <c r="DM44" s="231">
        <f t="shared" si="5"/>
        <v>6677.5</v>
      </c>
      <c r="DN44" s="231">
        <f t="shared" si="4"/>
        <v>1380</v>
      </c>
    </row>
    <row r="45" spans="1:121" x14ac:dyDescent="0.3">
      <c r="A45">
        <v>2011</v>
      </c>
      <c r="B45" s="39">
        <v>221158</v>
      </c>
      <c r="C45" s="59">
        <v>3706</v>
      </c>
      <c r="D45" s="59">
        <v>9506</v>
      </c>
      <c r="E45" s="58">
        <v>224</v>
      </c>
      <c r="F45" s="45">
        <v>2291</v>
      </c>
      <c r="G45" s="46">
        <v>15727</v>
      </c>
      <c r="H45" s="51">
        <f t="shared" si="17"/>
        <v>1.6757250472512863E-2</v>
      </c>
      <c r="I45" s="51">
        <f t="shared" si="8"/>
        <v>4.2982844843957715E-2</v>
      </c>
      <c r="J45" s="51">
        <f t="shared" si="9"/>
        <v>1.0128505412420081E-3</v>
      </c>
      <c r="K45" s="51">
        <f t="shared" si="10"/>
        <v>1.0359109776720716E-2</v>
      </c>
      <c r="L45" s="51">
        <f t="shared" si="11"/>
        <v>7.1112055634433305E-2</v>
      </c>
      <c r="M45" s="39">
        <v>205431</v>
      </c>
      <c r="N45" s="16">
        <v>167097</v>
      </c>
      <c r="O45" s="16">
        <v>50945</v>
      </c>
      <c r="P45" s="16">
        <f t="shared" si="33"/>
        <v>218042</v>
      </c>
      <c r="Q45" s="47">
        <v>2564</v>
      </c>
      <c r="R45" s="40">
        <v>7</v>
      </c>
      <c r="S45" s="40">
        <v>0</v>
      </c>
      <c r="T45" s="45">
        <v>13235</v>
      </c>
      <c r="U45" s="46">
        <v>15806</v>
      </c>
      <c r="V45" s="39">
        <v>189626</v>
      </c>
      <c r="W45" s="44">
        <v>0.86</v>
      </c>
      <c r="X45" s="44"/>
      <c r="Y45" s="55">
        <f t="shared" si="18"/>
        <v>1.1593521373859413E-2</v>
      </c>
      <c r="Z45" s="55">
        <f t="shared" si="19"/>
        <v>5.9875744942529778E-2</v>
      </c>
      <c r="AA45" s="44">
        <f t="shared" si="20"/>
        <v>7.2490621073004288E-2</v>
      </c>
      <c r="AB45" s="44">
        <f t="shared" si="21"/>
        <v>7.1469266316389182E-2</v>
      </c>
      <c r="AC45" s="55">
        <f t="shared" si="22"/>
        <v>5.5589216759059132E-2</v>
      </c>
      <c r="AD45" s="55">
        <f t="shared" si="23"/>
        <v>1.6757250472512863E-2</v>
      </c>
      <c r="AE45" s="55">
        <f t="shared" si="24"/>
        <v>7.2346467231571995E-2</v>
      </c>
      <c r="AF45" s="44">
        <f t="shared" si="25"/>
        <v>7.0234854719250492E-2</v>
      </c>
      <c r="AG45" s="44">
        <f t="shared" si="26"/>
        <v>0.14258132195082249</v>
      </c>
      <c r="AI45" s="16">
        <v>15246</v>
      </c>
      <c r="AJ45" s="16">
        <v>6030</v>
      </c>
      <c r="AK45" s="16">
        <f t="shared" si="1"/>
        <v>21276</v>
      </c>
      <c r="AL45" s="16">
        <v>69306</v>
      </c>
      <c r="AM45" s="16">
        <v>18161</v>
      </c>
      <c r="AN45" s="16">
        <f t="shared" si="2"/>
        <v>87467</v>
      </c>
      <c r="AP45" s="16">
        <f t="shared" si="27"/>
        <v>108743</v>
      </c>
      <c r="AQ45" s="48">
        <f t="shared" si="31"/>
        <v>0.9</v>
      </c>
      <c r="AR45" s="16">
        <f t="shared" si="28"/>
        <v>130268.82347576319</v>
      </c>
      <c r="AS45" s="16">
        <f t="shared" si="29"/>
        <v>87773.176524236813</v>
      </c>
      <c r="AT45" s="16"/>
      <c r="AU45" s="16"/>
      <c r="AV45" s="48">
        <f t="shared" si="12"/>
        <v>0.40255169428016996</v>
      </c>
      <c r="AW45" s="16">
        <f t="shared" si="13"/>
        <v>94492.750236075211</v>
      </c>
      <c r="AX45" s="16">
        <f t="shared" si="30"/>
        <v>6719.5737118383913</v>
      </c>
      <c r="AY45" s="16">
        <f t="shared" si="14"/>
        <v>6362.7320797923667</v>
      </c>
      <c r="AZ45" s="16">
        <f t="shared" si="15"/>
        <v>13472.901243428498</v>
      </c>
      <c r="BA45" s="16">
        <f t="shared" si="16"/>
        <v>73269.400000000009</v>
      </c>
      <c r="BC45">
        <v>4445</v>
      </c>
      <c r="BD45">
        <v>3809</v>
      </c>
      <c r="BE45">
        <v>636</v>
      </c>
      <c r="BO45" s="170">
        <v>2701</v>
      </c>
      <c r="BP45" s="170">
        <v>1971</v>
      </c>
      <c r="BQ45" s="170">
        <v>2533</v>
      </c>
      <c r="BV45" s="73">
        <v>2832</v>
      </c>
      <c r="BW45" s="73">
        <v>2021</v>
      </c>
      <c r="CU45" s="16">
        <v>11875</v>
      </c>
      <c r="CV45" s="16">
        <f t="shared" si="6"/>
        <v>8376</v>
      </c>
      <c r="CW45" s="16">
        <v>3499</v>
      </c>
      <c r="DK45" s="231">
        <v>1898</v>
      </c>
      <c r="DL45" s="230">
        <v>580</v>
      </c>
      <c r="DM45" s="231">
        <f t="shared" si="5"/>
        <v>4745</v>
      </c>
      <c r="DN45" s="231">
        <f t="shared" si="4"/>
        <v>1450</v>
      </c>
    </row>
    <row r="46" spans="1:121" x14ac:dyDescent="0.3">
      <c r="A46">
        <v>2012</v>
      </c>
      <c r="B46" s="39">
        <v>203090</v>
      </c>
      <c r="C46" s="59">
        <v>4596</v>
      </c>
      <c r="D46" s="59">
        <v>10422</v>
      </c>
      <c r="E46" s="58">
        <v>225</v>
      </c>
      <c r="F46" s="45">
        <v>1399</v>
      </c>
      <c r="G46" s="46">
        <v>16642</v>
      </c>
      <c r="H46" s="51">
        <f t="shared" si="17"/>
        <v>2.2630360923728398E-2</v>
      </c>
      <c r="I46" s="51">
        <f t="shared" si="8"/>
        <v>5.1317150032005515E-2</v>
      </c>
      <c r="J46" s="51">
        <f t="shared" si="9"/>
        <v>1.10788320449062E-3</v>
      </c>
      <c r="K46" s="51">
        <f t="shared" si="10"/>
        <v>6.8885715692550099E-3</v>
      </c>
      <c r="L46" s="51">
        <f t="shared" si="11"/>
        <v>8.194396572947954E-2</v>
      </c>
      <c r="M46" s="39">
        <v>186448</v>
      </c>
      <c r="N46" s="16">
        <v>158075</v>
      </c>
      <c r="O46" s="16">
        <v>7591</v>
      </c>
      <c r="P46" s="16">
        <f t="shared" si="33"/>
        <v>165666</v>
      </c>
      <c r="Q46" s="47">
        <v>1282</v>
      </c>
      <c r="R46" s="40">
        <v>2</v>
      </c>
      <c r="S46" s="40">
        <v>818</v>
      </c>
      <c r="T46" s="45">
        <v>15482</v>
      </c>
      <c r="U46" s="46">
        <v>17584</v>
      </c>
      <c r="V46" s="39">
        <v>168865</v>
      </c>
      <c r="W46" s="44">
        <v>0.83</v>
      </c>
      <c r="X46" s="44"/>
      <c r="Y46" s="55">
        <f t="shared" si="18"/>
        <v>6.3124723029198875E-3</v>
      </c>
      <c r="Z46" s="55">
        <f t="shared" si="19"/>
        <v>8.0269831109360382E-2</v>
      </c>
      <c r="AA46" s="44">
        <f t="shared" si="20"/>
        <v>0.10614127219827846</v>
      </c>
      <c r="AB46" s="44">
        <f t="shared" si="21"/>
        <v>8.6582303412280265E-2</v>
      </c>
      <c r="AC46" s="55">
        <f t="shared" si="22"/>
        <v>5.8737505539416021E-2</v>
      </c>
      <c r="AD46" s="55">
        <f t="shared" si="23"/>
        <v>2.2630360923728398E-2</v>
      </c>
      <c r="AE46" s="55">
        <f t="shared" si="24"/>
        <v>8.1367866463144423E-2</v>
      </c>
      <c r="AF46" s="44">
        <f t="shared" si="25"/>
        <v>8.7158402678615396E-2</v>
      </c>
      <c r="AG46" s="44">
        <f t="shared" si="26"/>
        <v>0.16852626914175983</v>
      </c>
      <c r="AI46" s="16">
        <v>19495</v>
      </c>
      <c r="AJ46" s="16">
        <v>1015</v>
      </c>
      <c r="AK46" s="16">
        <f t="shared" si="1"/>
        <v>20510</v>
      </c>
      <c r="AL46" s="16">
        <v>71957</v>
      </c>
      <c r="AM46" s="16">
        <v>2905</v>
      </c>
      <c r="AN46" s="16">
        <f t="shared" si="2"/>
        <v>74862</v>
      </c>
      <c r="AP46" s="16">
        <f t="shared" si="27"/>
        <v>95372</v>
      </c>
      <c r="AQ46" s="48">
        <f t="shared" si="31"/>
        <v>0.9</v>
      </c>
      <c r="AR46" s="16">
        <f t="shared" si="28"/>
        <v>118552.16668242369</v>
      </c>
      <c r="AS46" s="16">
        <f t="shared" si="29"/>
        <v>47113.833317576311</v>
      </c>
      <c r="AT46" s="16"/>
      <c r="AU46" s="16"/>
      <c r="AV46" s="48">
        <f t="shared" si="12"/>
        <v>0.28439048034947612</v>
      </c>
      <c r="AW46" s="16">
        <f t="shared" si="13"/>
        <v>51319.126021553318</v>
      </c>
      <c r="AX46" s="16">
        <f t="shared" si="30"/>
        <v>4205.2927039770066</v>
      </c>
      <c r="AY46" s="16">
        <f t="shared" si="14"/>
        <v>5000.7222064651878</v>
      </c>
      <c r="AZ46" s="16">
        <f t="shared" si="15"/>
        <v>8648.6208440281844</v>
      </c>
      <c r="BA46" s="16">
        <f t="shared" si="16"/>
        <v>37901.80000000001</v>
      </c>
      <c r="BO46" s="170">
        <v>1214</v>
      </c>
      <c r="BP46" s="170">
        <v>1485</v>
      </c>
      <c r="BQ46" s="170">
        <v>2684</v>
      </c>
      <c r="BV46" s="73">
        <v>1446</v>
      </c>
      <c r="BW46" s="73">
        <v>1223</v>
      </c>
      <c r="CU46" s="16">
        <v>9537</v>
      </c>
      <c r="CV46" s="16">
        <f t="shared" si="6"/>
        <v>8711</v>
      </c>
      <c r="CW46" s="16">
        <v>826</v>
      </c>
      <c r="DK46" s="231">
        <v>1470</v>
      </c>
      <c r="DL46" s="230">
        <v>811</v>
      </c>
      <c r="DM46" s="231">
        <f t="shared" si="5"/>
        <v>3675</v>
      </c>
      <c r="DN46" s="231">
        <f t="shared" si="4"/>
        <v>2027.5</v>
      </c>
    </row>
    <row r="47" spans="1:121" x14ac:dyDescent="0.3">
      <c r="A47">
        <v>2013</v>
      </c>
      <c r="B47" s="39">
        <v>123136</v>
      </c>
      <c r="C47" s="59">
        <v>1756</v>
      </c>
      <c r="D47" s="59">
        <v>5343</v>
      </c>
      <c r="E47" s="58">
        <v>96</v>
      </c>
      <c r="F47" s="45">
        <v>3007</v>
      </c>
      <c r="G47" s="46">
        <v>10202</v>
      </c>
      <c r="H47" s="51">
        <f t="shared" si="17"/>
        <v>1.4260654885654886E-2</v>
      </c>
      <c r="I47" s="51">
        <f t="shared" si="8"/>
        <v>4.33910472972973E-2</v>
      </c>
      <c r="J47" s="51">
        <f t="shared" si="9"/>
        <v>7.7962577962577967E-4</v>
      </c>
      <c r="K47" s="51">
        <f t="shared" si="10"/>
        <v>2.4420153326403328E-2</v>
      </c>
      <c r="L47" s="51">
        <f t="shared" si="11"/>
        <v>8.2851481288981288E-2</v>
      </c>
      <c r="M47" s="39">
        <v>112934</v>
      </c>
      <c r="N47" s="16">
        <v>83299</v>
      </c>
      <c r="O47" s="16">
        <v>33819</v>
      </c>
      <c r="P47" s="16">
        <f t="shared" si="33"/>
        <v>117118</v>
      </c>
      <c r="Q47" s="47">
        <v>1093</v>
      </c>
      <c r="R47" s="40">
        <v>0</v>
      </c>
      <c r="S47" s="40">
        <v>0</v>
      </c>
      <c r="T47" s="45">
        <v>6275</v>
      </c>
      <c r="U47" s="46">
        <v>7368</v>
      </c>
      <c r="V47" s="39">
        <v>105566</v>
      </c>
      <c r="W47" s="44">
        <v>0.86</v>
      </c>
      <c r="X47" s="44"/>
      <c r="Y47" s="55">
        <f t="shared" si="18"/>
        <v>8.8763643451143445E-3</v>
      </c>
      <c r="Z47" s="55">
        <f t="shared" si="19"/>
        <v>5.0959914241164243E-2</v>
      </c>
      <c r="AA47" s="44">
        <f t="shared" si="20"/>
        <v>6.2910910363906489E-2</v>
      </c>
      <c r="AB47" s="44">
        <f t="shared" si="21"/>
        <v>5.9836278586278588E-2</v>
      </c>
      <c r="AC47" s="55">
        <f t="shared" si="22"/>
        <v>5.3047037422037424E-2</v>
      </c>
      <c r="AD47" s="55">
        <f t="shared" si="23"/>
        <v>1.4260654885654886E-2</v>
      </c>
      <c r="AE47" s="55">
        <f t="shared" si="24"/>
        <v>6.7307692307692304E-2</v>
      </c>
      <c r="AF47" s="44">
        <f t="shared" si="25"/>
        <v>7.5380067567567571E-2</v>
      </c>
      <c r="AG47" s="44">
        <f t="shared" si="26"/>
        <v>0.14268775987525989</v>
      </c>
      <c r="AI47" s="16">
        <v>13725</v>
      </c>
      <c r="AJ47" s="16">
        <v>1298</v>
      </c>
      <c r="AK47" s="16">
        <f t="shared" si="1"/>
        <v>15023</v>
      </c>
      <c r="AL47" s="16">
        <v>38009</v>
      </c>
      <c r="AM47" s="16">
        <v>18611</v>
      </c>
      <c r="AN47" s="16">
        <f t="shared" si="2"/>
        <v>56620</v>
      </c>
      <c r="AP47" s="16">
        <f t="shared" si="27"/>
        <v>71643</v>
      </c>
      <c r="AQ47" s="48">
        <f t="shared" si="31"/>
        <v>0.9</v>
      </c>
      <c r="AR47" s="16">
        <f t="shared" si="28"/>
        <v>84947.455064540613</v>
      </c>
      <c r="AS47" s="16">
        <f t="shared" si="29"/>
        <v>32170.544935459387</v>
      </c>
      <c r="AT47" s="16"/>
      <c r="AU47" s="16"/>
      <c r="AV47" s="48">
        <f t="shared" si="12"/>
        <v>0.27468488990129092</v>
      </c>
      <c r="AW47" s="16">
        <f t="shared" si="13"/>
        <v>35076.70162371586</v>
      </c>
      <c r="AX47" s="16">
        <f t="shared" si="30"/>
        <v>2906.1566882564744</v>
      </c>
      <c r="AY47" s="16">
        <f t="shared" si="14"/>
        <v>2023.8782687927114</v>
      </c>
      <c r="AZ47" s="16">
        <f t="shared" si="15"/>
        <v>5005.0159785009073</v>
      </c>
      <c r="BA47" s="16">
        <f t="shared" si="16"/>
        <v>27132.000000000007</v>
      </c>
      <c r="BO47" s="170">
        <v>1817</v>
      </c>
      <c r="BP47" s="170">
        <v>529</v>
      </c>
      <c r="BQ47" s="170">
        <v>2313</v>
      </c>
      <c r="BV47" s="73">
        <v>1853</v>
      </c>
      <c r="BW47" s="73">
        <v>1319</v>
      </c>
      <c r="CU47" s="16">
        <v>7276</v>
      </c>
      <c r="CV47" s="16">
        <f t="shared" si="6"/>
        <v>4459</v>
      </c>
      <c r="CW47" s="16">
        <v>2817</v>
      </c>
      <c r="DK47" s="230">
        <v>671</v>
      </c>
      <c r="DL47" s="230">
        <v>376</v>
      </c>
      <c r="DM47" s="231">
        <f t="shared" si="5"/>
        <v>1677.5</v>
      </c>
      <c r="DN47" s="231">
        <f t="shared" si="4"/>
        <v>940</v>
      </c>
    </row>
    <row r="48" spans="1:121" x14ac:dyDescent="0.3">
      <c r="A48">
        <v>2014</v>
      </c>
      <c r="B48" s="39">
        <v>242635</v>
      </c>
      <c r="C48" s="59">
        <v>3623</v>
      </c>
      <c r="D48" s="59">
        <v>13572</v>
      </c>
      <c r="E48" s="58">
        <v>475</v>
      </c>
      <c r="F48" s="40">
        <v>19</v>
      </c>
      <c r="G48" s="46">
        <v>17689</v>
      </c>
      <c r="H48" s="51">
        <f t="shared" si="17"/>
        <v>1.4931893585014528E-2</v>
      </c>
      <c r="I48" s="51">
        <f t="shared" si="8"/>
        <v>5.5935870752364662E-2</v>
      </c>
      <c r="J48" s="51">
        <f t="shared" si="9"/>
        <v>1.9576730479939001E-3</v>
      </c>
      <c r="K48" s="51">
        <f t="shared" si="10"/>
        <v>7.8306921919756009E-5</v>
      </c>
      <c r="L48" s="51">
        <f t="shared" si="11"/>
        <v>7.290374430729285E-2</v>
      </c>
      <c r="M48" s="39">
        <v>224946</v>
      </c>
      <c r="N48" s="16">
        <v>188078</v>
      </c>
      <c r="O48" s="16">
        <v>26093</v>
      </c>
      <c r="P48" s="16">
        <f t="shared" si="33"/>
        <v>214171</v>
      </c>
      <c r="Q48" s="47">
        <v>4208</v>
      </c>
      <c r="R48" s="40">
        <v>0</v>
      </c>
      <c r="S48" s="45">
        <v>13807</v>
      </c>
      <c r="T48" s="45">
        <v>10877</v>
      </c>
      <c r="U48" s="46">
        <v>28892</v>
      </c>
      <c r="V48" s="39">
        <v>196054</v>
      </c>
      <c r="W48" s="44">
        <v>0.81</v>
      </c>
      <c r="X48" s="44"/>
      <c r="Y48" s="55">
        <f t="shared" si="18"/>
        <v>1.7342922496754384E-2</v>
      </c>
      <c r="Z48" s="55">
        <f t="shared" si="19"/>
        <v>0.10173305582459249</v>
      </c>
      <c r="AA48" s="44">
        <f t="shared" si="20"/>
        <v>0.13490155063010398</v>
      </c>
      <c r="AB48" s="44">
        <f t="shared" si="21"/>
        <v>0.11907597832134688</v>
      </c>
      <c r="AC48" s="55">
        <f t="shared" si="22"/>
        <v>7.5236466297112947E-2</v>
      </c>
      <c r="AD48" s="55">
        <f t="shared" si="23"/>
        <v>1.4931893585014528E-2</v>
      </c>
      <c r="AE48" s="55">
        <f t="shared" si="24"/>
        <v>9.0168359882127472E-2</v>
      </c>
      <c r="AF48" s="44">
        <f t="shared" si="25"/>
        <v>0.10181136274651226</v>
      </c>
      <c r="AG48" s="44">
        <f t="shared" si="26"/>
        <v>0.19197972262863972</v>
      </c>
      <c r="AI48" s="16">
        <v>23742</v>
      </c>
      <c r="AJ48" s="16">
        <v>2649</v>
      </c>
      <c r="AK48" s="16">
        <f t="shared" si="1"/>
        <v>26391</v>
      </c>
      <c r="AL48" s="16">
        <v>79298</v>
      </c>
      <c r="AM48" s="16">
        <v>12428</v>
      </c>
      <c r="AN48" s="16">
        <f t="shared" si="2"/>
        <v>91726</v>
      </c>
      <c r="AP48" s="16">
        <f t="shared" si="27"/>
        <v>118117</v>
      </c>
      <c r="AQ48" s="48">
        <f t="shared" si="31"/>
        <v>0.9</v>
      </c>
      <c r="AR48" s="16">
        <f t="shared" si="28"/>
        <v>151706.56149794516</v>
      </c>
      <c r="AS48" s="16">
        <f t="shared" si="29"/>
        <v>62464.438502054836</v>
      </c>
      <c r="AT48" s="16"/>
      <c r="AU48" s="16"/>
      <c r="AV48" s="48">
        <f t="shared" si="12"/>
        <v>0.29165684664149133</v>
      </c>
      <c r="AW48" s="16">
        <f t="shared" si="13"/>
        <v>67376.432725836756</v>
      </c>
      <c r="AX48" s="16">
        <f t="shared" si="30"/>
        <v>4911.9942237819214</v>
      </c>
      <c r="AY48" s="16">
        <f t="shared" si="14"/>
        <v>8426.5496131659675</v>
      </c>
      <c r="AZ48" s="16">
        <f t="shared" si="15"/>
        <v>12934.908866413343</v>
      </c>
      <c r="BA48" s="16">
        <f t="shared" si="16"/>
        <v>48634.099999999984</v>
      </c>
      <c r="BO48" s="170">
        <v>2388</v>
      </c>
      <c r="BP48" s="170">
        <v>1492</v>
      </c>
      <c r="BQ48" s="170">
        <v>2442</v>
      </c>
      <c r="BV48" s="73">
        <v>559</v>
      </c>
      <c r="BW48" s="73">
        <v>480</v>
      </c>
      <c r="CH48">
        <v>491</v>
      </c>
      <c r="CI48">
        <v>43</v>
      </c>
      <c r="CJ48">
        <v>20</v>
      </c>
      <c r="CK48">
        <v>4</v>
      </c>
      <c r="CL48">
        <f t="shared" ref="CL48:CL52" si="34">CH48+CI48+CJ48+CK48</f>
        <v>558</v>
      </c>
      <c r="CQ48">
        <v>5969</v>
      </c>
      <c r="CU48" s="16">
        <v>9074</v>
      </c>
      <c r="CV48" s="16">
        <f t="shared" si="6"/>
        <v>6590</v>
      </c>
      <c r="CW48" s="16">
        <v>2484</v>
      </c>
      <c r="DK48" s="231">
        <v>1153</v>
      </c>
      <c r="DL48" s="230">
        <v>379</v>
      </c>
      <c r="DM48" s="231">
        <f t="shared" si="5"/>
        <v>2882.5</v>
      </c>
      <c r="DN48" s="231">
        <f t="shared" si="4"/>
        <v>947.5</v>
      </c>
    </row>
    <row r="49" spans="1:132" x14ac:dyDescent="0.3">
      <c r="A49">
        <v>2015</v>
      </c>
      <c r="B49" s="39">
        <v>288994</v>
      </c>
      <c r="C49" s="59">
        <v>6528</v>
      </c>
      <c r="D49" s="59">
        <v>15689</v>
      </c>
      <c r="E49" s="58">
        <v>290</v>
      </c>
      <c r="F49" s="40">
        <v>929</v>
      </c>
      <c r="G49" s="46">
        <v>23436</v>
      </c>
      <c r="H49" s="51">
        <f t="shared" si="17"/>
        <v>2.2588704263756341E-2</v>
      </c>
      <c r="I49" s="51">
        <f t="shared" si="8"/>
        <v>5.4288324325072496E-2</v>
      </c>
      <c r="J49" s="51">
        <f t="shared" si="9"/>
        <v>1.0034810411288816E-3</v>
      </c>
      <c r="K49" s="51">
        <f t="shared" si="10"/>
        <v>3.2145996110645894E-3</v>
      </c>
      <c r="L49" s="51">
        <f t="shared" si="11"/>
        <v>8.1095109241022312E-2</v>
      </c>
      <c r="M49" s="39">
        <v>265558</v>
      </c>
      <c r="N49" s="16">
        <v>220250</v>
      </c>
      <c r="O49" s="16">
        <v>13312</v>
      </c>
      <c r="P49" s="16">
        <f t="shared" si="33"/>
        <v>233562</v>
      </c>
      <c r="Q49" s="47">
        <v>1647</v>
      </c>
      <c r="R49" s="40">
        <v>7</v>
      </c>
      <c r="S49" s="45">
        <v>20320</v>
      </c>
      <c r="T49" s="45">
        <v>9925</v>
      </c>
      <c r="U49" s="46">
        <v>31899</v>
      </c>
      <c r="V49" s="39">
        <v>233660</v>
      </c>
      <c r="W49" s="44">
        <v>0.81</v>
      </c>
      <c r="X49" s="44"/>
      <c r="Y49" s="55">
        <f t="shared" si="18"/>
        <v>5.6990802577216136E-3</v>
      </c>
      <c r="Z49" s="55">
        <f t="shared" si="19"/>
        <v>0.10468037398700319</v>
      </c>
      <c r="AA49" s="44">
        <f t="shared" si="20"/>
        <v>0.13657615536773962</v>
      </c>
      <c r="AB49" s="44">
        <f t="shared" si="21"/>
        <v>0.1103794542447248</v>
      </c>
      <c r="AC49" s="55">
        <f t="shared" si="22"/>
        <v>6.0990885623922991E-2</v>
      </c>
      <c r="AD49" s="55">
        <f t="shared" si="23"/>
        <v>2.2588704263756341E-2</v>
      </c>
      <c r="AE49" s="55">
        <f t="shared" si="24"/>
        <v>8.3579589887679329E-2</v>
      </c>
      <c r="AF49" s="44">
        <f t="shared" si="25"/>
        <v>0.10789497359806778</v>
      </c>
      <c r="AG49" s="44">
        <f t="shared" si="26"/>
        <v>0.1914745634857471</v>
      </c>
      <c r="AI49" s="16">
        <v>27716</v>
      </c>
      <c r="AJ49" s="16">
        <v>1570</v>
      </c>
      <c r="AK49" s="16">
        <f t="shared" si="1"/>
        <v>29286</v>
      </c>
      <c r="AL49" s="16">
        <v>116462</v>
      </c>
      <c r="AM49" s="16">
        <v>5745</v>
      </c>
      <c r="AN49" s="16">
        <f t="shared" si="2"/>
        <v>122207</v>
      </c>
      <c r="AP49" s="16">
        <f t="shared" si="27"/>
        <v>151493</v>
      </c>
      <c r="AQ49" s="48">
        <f t="shared" si="31"/>
        <v>0.9</v>
      </c>
      <c r="AR49" s="16">
        <f t="shared" si="28"/>
        <v>194951.24741110994</v>
      </c>
      <c r="AS49" s="16">
        <f t="shared" si="29"/>
        <v>38610.752588890056</v>
      </c>
      <c r="AT49" s="16"/>
      <c r="AU49" s="16"/>
      <c r="AV49" s="48">
        <f t="shared" si="12"/>
        <v>0.16531264755777933</v>
      </c>
      <c r="AW49" s="16">
        <f t="shared" si="13"/>
        <v>42018.22514732636</v>
      </c>
      <c r="AX49" s="16">
        <f t="shared" si="30"/>
        <v>3407.4725584363018</v>
      </c>
      <c r="AY49" s="16">
        <f t="shared" si="14"/>
        <v>5273.3081444456029</v>
      </c>
      <c r="AZ49" s="16">
        <f t="shared" si="15"/>
        <v>8045.421318530156</v>
      </c>
      <c r="BA49" s="16">
        <f t="shared" si="16"/>
        <v>30003.700000000008</v>
      </c>
      <c r="BO49" s="170">
        <v>1812</v>
      </c>
      <c r="BP49" s="170">
        <v>1039</v>
      </c>
      <c r="BQ49" s="170">
        <v>975</v>
      </c>
      <c r="BV49" s="73">
        <v>1128</v>
      </c>
      <c r="BW49" s="73">
        <v>807</v>
      </c>
      <c r="CH49">
        <v>965</v>
      </c>
      <c r="CI49">
        <v>128</v>
      </c>
      <c r="CJ49">
        <v>38</v>
      </c>
      <c r="CK49">
        <v>14</v>
      </c>
      <c r="CL49">
        <f>CH49+CI49+CJ49+CK49</f>
        <v>1145</v>
      </c>
      <c r="CQ49">
        <v>5533</v>
      </c>
      <c r="CU49" s="16">
        <v>8434</v>
      </c>
      <c r="CV49" s="16">
        <f t="shared" si="6"/>
        <v>7997</v>
      </c>
      <c r="CW49" s="16">
        <v>437</v>
      </c>
      <c r="DK49" s="231">
        <v>1321</v>
      </c>
      <c r="DL49" s="230">
        <v>614</v>
      </c>
      <c r="DM49" s="231">
        <f t="shared" si="5"/>
        <v>3302.5</v>
      </c>
      <c r="DN49" s="231">
        <f t="shared" si="4"/>
        <v>1535</v>
      </c>
    </row>
    <row r="50" spans="1:132" x14ac:dyDescent="0.3">
      <c r="A50">
        <v>2016</v>
      </c>
      <c r="B50" s="39">
        <v>187816</v>
      </c>
      <c r="C50" s="59">
        <v>3285</v>
      </c>
      <c r="D50" s="59">
        <v>10167</v>
      </c>
      <c r="E50" s="58">
        <v>223</v>
      </c>
      <c r="F50" s="45">
        <v>1527</v>
      </c>
      <c r="G50" s="46">
        <v>15202</v>
      </c>
      <c r="H50" s="51">
        <f t="shared" si="17"/>
        <v>1.749052263917877E-2</v>
      </c>
      <c r="I50" s="51">
        <f t="shared" si="8"/>
        <v>5.4132768241257401E-2</v>
      </c>
      <c r="J50" s="51">
        <f t="shared" si="9"/>
        <v>1.1873322826596244E-3</v>
      </c>
      <c r="K50" s="51">
        <f t="shared" si="10"/>
        <v>8.1302977382118665E-3</v>
      </c>
      <c r="L50" s="51">
        <f t="shared" si="11"/>
        <v>8.0940920901307667E-2</v>
      </c>
      <c r="M50" s="39">
        <v>172614</v>
      </c>
      <c r="N50" s="16">
        <v>137176</v>
      </c>
      <c r="O50" s="16">
        <v>11143</v>
      </c>
      <c r="P50" s="16">
        <f t="shared" si="33"/>
        <v>148319</v>
      </c>
      <c r="Q50" s="47">
        <v>1480</v>
      </c>
      <c r="R50" s="40">
        <v>0</v>
      </c>
      <c r="S50" s="45">
        <v>1993</v>
      </c>
      <c r="T50" s="45">
        <v>13546</v>
      </c>
      <c r="U50" s="46">
        <v>17019</v>
      </c>
      <c r="V50" s="39">
        <v>155596</v>
      </c>
      <c r="W50" s="44">
        <v>0.83</v>
      </c>
      <c r="X50" s="44"/>
      <c r="Y50" s="55">
        <f t="shared" si="18"/>
        <v>7.8800528176513184E-3</v>
      </c>
      <c r="Z50" s="55">
        <f t="shared" si="19"/>
        <v>8.2735230225326917E-2</v>
      </c>
      <c r="AA50" s="44">
        <f t="shared" si="20"/>
        <v>0.11474591926860349</v>
      </c>
      <c r="AB50" s="44">
        <f t="shared" si="21"/>
        <v>9.0615283042978237E-2</v>
      </c>
      <c r="AC50" s="55">
        <f t="shared" si="22"/>
        <v>6.3200153341568338E-2</v>
      </c>
      <c r="AD50" s="55">
        <f t="shared" si="23"/>
        <v>1.749052263917877E-2</v>
      </c>
      <c r="AE50" s="55">
        <f t="shared" si="24"/>
        <v>8.0690675980747112E-2</v>
      </c>
      <c r="AF50" s="44">
        <f t="shared" si="25"/>
        <v>9.0865527963538778E-2</v>
      </c>
      <c r="AG50" s="44">
        <f t="shared" si="26"/>
        <v>0.17155620394428589</v>
      </c>
      <c r="AI50" s="16">
        <v>16843</v>
      </c>
      <c r="AJ50" s="16">
        <v>1003</v>
      </c>
      <c r="AK50" s="16">
        <f t="shared" si="1"/>
        <v>17846</v>
      </c>
      <c r="AL50" s="16">
        <v>67484</v>
      </c>
      <c r="AM50" s="16">
        <v>5029</v>
      </c>
      <c r="AN50" s="16">
        <f t="shared" si="2"/>
        <v>72513</v>
      </c>
      <c r="AP50" s="16">
        <f t="shared" si="27"/>
        <v>90359</v>
      </c>
      <c r="AQ50" s="48">
        <f t="shared" si="31"/>
        <v>0.9</v>
      </c>
      <c r="AR50" s="16">
        <f t="shared" si="28"/>
        <v>113412.51181348904</v>
      </c>
      <c r="AS50" s="16">
        <f t="shared" si="29"/>
        <v>34906.488186510964</v>
      </c>
      <c r="AT50" s="16"/>
      <c r="AU50" s="16"/>
      <c r="AV50" s="48">
        <f t="shared" si="12"/>
        <v>0.23534738089193538</v>
      </c>
      <c r="AW50" s="16">
        <f t="shared" si="13"/>
        <v>37980.67934951825</v>
      </c>
      <c r="AX50" s="16">
        <f t="shared" si="30"/>
        <v>3074.1911630072864</v>
      </c>
      <c r="AY50" s="16">
        <f t="shared" si="14"/>
        <v>4005.3770753998483</v>
      </c>
      <c r="AZ50" s="16">
        <f t="shared" si="15"/>
        <v>6515.8211724284802</v>
      </c>
      <c r="BA50" s="16">
        <f t="shared" si="16"/>
        <v>27811.000000000007</v>
      </c>
      <c r="BO50" s="170">
        <v>1120</v>
      </c>
      <c r="BP50" s="170">
        <v>466</v>
      </c>
      <c r="BQ50" s="170">
        <v>1013</v>
      </c>
      <c r="CH50">
        <v>721</v>
      </c>
      <c r="CI50">
        <v>59</v>
      </c>
      <c r="CJ50">
        <v>45</v>
      </c>
      <c r="CK50">
        <v>9</v>
      </c>
      <c r="CL50">
        <f t="shared" si="34"/>
        <v>834</v>
      </c>
      <c r="CQ50">
        <v>2315</v>
      </c>
      <c r="CU50" s="16">
        <v>5306</v>
      </c>
      <c r="CV50" s="16">
        <f t="shared" si="6"/>
        <v>3910</v>
      </c>
      <c r="CW50" s="16">
        <v>1396</v>
      </c>
      <c r="DK50" s="230">
        <v>617</v>
      </c>
      <c r="DL50" s="230">
        <v>366</v>
      </c>
      <c r="DM50" s="231">
        <f t="shared" si="5"/>
        <v>1542.5</v>
      </c>
      <c r="DN50" s="231">
        <f t="shared" si="4"/>
        <v>915</v>
      </c>
      <c r="DR50" t="s">
        <v>324</v>
      </c>
    </row>
    <row r="51" spans="1:132" x14ac:dyDescent="0.3">
      <c r="A51">
        <v>2017</v>
      </c>
      <c r="B51" s="39">
        <v>115821</v>
      </c>
      <c r="C51" s="57">
        <v>463</v>
      </c>
      <c r="D51" s="59">
        <v>7198</v>
      </c>
      <c r="E51" s="58">
        <v>620</v>
      </c>
      <c r="F51" s="40">
        <v>16</v>
      </c>
      <c r="G51" s="46">
        <v>8297</v>
      </c>
      <c r="H51" s="51">
        <f t="shared" si="17"/>
        <v>3.9975479403562397E-3</v>
      </c>
      <c r="I51" s="51">
        <f t="shared" si="8"/>
        <v>6.2147624351369786E-2</v>
      </c>
      <c r="J51" s="51">
        <f t="shared" si="9"/>
        <v>5.3530879546887008E-3</v>
      </c>
      <c r="K51" s="51">
        <f t="shared" si="10"/>
        <v>1.3814420528228906E-4</v>
      </c>
      <c r="L51" s="51">
        <f t="shared" si="11"/>
        <v>7.1636404451697014E-2</v>
      </c>
      <c r="M51" s="39">
        <v>107524</v>
      </c>
      <c r="N51" s="16">
        <v>83616</v>
      </c>
      <c r="O51" s="16">
        <v>18110</v>
      </c>
      <c r="P51" s="16">
        <f t="shared" si="33"/>
        <v>101726</v>
      </c>
      <c r="Q51" s="43">
        <v>18</v>
      </c>
      <c r="R51" s="40">
        <v>0</v>
      </c>
      <c r="S51" s="40">
        <v>0</v>
      </c>
      <c r="T51" s="45">
        <v>8093</v>
      </c>
      <c r="U51" s="46">
        <v>8111</v>
      </c>
      <c r="V51" s="39">
        <v>99413</v>
      </c>
      <c r="W51" s="44">
        <v>0.86</v>
      </c>
      <c r="X51" s="44"/>
      <c r="Y51" s="55">
        <f t="shared" si="18"/>
        <v>1.5541223094257519E-4</v>
      </c>
      <c r="Z51" s="55">
        <f t="shared" si="19"/>
        <v>6.9875065834347827E-2</v>
      </c>
      <c r="AA51" s="44">
        <f t="shared" si="20"/>
        <v>7.9733794703418986E-2</v>
      </c>
      <c r="AB51" s="44">
        <f t="shared" si="21"/>
        <v>7.0030478065290405E-2</v>
      </c>
      <c r="AC51" s="55">
        <f>(D51+E51+Q51)/B51</f>
        <v>6.7656124537001067E-2</v>
      </c>
      <c r="AD51" s="55">
        <f t="shared" si="23"/>
        <v>3.9975479403562397E-3</v>
      </c>
      <c r="AE51" s="55">
        <f t="shared" si="24"/>
        <v>7.1653672477357308E-2</v>
      </c>
      <c r="AF51" s="44">
        <f t="shared" si="25"/>
        <v>7.0013210039630125E-2</v>
      </c>
      <c r="AG51" s="44">
        <f t="shared" si="26"/>
        <v>0.14166688251698745</v>
      </c>
      <c r="AI51" s="16">
        <v>7268</v>
      </c>
      <c r="AJ51" s="16">
        <v>783</v>
      </c>
      <c r="AK51" s="16">
        <f t="shared" si="1"/>
        <v>8051</v>
      </c>
      <c r="AL51" s="16">
        <v>28306</v>
      </c>
      <c r="AM51" s="16">
        <v>6949</v>
      </c>
      <c r="AN51" s="16">
        <f t="shared" si="2"/>
        <v>35255</v>
      </c>
      <c r="AP51" s="16">
        <f t="shared" si="27"/>
        <v>43306</v>
      </c>
      <c r="AQ51" s="48">
        <f t="shared" si="31"/>
        <v>0.9</v>
      </c>
      <c r="AR51" s="16">
        <f t="shared" si="28"/>
        <v>52286.802993347461</v>
      </c>
      <c r="AS51" s="16">
        <f t="shared" si="29"/>
        <v>49439.197006652539</v>
      </c>
      <c r="AT51" s="16"/>
      <c r="AU51" s="16"/>
      <c r="AV51" s="48">
        <f t="shared" si="12"/>
        <v>0.48600354881399582</v>
      </c>
      <c r="AW51" s="16">
        <f t="shared" si="13"/>
        <v>53254.13151024426</v>
      </c>
      <c r="AX51" s="16">
        <f>AW51*L51</f>
        <v>3814.9345035917199</v>
      </c>
      <c r="AY51" s="16">
        <f t="shared" si="14"/>
        <v>3941.9747844303201</v>
      </c>
      <c r="AZ51" s="16">
        <f t="shared" si="15"/>
        <v>7544.3467922059726</v>
      </c>
      <c r="BA51" s="16">
        <f t="shared" si="16"/>
        <v>40947.5</v>
      </c>
      <c r="BO51" s="170">
        <v>629</v>
      </c>
      <c r="BP51" s="170">
        <v>80</v>
      </c>
      <c r="BQ51" s="170">
        <v>224</v>
      </c>
      <c r="CH51">
        <v>2559</v>
      </c>
      <c r="CI51">
        <v>41</v>
      </c>
      <c r="CJ51">
        <v>10</v>
      </c>
      <c r="CK51">
        <v>10</v>
      </c>
      <c r="CL51">
        <f t="shared" si="34"/>
        <v>2620</v>
      </c>
      <c r="CQ51">
        <v>3841</v>
      </c>
      <c r="CU51" s="16">
        <v>4259</v>
      </c>
      <c r="CV51" s="16">
        <f t="shared" si="6"/>
        <v>3075</v>
      </c>
      <c r="CW51" s="16">
        <v>1184</v>
      </c>
      <c r="DK51" s="230">
        <v>543</v>
      </c>
      <c r="DL51" s="230">
        <v>293</v>
      </c>
      <c r="DM51" s="231">
        <f t="shared" si="5"/>
        <v>1357.5</v>
      </c>
      <c r="DN51" s="231">
        <f t="shared" si="4"/>
        <v>732.5</v>
      </c>
    </row>
    <row r="52" spans="1:132" ht="15" thickBot="1" x14ac:dyDescent="0.35">
      <c r="A52">
        <v>2018</v>
      </c>
      <c r="B52" s="39"/>
      <c r="C52" s="57"/>
      <c r="D52" s="59"/>
      <c r="E52" s="58"/>
      <c r="F52" s="40"/>
      <c r="G52" s="46"/>
      <c r="H52" s="46"/>
      <c r="I52" s="46"/>
      <c r="J52" s="46"/>
      <c r="K52" s="46"/>
      <c r="L52" s="51"/>
      <c r="M52" s="39"/>
      <c r="Q52" s="43"/>
      <c r="R52" s="40"/>
      <c r="S52" s="40"/>
      <c r="T52" s="45"/>
      <c r="U52" s="46"/>
      <c r="V52" s="39"/>
      <c r="W52" s="44"/>
      <c r="X52" s="44"/>
      <c r="Y52" s="44"/>
      <c r="Z52" s="44"/>
      <c r="AA52" s="44"/>
      <c r="AB52" s="44"/>
      <c r="AC52" s="55"/>
      <c r="AD52" s="55"/>
      <c r="AE52" s="55"/>
      <c r="AF52" s="44"/>
      <c r="AG52" s="44"/>
      <c r="AP52" s="16"/>
      <c r="AQ52" s="48"/>
      <c r="AR52" s="16"/>
      <c r="AS52" s="16"/>
      <c r="AT52" s="16"/>
      <c r="AU52" s="16"/>
      <c r="AV52" s="48"/>
      <c r="AW52" s="16"/>
      <c r="AX52" s="16"/>
      <c r="AY52" s="16"/>
      <c r="AZ52" s="16"/>
      <c r="BA52" s="16"/>
      <c r="BO52" s="170"/>
      <c r="BP52" s="170"/>
      <c r="BQ52" s="170"/>
      <c r="CH52">
        <v>963</v>
      </c>
      <c r="CI52">
        <v>35</v>
      </c>
      <c r="CJ52">
        <v>1</v>
      </c>
      <c r="CK52">
        <v>4</v>
      </c>
      <c r="CL52">
        <f t="shared" si="34"/>
        <v>1003</v>
      </c>
      <c r="CQ52">
        <v>3261</v>
      </c>
      <c r="CU52" s="16">
        <v>2338</v>
      </c>
      <c r="CV52" s="16">
        <f t="shared" si="6"/>
        <v>2171</v>
      </c>
      <c r="CW52" s="16">
        <v>167</v>
      </c>
      <c r="DK52" s="231">
        <v>1193</v>
      </c>
      <c r="DL52" s="230">
        <v>493</v>
      </c>
      <c r="DM52" s="231">
        <f t="shared" si="5"/>
        <v>2982.5</v>
      </c>
      <c r="DN52" s="231">
        <f t="shared" si="4"/>
        <v>1232.5</v>
      </c>
    </row>
    <row r="53" spans="1:132" x14ac:dyDescent="0.3">
      <c r="DR53" s="136"/>
      <c r="DS53" s="345" t="s">
        <v>221</v>
      </c>
      <c r="DT53" s="345"/>
      <c r="DU53" s="137"/>
      <c r="DV53" s="137"/>
      <c r="DW53" s="138" t="s">
        <v>46</v>
      </c>
      <c r="DX53" s="137"/>
      <c r="DY53" s="137"/>
      <c r="DZ53" s="137"/>
      <c r="EA53" s="137"/>
      <c r="EB53" s="139"/>
    </row>
    <row r="54" spans="1:132" ht="13.8" customHeight="1" thickBot="1" x14ac:dyDescent="0.35">
      <c r="B54" s="16">
        <f t="shared" ref="B54:AS54" si="35">AVERAGE(B42:B51)</f>
        <v>204592</v>
      </c>
      <c r="C54" s="16">
        <f t="shared" si="35"/>
        <v>4333.3999999999996</v>
      </c>
      <c r="D54" s="16">
        <f t="shared" si="35"/>
        <v>13029</v>
      </c>
      <c r="E54" s="16">
        <f t="shared" si="35"/>
        <v>289.3</v>
      </c>
      <c r="F54" s="16">
        <f t="shared" si="35"/>
        <v>1717.5</v>
      </c>
      <c r="G54" s="16">
        <f t="shared" si="35"/>
        <v>19369.2</v>
      </c>
      <c r="H54" s="204">
        <f t="shared" si="35"/>
        <v>2.0078233706227647E-2</v>
      </c>
      <c r="I54" s="204">
        <f t="shared" si="35"/>
        <v>6.3867526605350139E-2</v>
      </c>
      <c r="J54" s="204">
        <f t="shared" si="35"/>
        <v>1.5769460750954759E-3</v>
      </c>
      <c r="K54" s="204">
        <f t="shared" si="35"/>
        <v>8.6092073207338655E-3</v>
      </c>
      <c r="L54" s="204">
        <f t="shared" si="35"/>
        <v>9.4131913707407144E-2</v>
      </c>
      <c r="M54" s="16">
        <f t="shared" si="35"/>
        <v>185222.8</v>
      </c>
      <c r="N54" s="16">
        <f t="shared" si="35"/>
        <v>152204.4</v>
      </c>
      <c r="O54" s="16">
        <f t="shared" si="35"/>
        <v>25781</v>
      </c>
      <c r="P54" s="16">
        <f t="shared" si="35"/>
        <v>177985.4</v>
      </c>
      <c r="Q54" s="16">
        <f t="shared" si="35"/>
        <v>1869.6</v>
      </c>
      <c r="R54" s="16">
        <f t="shared" si="35"/>
        <v>1.6</v>
      </c>
      <c r="S54" s="16">
        <f t="shared" si="35"/>
        <v>7426</v>
      </c>
      <c r="T54" s="16">
        <f t="shared" si="35"/>
        <v>10957</v>
      </c>
      <c r="U54" s="16">
        <f t="shared" si="35"/>
        <v>20254.2</v>
      </c>
      <c r="V54" s="16">
        <f t="shared" si="35"/>
        <v>164969.1</v>
      </c>
      <c r="W54" s="48">
        <f t="shared" si="35"/>
        <v>0.81300000000000006</v>
      </c>
      <c r="X54" s="16"/>
      <c r="Y54" s="204">
        <f t="shared" si="35"/>
        <v>8.4948693738099434E-3</v>
      </c>
      <c r="Z54" s="204">
        <f t="shared" si="35"/>
        <v>8.5061520932237317E-2</v>
      </c>
      <c r="AA54" s="48">
        <f t="shared" si="35"/>
        <v>0.10918796948270071</v>
      </c>
      <c r="AB54" s="48">
        <f t="shared" si="35"/>
        <v>9.355639030604726E-2</v>
      </c>
      <c r="AC54" s="60">
        <f t="shared" si="35"/>
        <v>7.3939342054255577E-2</v>
      </c>
      <c r="AD54" s="60">
        <f t="shared" si="35"/>
        <v>2.0078233706227647E-2</v>
      </c>
      <c r="AE54" s="60">
        <f t="shared" si="35"/>
        <v>9.401757576048321E-2</v>
      </c>
      <c r="AF54" s="48">
        <f t="shared" si="35"/>
        <v>9.367072825297118E-2</v>
      </c>
      <c r="AG54" s="48">
        <f t="shared" si="35"/>
        <v>0.1876883040134544</v>
      </c>
      <c r="AH54" s="16"/>
      <c r="AI54" s="16">
        <f t="shared" si="35"/>
        <v>18022.099999999999</v>
      </c>
      <c r="AJ54" s="16">
        <f t="shared" si="35"/>
        <v>1881</v>
      </c>
      <c r="AK54" s="16">
        <f t="shared" si="35"/>
        <v>19903.099999999999</v>
      </c>
      <c r="AL54" s="16">
        <f t="shared" si="35"/>
        <v>68058.7</v>
      </c>
      <c r="AM54" s="16">
        <f t="shared" si="35"/>
        <v>11185.5</v>
      </c>
      <c r="AN54" s="16">
        <f t="shared" si="35"/>
        <v>79244.2</v>
      </c>
      <c r="AO54" s="16"/>
      <c r="AP54" s="16">
        <f t="shared" si="35"/>
        <v>99147.3</v>
      </c>
      <c r="AQ54" s="48">
        <f t="shared" si="35"/>
        <v>0.90000000000000013</v>
      </c>
      <c r="AR54" s="16">
        <f t="shared" si="35"/>
        <v>124604.17648109514</v>
      </c>
      <c r="AS54" s="16">
        <f t="shared" si="35"/>
        <v>53381.223518904859</v>
      </c>
      <c r="AT54" s="16"/>
      <c r="AU54" s="16"/>
      <c r="AV54" s="48">
        <f>AVERAGE(AV42:AV51)</f>
        <v>0.30889817865999974</v>
      </c>
      <c r="AW54" s="16">
        <f t="shared" ref="AW54:BA54" si="36">AVERAGE(AW42:AW51)</f>
        <v>59014.626149109194</v>
      </c>
      <c r="AX54" s="16">
        <f t="shared" si="36"/>
        <v>5633.4026302043412</v>
      </c>
      <c r="AY54" s="16">
        <f t="shared" si="36"/>
        <v>5813.6901855715232</v>
      </c>
      <c r="AZ54" s="16">
        <f t="shared" si="36"/>
        <v>11219.573606690235</v>
      </c>
      <c r="BA54" s="16">
        <f t="shared" si="36"/>
        <v>42810.780000000006</v>
      </c>
      <c r="BO54" s="16">
        <f>AVERAGE(BO42:BO51)</f>
        <v>1539.2</v>
      </c>
      <c r="BP54" s="16">
        <f t="shared" ref="BP54:BQ54" si="37">AVERAGE(BP42:BP51)</f>
        <v>877.1</v>
      </c>
      <c r="BQ54" s="16">
        <f t="shared" si="37"/>
        <v>1665.3</v>
      </c>
      <c r="CO54">
        <f>CP54*CQ54</f>
        <v>280.09041868836448</v>
      </c>
      <c r="CP54" s="61">
        <f>AVERAGE(CP30:CP36)</f>
        <v>6.6946416819246735E-2</v>
      </c>
      <c r="CQ54">
        <f>AVERAGE(CQ48:CQ52)</f>
        <v>4183.8</v>
      </c>
      <c r="DR54" s="140" t="s">
        <v>216</v>
      </c>
      <c r="DS54" s="141" t="s">
        <v>222</v>
      </c>
      <c r="DT54" s="141" t="s">
        <v>223</v>
      </c>
      <c r="DU54" s="141" t="s">
        <v>224</v>
      </c>
      <c r="DV54" s="141" t="s">
        <v>225</v>
      </c>
      <c r="DW54" s="142" t="s">
        <v>226</v>
      </c>
      <c r="DX54" s="141" t="s">
        <v>227</v>
      </c>
      <c r="DY54" s="141" t="s">
        <v>228</v>
      </c>
      <c r="DZ54" s="141" t="s">
        <v>229</v>
      </c>
      <c r="EA54" s="141" t="s">
        <v>230</v>
      </c>
      <c r="EB54" s="143" t="s">
        <v>231</v>
      </c>
    </row>
    <row r="55" spans="1:132" x14ac:dyDescent="0.3">
      <c r="A55" t="s">
        <v>212</v>
      </c>
      <c r="BO55" s="16">
        <f>GEOMEAN(Runs!BO42:BO51)</f>
        <v>1376.4697349795661</v>
      </c>
      <c r="BP55" s="16">
        <f>GEOMEAN(Runs!BP42:BP51)</f>
        <v>653.03920069204298</v>
      </c>
      <c r="BQ55" s="16">
        <f>GEOMEAN(Runs!BQ42:BQ51)</f>
        <v>1390.7587133324496</v>
      </c>
      <c r="CD55">
        <f>GEOMEAN(CD33:CD42)</f>
        <v>1015.0900555114437</v>
      </c>
      <c r="CI55">
        <f>AVERAGE(CI43:CI52)</f>
        <v>61.2</v>
      </c>
      <c r="CU55" s="16">
        <f>GEOMEAN(CU43:CU52)</f>
        <v>6876.1357367427554</v>
      </c>
      <c r="CV55" s="16">
        <f t="shared" ref="CV55:CW55" si="38">GEOMEAN(CV43:CV52)</f>
        <v>5214.2686762613475</v>
      </c>
      <c r="CW55" s="16">
        <f t="shared" si="38"/>
        <v>1289.954525421469</v>
      </c>
      <c r="DK55" s="16">
        <f t="shared" ref="DK55:DN55" si="39">GEOMEAN(DK43:DK52)</f>
        <v>1169.9975823250918</v>
      </c>
      <c r="DL55" s="16">
        <f t="shared" si="39"/>
        <v>474.52882820096949</v>
      </c>
      <c r="DM55" s="16">
        <f t="shared" si="39"/>
        <v>2924.9939558127294</v>
      </c>
      <c r="DN55" s="16">
        <f t="shared" si="39"/>
        <v>1186.3220705024237</v>
      </c>
      <c r="DR55" s="144">
        <v>2001</v>
      </c>
      <c r="DS55" s="145">
        <v>560</v>
      </c>
      <c r="DT55" s="145">
        <v>42</v>
      </c>
      <c r="DU55" s="145">
        <v>602</v>
      </c>
      <c r="DV55" s="146">
        <v>7.0000000000000007E-2</v>
      </c>
      <c r="DW55" s="145">
        <v>130</v>
      </c>
      <c r="DX55" s="147">
        <v>0.23200000000000001</v>
      </c>
      <c r="DY55" s="145">
        <v>10</v>
      </c>
      <c r="DZ55" s="145">
        <v>1</v>
      </c>
      <c r="EA55" s="147">
        <v>2.3E-2</v>
      </c>
      <c r="EB55" s="148">
        <v>131</v>
      </c>
    </row>
    <row r="56" spans="1:132" ht="13.8" customHeight="1" x14ac:dyDescent="0.3">
      <c r="BV56" t="s">
        <v>220</v>
      </c>
      <c r="CC56" s="225"/>
      <c r="CD56" s="225"/>
      <c r="CE56" s="225"/>
      <c r="CF56" s="226"/>
      <c r="CG56" s="225"/>
      <c r="CH56" s="225"/>
      <c r="CI56" s="225"/>
      <c r="CJ56" s="225"/>
      <c r="CK56" s="225"/>
      <c r="CL56" s="225"/>
      <c r="DR56" s="144">
        <v>2002</v>
      </c>
      <c r="DS56" s="145">
        <v>101</v>
      </c>
      <c r="DT56" s="145">
        <v>69</v>
      </c>
      <c r="DU56" s="145">
        <v>170</v>
      </c>
      <c r="DV56" s="146">
        <v>0.40600000000000003</v>
      </c>
      <c r="DW56" s="149" t="s">
        <v>209</v>
      </c>
      <c r="DX56" s="149" t="s">
        <v>209</v>
      </c>
      <c r="DZ56" s="149">
        <v>0</v>
      </c>
      <c r="EA56" s="149" t="s">
        <v>209</v>
      </c>
      <c r="EB56" s="148">
        <v>112</v>
      </c>
    </row>
    <row r="57" spans="1:132" ht="15" thickBot="1" x14ac:dyDescent="0.35">
      <c r="M57">
        <v>0</v>
      </c>
      <c r="N57" s="16">
        <v>0</v>
      </c>
      <c r="AC57" t="s">
        <v>103</v>
      </c>
      <c r="BV57" s="135" t="s">
        <v>219</v>
      </c>
      <c r="BW57" s="135"/>
      <c r="CC57" s="220"/>
      <c r="CD57" s="220"/>
      <c r="CE57" s="220"/>
      <c r="CF57" s="226"/>
      <c r="CG57" s="220"/>
      <c r="CH57" s="220"/>
      <c r="CI57" s="220"/>
      <c r="CJ57" s="220"/>
      <c r="CK57" s="220"/>
      <c r="CL57" s="220"/>
      <c r="DC57" s="135" t="s">
        <v>242</v>
      </c>
      <c r="DR57" s="144">
        <v>2003</v>
      </c>
      <c r="DS57" s="145">
        <v>338</v>
      </c>
      <c r="DT57" s="145">
        <v>62</v>
      </c>
      <c r="DU57" s="145">
        <v>400</v>
      </c>
      <c r="DV57" s="146">
        <v>0.155</v>
      </c>
      <c r="DW57" s="145">
        <v>0</v>
      </c>
      <c r="DX57" s="147">
        <v>0</v>
      </c>
      <c r="DY57" s="145">
        <v>0</v>
      </c>
      <c r="DZ57" s="145">
        <v>0</v>
      </c>
      <c r="EA57" s="147">
        <v>0</v>
      </c>
      <c r="EB57" s="148">
        <v>0</v>
      </c>
    </row>
    <row r="58" spans="1:132" ht="18" customHeight="1" x14ac:dyDescent="0.3">
      <c r="M58">
        <v>450000</v>
      </c>
      <c r="N58" s="16">
        <v>450000</v>
      </c>
      <c r="AC58" t="s">
        <v>105</v>
      </c>
      <c r="AD58" s="62">
        <f>AC54</f>
        <v>7.3939342054255577E-2</v>
      </c>
      <c r="BV58" s="120"/>
      <c r="BW58" s="120"/>
      <c r="BX58" s="177" t="s">
        <v>214</v>
      </c>
      <c r="BY58" s="178"/>
      <c r="BZ58" s="179"/>
      <c r="CA58" s="180" t="s">
        <v>215</v>
      </c>
      <c r="CB58" s="179"/>
      <c r="CC58" s="227"/>
      <c r="CD58" s="227"/>
      <c r="CE58" s="227"/>
      <c r="CF58" s="226"/>
      <c r="CG58" s="227"/>
      <c r="CH58" s="227"/>
      <c r="CI58" s="227"/>
      <c r="CJ58" s="227"/>
      <c r="CK58" s="227"/>
      <c r="CL58" s="227"/>
      <c r="DR58" s="144">
        <v>2004</v>
      </c>
      <c r="DS58" s="145">
        <v>98</v>
      </c>
      <c r="DT58" s="145">
        <v>144</v>
      </c>
      <c r="DU58" s="145">
        <v>242</v>
      </c>
      <c r="DV58" s="146">
        <v>0.59499999999999997</v>
      </c>
      <c r="DW58" s="145">
        <v>0</v>
      </c>
      <c r="DX58" s="147">
        <v>0</v>
      </c>
      <c r="DY58" s="145">
        <v>0</v>
      </c>
      <c r="DZ58" s="145">
        <v>0</v>
      </c>
      <c r="EA58" s="147">
        <v>0</v>
      </c>
      <c r="EB58" s="148">
        <v>0</v>
      </c>
    </row>
    <row r="59" spans="1:132" ht="15" thickBot="1" x14ac:dyDescent="0.35">
      <c r="AC59" t="s">
        <v>106</v>
      </c>
      <c r="AD59" s="62">
        <f>AD54</f>
        <v>2.0078233706227647E-2</v>
      </c>
      <c r="BV59" s="121" t="s">
        <v>216</v>
      </c>
      <c r="BW59" s="121"/>
      <c r="BX59" s="122" t="s">
        <v>217</v>
      </c>
      <c r="BY59" s="123" t="s">
        <v>218</v>
      </c>
      <c r="BZ59" s="124" t="s">
        <v>0</v>
      </c>
      <c r="CA59" s="123" t="s">
        <v>217</v>
      </c>
      <c r="CB59" s="124" t="s">
        <v>218</v>
      </c>
      <c r="CC59" s="227"/>
      <c r="CD59" s="227"/>
      <c r="CE59" s="227"/>
      <c r="CF59" s="226"/>
      <c r="CG59" s="227"/>
      <c r="CH59" s="227"/>
      <c r="CI59" s="227"/>
      <c r="CJ59" s="227"/>
      <c r="CK59" s="227"/>
      <c r="CL59" s="227"/>
      <c r="DR59" s="144">
        <v>2005</v>
      </c>
      <c r="DS59" s="145">
        <v>589</v>
      </c>
      <c r="DT59" s="145">
        <v>107</v>
      </c>
      <c r="DU59" s="145">
        <v>696</v>
      </c>
      <c r="DV59" s="146">
        <v>0.154</v>
      </c>
      <c r="DW59" s="145">
        <v>36</v>
      </c>
      <c r="DX59" s="147">
        <v>6.0999999999999999E-2</v>
      </c>
      <c r="DY59" s="145">
        <v>7</v>
      </c>
      <c r="DZ59" s="145">
        <v>1</v>
      </c>
      <c r="EA59" s="147">
        <v>6.0000000000000001E-3</v>
      </c>
      <c r="EB59" s="148">
        <v>37</v>
      </c>
    </row>
    <row r="60" spans="1:132" x14ac:dyDescent="0.3">
      <c r="AC60" t="s">
        <v>104</v>
      </c>
      <c r="AD60" s="61">
        <f>AF54</f>
        <v>9.367072825297118E-2</v>
      </c>
      <c r="BV60" s="125">
        <v>2003</v>
      </c>
      <c r="BW60" s="125"/>
      <c r="BX60" s="126">
        <v>0</v>
      </c>
      <c r="BY60" s="127">
        <v>899</v>
      </c>
      <c r="BZ60" s="128">
        <v>899</v>
      </c>
      <c r="CA60" s="127">
        <v>0</v>
      </c>
      <c r="CB60" s="128">
        <v>0</v>
      </c>
      <c r="CC60" s="227"/>
      <c r="CD60" s="227"/>
      <c r="CE60" s="227"/>
      <c r="CF60" s="226"/>
      <c r="CG60" s="227"/>
      <c r="CH60" s="227"/>
      <c r="CI60" s="227"/>
      <c r="CJ60" s="227"/>
      <c r="CK60" s="227"/>
      <c r="CL60" s="227"/>
      <c r="DC60" s="136"/>
      <c r="DD60" s="344" t="s">
        <v>238</v>
      </c>
      <c r="DE60" s="345"/>
      <c r="DF60" s="139"/>
      <c r="DR60" s="144">
        <v>2006</v>
      </c>
      <c r="DS60" s="145">
        <v>939</v>
      </c>
      <c r="DT60" s="145">
        <v>297</v>
      </c>
      <c r="DU60" s="150">
        <v>1236</v>
      </c>
      <c r="DV60" s="146">
        <v>0.24</v>
      </c>
      <c r="DW60" s="145">
        <v>0</v>
      </c>
      <c r="DX60" s="147">
        <v>0</v>
      </c>
      <c r="DY60" s="145">
        <v>0</v>
      </c>
      <c r="DZ60" s="145">
        <v>0</v>
      </c>
      <c r="EA60" s="147">
        <v>0</v>
      </c>
      <c r="EB60" s="148">
        <v>0</v>
      </c>
    </row>
    <row r="61" spans="1:132" ht="19.8" customHeight="1" thickBot="1" x14ac:dyDescent="0.35">
      <c r="AC61" t="s">
        <v>53</v>
      </c>
      <c r="AD61">
        <v>0.05</v>
      </c>
      <c r="BV61" s="125">
        <v>2004</v>
      </c>
      <c r="BW61" s="125"/>
      <c r="BX61" s="126">
        <v>0</v>
      </c>
      <c r="BY61" s="127">
        <v>327</v>
      </c>
      <c r="BZ61" s="128">
        <v>327</v>
      </c>
      <c r="CA61" s="127">
        <v>0</v>
      </c>
      <c r="CB61" s="128">
        <v>0</v>
      </c>
      <c r="CC61" s="227"/>
      <c r="CD61" s="227"/>
      <c r="CE61" s="227"/>
      <c r="CF61" s="226"/>
      <c r="CG61" s="227"/>
      <c r="CH61" s="227"/>
      <c r="CI61" s="227"/>
      <c r="CJ61" s="227"/>
      <c r="CK61" s="227"/>
      <c r="CL61" s="227"/>
      <c r="DC61" s="155" t="s">
        <v>216</v>
      </c>
      <c r="DD61" s="156" t="s">
        <v>218</v>
      </c>
      <c r="DE61" s="157" t="s">
        <v>239</v>
      </c>
      <c r="DF61" s="158" t="s">
        <v>0</v>
      </c>
      <c r="DR61" s="144">
        <v>2007</v>
      </c>
      <c r="DS61" s="145">
        <v>327</v>
      </c>
      <c r="DT61" s="145">
        <v>133</v>
      </c>
      <c r="DU61" s="145">
        <v>460</v>
      </c>
      <c r="DV61" s="146">
        <v>0.28899999999999998</v>
      </c>
      <c r="DW61" s="145">
        <v>52</v>
      </c>
      <c r="DX61" s="147">
        <v>0.159</v>
      </c>
      <c r="DY61" s="145">
        <v>21</v>
      </c>
      <c r="DZ61" s="145">
        <v>2</v>
      </c>
      <c r="EA61" s="147">
        <v>1.6E-2</v>
      </c>
      <c r="EB61" s="148">
        <v>54</v>
      </c>
    </row>
    <row r="62" spans="1:132" x14ac:dyDescent="0.3">
      <c r="BV62" s="125">
        <v>2005</v>
      </c>
      <c r="BW62" s="125"/>
      <c r="BX62" s="126">
        <v>0</v>
      </c>
      <c r="BY62" s="127">
        <v>518</v>
      </c>
      <c r="BZ62" s="128">
        <v>518</v>
      </c>
      <c r="CA62" s="127">
        <v>0</v>
      </c>
      <c r="CB62" s="128">
        <v>0</v>
      </c>
      <c r="CC62" s="227"/>
      <c r="CD62" s="227"/>
      <c r="CE62" s="227"/>
      <c r="CF62" s="226"/>
      <c r="CG62" s="227"/>
      <c r="CH62" s="227"/>
      <c r="CI62" s="227"/>
      <c r="CJ62" s="227"/>
      <c r="CK62" s="227"/>
      <c r="CL62" s="227"/>
      <c r="DC62" s="144">
        <v>1989</v>
      </c>
      <c r="DD62" s="144">
        <v>878</v>
      </c>
      <c r="DE62" s="134"/>
      <c r="DF62" s="148">
        <v>878</v>
      </c>
      <c r="DR62" s="144">
        <v>2008</v>
      </c>
      <c r="DS62" s="145">
        <v>936</v>
      </c>
      <c r="DT62" s="145">
        <v>61</v>
      </c>
      <c r="DU62" s="145">
        <v>997</v>
      </c>
      <c r="DV62" s="146">
        <v>6.0999999999999999E-2</v>
      </c>
      <c r="DW62" s="145">
        <v>120</v>
      </c>
      <c r="DX62" s="147">
        <v>0.128</v>
      </c>
      <c r="DY62" s="145">
        <v>8</v>
      </c>
      <c r="DZ62" s="145">
        <v>1</v>
      </c>
      <c r="EA62" s="147">
        <v>1.2999999999999999E-2</v>
      </c>
      <c r="EB62" s="148">
        <v>121</v>
      </c>
    </row>
    <row r="63" spans="1:132" x14ac:dyDescent="0.3">
      <c r="BV63" s="125">
        <v>2006</v>
      </c>
      <c r="BW63" s="125"/>
      <c r="BX63" s="126">
        <v>0</v>
      </c>
      <c r="BY63" s="129">
        <v>1358</v>
      </c>
      <c r="BZ63" s="130">
        <v>1358</v>
      </c>
      <c r="CA63" s="127">
        <v>0</v>
      </c>
      <c r="CB63" s="128">
        <v>0</v>
      </c>
      <c r="CC63" s="227"/>
      <c r="CD63" s="227"/>
      <c r="CE63" s="227"/>
      <c r="CF63" s="226"/>
      <c r="CG63" s="227"/>
      <c r="CH63" s="227"/>
      <c r="CI63" s="227"/>
      <c r="CJ63" s="227"/>
      <c r="CK63" s="227"/>
      <c r="CL63" s="227"/>
      <c r="DC63" s="144">
        <v>1990</v>
      </c>
      <c r="DD63" s="144">
        <v>660</v>
      </c>
      <c r="DE63" s="134"/>
      <c r="DF63" s="148">
        <v>660</v>
      </c>
      <c r="DR63" s="144">
        <v>2009</v>
      </c>
      <c r="DS63" s="150">
        <v>1248</v>
      </c>
      <c r="DT63" s="145">
        <v>66</v>
      </c>
      <c r="DU63" s="150">
        <v>1314</v>
      </c>
      <c r="DV63" s="146">
        <v>0.05</v>
      </c>
      <c r="DW63" s="145">
        <v>143</v>
      </c>
      <c r="DX63" s="147">
        <v>0.115</v>
      </c>
      <c r="DY63" s="145">
        <v>8</v>
      </c>
      <c r="DZ63" s="145">
        <v>1</v>
      </c>
      <c r="EA63" s="147">
        <v>1.0999999999999999E-2</v>
      </c>
      <c r="EB63" s="148">
        <v>144</v>
      </c>
    </row>
    <row r="64" spans="1:132" x14ac:dyDescent="0.3">
      <c r="BV64" s="125">
        <v>2007</v>
      </c>
      <c r="BW64" s="125"/>
      <c r="BX64" s="126">
        <v>0</v>
      </c>
      <c r="BY64" s="127">
        <v>134</v>
      </c>
      <c r="BZ64" s="128">
        <v>134</v>
      </c>
      <c r="CA64" s="127">
        <v>0</v>
      </c>
      <c r="CB64" s="128">
        <v>0</v>
      </c>
      <c r="CC64" s="227"/>
      <c r="CD64" s="227"/>
      <c r="CE64" s="227"/>
      <c r="CF64" s="226"/>
      <c r="CG64" s="227"/>
      <c r="CH64" s="227"/>
      <c r="CI64" s="227"/>
      <c r="CJ64" s="227"/>
      <c r="CK64" s="227"/>
      <c r="CL64" s="227"/>
      <c r="DC64" s="144">
        <v>1991</v>
      </c>
      <c r="DD64" s="144">
        <v>0</v>
      </c>
      <c r="DE64" s="134"/>
      <c r="DF64" s="148">
        <v>0</v>
      </c>
      <c r="DR64" s="144">
        <v>2010</v>
      </c>
      <c r="DS64" s="145">
        <v>507</v>
      </c>
      <c r="DT64" s="145">
        <v>128</v>
      </c>
      <c r="DU64" s="145">
        <v>635</v>
      </c>
      <c r="DV64" s="146">
        <v>0.20200000000000001</v>
      </c>
      <c r="DW64" s="145">
        <v>71</v>
      </c>
      <c r="DX64" s="147">
        <v>0.14000000000000001</v>
      </c>
      <c r="DY64" s="145">
        <v>18</v>
      </c>
      <c r="DZ64" s="145">
        <v>2</v>
      </c>
      <c r="EA64" s="147">
        <v>1.4E-2</v>
      </c>
      <c r="EB64" s="148">
        <v>73</v>
      </c>
    </row>
    <row r="65" spans="74:132" x14ac:dyDescent="0.3">
      <c r="BV65" s="125">
        <v>2008</v>
      </c>
      <c r="BW65" s="125"/>
      <c r="BX65" s="126">
        <v>11</v>
      </c>
      <c r="BY65" s="127">
        <v>177</v>
      </c>
      <c r="BZ65" s="128">
        <v>188</v>
      </c>
      <c r="CA65" s="127">
        <v>0</v>
      </c>
      <c r="CB65" s="128">
        <v>0</v>
      </c>
      <c r="CC65" s="227"/>
      <c r="CD65" s="227"/>
      <c r="CE65" s="227"/>
      <c r="CF65" s="226"/>
      <c r="CG65" s="227"/>
      <c r="CH65" s="227"/>
      <c r="CI65" s="227"/>
      <c r="CJ65" s="227"/>
      <c r="CK65" s="227"/>
      <c r="CL65" s="227"/>
      <c r="DC65" s="144">
        <v>1992</v>
      </c>
      <c r="DD65" s="144">
        <v>242</v>
      </c>
      <c r="DE65" s="134"/>
      <c r="DF65" s="148">
        <v>242</v>
      </c>
      <c r="DR65" s="144">
        <v>2011</v>
      </c>
      <c r="DS65" s="150">
        <v>1377</v>
      </c>
      <c r="DU65" s="150">
        <v>1377</v>
      </c>
      <c r="DV65" s="146">
        <v>0</v>
      </c>
      <c r="DW65" s="145">
        <v>270</v>
      </c>
      <c r="DX65" s="147">
        <v>0.19600000000000001</v>
      </c>
      <c r="EB65" s="148">
        <v>270</v>
      </c>
    </row>
    <row r="66" spans="74:132" x14ac:dyDescent="0.3">
      <c r="BV66" s="125">
        <v>2009</v>
      </c>
      <c r="BW66" s="125"/>
      <c r="BX66" s="126">
        <v>0</v>
      </c>
      <c r="BY66" s="127">
        <v>492</v>
      </c>
      <c r="BZ66" s="128">
        <v>492</v>
      </c>
      <c r="CA66" s="127">
        <v>0</v>
      </c>
      <c r="CB66" s="128">
        <v>0</v>
      </c>
      <c r="CC66" s="227"/>
      <c r="CD66" s="227"/>
      <c r="CE66" s="227"/>
      <c r="CF66" s="226"/>
      <c r="CG66" s="227"/>
      <c r="CH66" s="227"/>
      <c r="CI66" s="227"/>
      <c r="CJ66" s="227"/>
      <c r="CK66" s="227"/>
      <c r="CL66" s="227"/>
      <c r="DC66" s="144">
        <v>1993</v>
      </c>
      <c r="DD66" s="159">
        <v>1492</v>
      </c>
      <c r="DE66" s="134"/>
      <c r="DF66" s="160">
        <v>1492</v>
      </c>
      <c r="DR66" s="144">
        <v>2012</v>
      </c>
      <c r="DS66" s="150">
        <v>1114</v>
      </c>
      <c r="DU66" s="150">
        <v>1114</v>
      </c>
      <c r="DV66" s="146">
        <v>0</v>
      </c>
      <c r="DW66" s="145">
        <v>61</v>
      </c>
      <c r="DX66" s="147">
        <v>5.5E-2</v>
      </c>
      <c r="EB66" s="148">
        <v>61</v>
      </c>
    </row>
    <row r="67" spans="74:132" x14ac:dyDescent="0.3">
      <c r="BV67" s="125">
        <v>2010</v>
      </c>
      <c r="BW67" s="125"/>
      <c r="BX67" s="126">
        <v>26</v>
      </c>
      <c r="BY67" s="127">
        <v>495</v>
      </c>
      <c r="BZ67" s="128">
        <v>521</v>
      </c>
      <c r="CA67" s="127">
        <v>0</v>
      </c>
      <c r="CB67" s="128">
        <v>0</v>
      </c>
      <c r="CC67" s="227"/>
      <c r="CD67" s="227"/>
      <c r="CE67" s="227"/>
      <c r="CF67" s="226"/>
      <c r="CG67" s="227"/>
      <c r="CH67" s="227"/>
      <c r="CI67" s="227"/>
      <c r="CJ67" s="227"/>
      <c r="CK67" s="227"/>
      <c r="CL67" s="227"/>
      <c r="DC67" s="144">
        <v>1994</v>
      </c>
      <c r="DD67" s="144">
        <v>0</v>
      </c>
      <c r="DE67" s="134"/>
      <c r="DF67" s="148">
        <v>0</v>
      </c>
      <c r="DR67" s="144">
        <v>2013</v>
      </c>
      <c r="DS67" s="145">
        <v>820</v>
      </c>
      <c r="DT67" s="145">
        <v>40</v>
      </c>
      <c r="DU67" s="145">
        <v>860</v>
      </c>
      <c r="DV67" s="146">
        <v>4.7E-2</v>
      </c>
      <c r="DW67" s="145">
        <v>138</v>
      </c>
      <c r="DX67" s="147">
        <v>0.16800000000000001</v>
      </c>
      <c r="DY67" s="145">
        <v>7</v>
      </c>
      <c r="DZ67" s="145">
        <v>1</v>
      </c>
      <c r="EA67" s="147">
        <v>1.7000000000000001E-2</v>
      </c>
      <c r="EB67" s="148">
        <v>139</v>
      </c>
    </row>
    <row r="68" spans="74:132" x14ac:dyDescent="0.3">
      <c r="BV68" s="125">
        <v>2011</v>
      </c>
      <c r="BW68" s="125"/>
      <c r="BX68" s="126">
        <v>16</v>
      </c>
      <c r="BY68" s="127">
        <v>246</v>
      </c>
      <c r="BZ68" s="128">
        <v>262</v>
      </c>
      <c r="CA68" s="127">
        <v>0</v>
      </c>
      <c r="CB68" s="128">
        <v>0</v>
      </c>
      <c r="CC68" s="227"/>
      <c r="CD68" s="227"/>
      <c r="CE68" s="227"/>
      <c r="CF68" s="226"/>
      <c r="CG68" s="227"/>
      <c r="CH68" s="227"/>
      <c r="CI68" s="227"/>
      <c r="CJ68" s="227"/>
      <c r="CK68" s="227"/>
      <c r="CL68" s="227"/>
      <c r="DC68" s="144">
        <v>1995</v>
      </c>
      <c r="DD68" s="144">
        <v>0</v>
      </c>
      <c r="DE68" s="134"/>
      <c r="DF68" s="148">
        <v>0</v>
      </c>
      <c r="DR68" s="144">
        <v>2014</v>
      </c>
      <c r="DS68" s="150">
        <v>1086</v>
      </c>
      <c r="DT68" s="145">
        <v>25</v>
      </c>
      <c r="DU68" s="150">
        <v>1111</v>
      </c>
      <c r="DV68" s="146">
        <v>2.3E-2</v>
      </c>
      <c r="DW68" s="145">
        <v>389</v>
      </c>
      <c r="DX68" s="147">
        <v>0.35799999999999998</v>
      </c>
      <c r="DY68" s="145">
        <v>9</v>
      </c>
      <c r="DZ68" s="145">
        <v>1</v>
      </c>
      <c r="EA68" s="147">
        <v>3.5999999999999997E-2</v>
      </c>
      <c r="EB68" s="148">
        <v>390</v>
      </c>
    </row>
    <row r="69" spans="74:132" x14ac:dyDescent="0.3">
      <c r="BV69" s="125">
        <v>2012</v>
      </c>
      <c r="BW69" s="125"/>
      <c r="BX69" s="126">
        <v>1</v>
      </c>
      <c r="BY69" s="127">
        <v>515</v>
      </c>
      <c r="BZ69" s="128">
        <v>516</v>
      </c>
      <c r="CA69" s="127">
        <v>0</v>
      </c>
      <c r="CB69" s="128">
        <v>0</v>
      </c>
      <c r="CC69" s="227"/>
      <c r="CD69" s="227"/>
      <c r="CE69" s="227"/>
      <c r="CF69" s="226"/>
      <c r="CG69" s="227"/>
      <c r="CH69" s="227"/>
      <c r="CI69" s="227"/>
      <c r="CJ69" s="227"/>
      <c r="CK69" s="227"/>
      <c r="CL69" s="227"/>
      <c r="DC69" s="144">
        <v>1996</v>
      </c>
      <c r="DD69" s="159">
        <v>1880</v>
      </c>
      <c r="DE69" s="134"/>
      <c r="DF69" s="160">
        <v>1880</v>
      </c>
      <c r="DR69" s="144">
        <v>2015</v>
      </c>
      <c r="DS69" s="150">
        <v>2223</v>
      </c>
      <c r="DT69" s="145">
        <v>108</v>
      </c>
      <c r="DU69" s="150">
        <v>2331</v>
      </c>
      <c r="DV69" s="146">
        <v>4.5999999999999999E-2</v>
      </c>
      <c r="DW69" s="145">
        <v>205</v>
      </c>
      <c r="DX69" s="147">
        <v>9.1999999999999998E-2</v>
      </c>
      <c r="DZ69" s="145">
        <v>4</v>
      </c>
      <c r="EA69" s="147">
        <v>3.6999999999999998E-2</v>
      </c>
      <c r="EB69" s="148">
        <v>209</v>
      </c>
    </row>
    <row r="70" spans="74:132" x14ac:dyDescent="0.3">
      <c r="BV70" s="125">
        <v>2013</v>
      </c>
      <c r="BW70" s="125"/>
      <c r="BX70" s="126">
        <v>1</v>
      </c>
      <c r="BY70" s="127">
        <v>282</v>
      </c>
      <c r="BZ70" s="128">
        <v>283</v>
      </c>
      <c r="CA70" s="127">
        <v>0</v>
      </c>
      <c r="CB70" s="128">
        <v>0</v>
      </c>
      <c r="CC70" s="227"/>
      <c r="CD70" s="227"/>
      <c r="CE70" s="227"/>
      <c r="CF70" s="226"/>
      <c r="CG70" s="227"/>
      <c r="CH70" s="227"/>
      <c r="CI70" s="227"/>
      <c r="CJ70" s="227"/>
      <c r="CK70" s="227"/>
      <c r="CL70" s="227"/>
      <c r="DC70" s="144">
        <v>1997</v>
      </c>
      <c r="DD70" s="144">
        <v>896</v>
      </c>
      <c r="DE70" s="134"/>
      <c r="DF70" s="148">
        <v>896</v>
      </c>
      <c r="DR70" s="144">
        <v>2016</v>
      </c>
      <c r="DS70" s="150">
        <v>1846</v>
      </c>
      <c r="DT70" s="145">
        <v>150</v>
      </c>
      <c r="DU70" s="150">
        <v>1996</v>
      </c>
      <c r="DV70" s="146">
        <v>7.4999999999999997E-2</v>
      </c>
      <c r="DW70" s="145">
        <v>211</v>
      </c>
      <c r="DX70" s="147">
        <v>0.114</v>
      </c>
      <c r="DZ70" s="145">
        <v>1</v>
      </c>
      <c r="EA70" s="147">
        <v>7.0000000000000001E-3</v>
      </c>
      <c r="EB70" s="148">
        <v>212</v>
      </c>
    </row>
    <row r="71" spans="74:132" ht="15" thickBot="1" x14ac:dyDescent="0.35">
      <c r="BV71" s="125">
        <v>2014</v>
      </c>
      <c r="BW71" s="125"/>
      <c r="BX71" s="126">
        <v>0</v>
      </c>
      <c r="BY71" s="127">
        <v>114</v>
      </c>
      <c r="BZ71" s="128">
        <v>114</v>
      </c>
      <c r="CA71" s="127">
        <v>0</v>
      </c>
      <c r="CB71" s="128">
        <v>0</v>
      </c>
      <c r="CC71" s="227"/>
      <c r="CD71" s="227"/>
      <c r="CE71" s="227"/>
      <c r="CF71" s="226"/>
      <c r="CG71" s="227"/>
      <c r="CH71" s="227"/>
      <c r="CI71" s="227"/>
      <c r="CJ71" s="227"/>
      <c r="CK71" s="227"/>
      <c r="CL71" s="227"/>
      <c r="DC71" s="144">
        <v>1998</v>
      </c>
      <c r="DD71" s="144">
        <v>0</v>
      </c>
      <c r="DE71" s="134"/>
      <c r="DF71" s="148">
        <v>0</v>
      </c>
      <c r="DR71" s="140" t="s">
        <v>232</v>
      </c>
      <c r="DS71" s="151">
        <v>1240</v>
      </c>
      <c r="DT71" s="152">
        <v>83</v>
      </c>
      <c r="DU71" s="151">
        <v>1304</v>
      </c>
      <c r="DV71" s="153">
        <v>0</v>
      </c>
      <c r="DW71" s="152">
        <v>179</v>
      </c>
      <c r="DX71" s="154">
        <v>0.152</v>
      </c>
      <c r="DY71" s="152">
        <v>10</v>
      </c>
      <c r="DZ71" s="152">
        <v>1</v>
      </c>
      <c r="EA71" s="154">
        <v>1.9E-2</v>
      </c>
      <c r="EB71" s="153">
        <v>180</v>
      </c>
    </row>
    <row r="72" spans="74:132" ht="15" thickBot="1" x14ac:dyDescent="0.35">
      <c r="BV72" s="125">
        <v>2015</v>
      </c>
      <c r="BW72" s="125"/>
      <c r="BX72" s="126">
        <v>0</v>
      </c>
      <c r="BY72" s="127">
        <v>139</v>
      </c>
      <c r="BZ72" s="128">
        <v>139</v>
      </c>
      <c r="CA72" s="127">
        <v>0</v>
      </c>
      <c r="CB72" s="128">
        <v>0</v>
      </c>
      <c r="DC72" s="144">
        <v>1999</v>
      </c>
      <c r="DD72" s="144">
        <v>0</v>
      </c>
      <c r="DE72" s="134"/>
      <c r="DF72" s="148">
        <v>0</v>
      </c>
      <c r="DR72" s="140" t="s">
        <v>233</v>
      </c>
      <c r="DS72" s="151">
        <v>2223</v>
      </c>
      <c r="DT72" s="152">
        <v>150</v>
      </c>
      <c r="DU72" s="151">
        <v>2331</v>
      </c>
      <c r="DV72" s="152">
        <v>0</v>
      </c>
      <c r="DW72" s="152">
        <v>389</v>
      </c>
      <c r="DX72" s="152">
        <v>0</v>
      </c>
      <c r="DY72" s="152">
        <v>18</v>
      </c>
      <c r="DZ72" s="152">
        <v>4</v>
      </c>
      <c r="EA72" s="154">
        <v>3.6999999999999998E-2</v>
      </c>
      <c r="EB72" s="153">
        <v>390</v>
      </c>
    </row>
    <row r="73" spans="74:132" ht="15" thickBot="1" x14ac:dyDescent="0.35">
      <c r="BV73" s="121">
        <v>2016</v>
      </c>
      <c r="BW73" s="121"/>
      <c r="BX73" s="131">
        <v>0</v>
      </c>
      <c r="BY73" s="132">
        <v>107</v>
      </c>
      <c r="BZ73" s="133">
        <v>107</v>
      </c>
      <c r="CA73" s="132">
        <v>0</v>
      </c>
      <c r="CB73" s="133">
        <v>0</v>
      </c>
      <c r="DC73" s="144">
        <v>2000</v>
      </c>
      <c r="DD73" s="144">
        <v>880</v>
      </c>
      <c r="DE73" s="134"/>
      <c r="DF73" s="148">
        <v>880</v>
      </c>
      <c r="DR73" s="345" t="s">
        <v>234</v>
      </c>
      <c r="DS73" s="345"/>
      <c r="DT73" s="345"/>
      <c r="DU73" s="345"/>
      <c r="DV73" s="345"/>
      <c r="DW73" s="345"/>
    </row>
    <row r="74" spans="74:132" x14ac:dyDescent="0.3">
      <c r="DC74" s="144">
        <v>2001</v>
      </c>
      <c r="DD74" s="159">
        <v>6916</v>
      </c>
      <c r="DE74" s="134"/>
      <c r="DF74" s="160">
        <v>6916</v>
      </c>
      <c r="DR74" s="343" t="s">
        <v>235</v>
      </c>
      <c r="DS74" s="343"/>
      <c r="DT74" s="343"/>
      <c r="DU74" s="343"/>
      <c r="DV74" s="343"/>
    </row>
    <row r="75" spans="74:132" ht="22.5" customHeight="1" x14ac:dyDescent="0.3">
      <c r="DC75" s="144">
        <v>2002</v>
      </c>
      <c r="DD75" s="159">
        <v>6108</v>
      </c>
      <c r="DE75" s="134"/>
      <c r="DF75" s="160">
        <v>6108</v>
      </c>
      <c r="DR75" s="342" t="s">
        <v>236</v>
      </c>
      <c r="DS75" s="342"/>
      <c r="DT75" s="342"/>
      <c r="DU75" s="342"/>
      <c r="DV75" s="342"/>
      <c r="DW75" s="342"/>
      <c r="DX75" s="342"/>
      <c r="DY75" s="342"/>
      <c r="DZ75" s="342"/>
      <c r="EA75" s="342"/>
      <c r="EB75" s="342"/>
    </row>
    <row r="76" spans="74:132" x14ac:dyDescent="0.3">
      <c r="DC76" s="144">
        <v>2003</v>
      </c>
      <c r="DD76" s="159">
        <v>3626</v>
      </c>
      <c r="DE76" s="134"/>
      <c r="DF76" s="160">
        <v>3626</v>
      </c>
      <c r="DR76" s="343" t="s">
        <v>237</v>
      </c>
      <c r="DS76" s="343"/>
      <c r="DT76" s="343"/>
      <c r="DU76" s="343"/>
      <c r="DV76" s="343"/>
    </row>
    <row r="77" spans="74:132" x14ac:dyDescent="0.3">
      <c r="DC77" s="144">
        <v>2004</v>
      </c>
      <c r="DD77" s="159">
        <v>3472</v>
      </c>
      <c r="DE77" s="134"/>
      <c r="DF77" s="160">
        <v>3472</v>
      </c>
    </row>
    <row r="78" spans="74:132" x14ac:dyDescent="0.3">
      <c r="DC78" s="144">
        <v>2005</v>
      </c>
      <c r="DD78" s="144">
        <v>676</v>
      </c>
      <c r="DE78" s="134"/>
      <c r="DF78" s="148">
        <v>676</v>
      </c>
    </row>
    <row r="79" spans="74:132" x14ac:dyDescent="0.3">
      <c r="DC79" s="144">
        <v>2006</v>
      </c>
      <c r="DD79" s="159">
        <v>4071</v>
      </c>
      <c r="DE79" s="134"/>
      <c r="DF79" s="160">
        <v>4071</v>
      </c>
    </row>
    <row r="80" spans="74:132" x14ac:dyDescent="0.3">
      <c r="DC80" s="144">
        <v>2007</v>
      </c>
      <c r="DD80" s="159">
        <v>2318</v>
      </c>
      <c r="DE80" s="134"/>
      <c r="DF80" s="160">
        <v>2318</v>
      </c>
    </row>
    <row r="81" spans="107:110" x14ac:dyDescent="0.3">
      <c r="DC81" s="144">
        <v>2008</v>
      </c>
      <c r="DD81" s="159">
        <v>2228</v>
      </c>
      <c r="DE81" s="134"/>
      <c r="DF81" s="160">
        <v>2228</v>
      </c>
    </row>
    <row r="82" spans="107:110" x14ac:dyDescent="0.3">
      <c r="DC82" s="144">
        <v>2009</v>
      </c>
      <c r="DD82" s="159">
        <v>5323</v>
      </c>
      <c r="DE82" s="134"/>
      <c r="DF82" s="160">
        <v>5323</v>
      </c>
    </row>
    <row r="83" spans="107:110" x14ac:dyDescent="0.3">
      <c r="DC83" s="144">
        <v>2010</v>
      </c>
      <c r="DD83" s="159">
        <v>14643</v>
      </c>
      <c r="DE83" s="134"/>
      <c r="DF83" s="160">
        <v>14643</v>
      </c>
    </row>
    <row r="84" spans="107:110" x14ac:dyDescent="0.3">
      <c r="DC84" s="144">
        <v>2011</v>
      </c>
      <c r="DD84" s="159">
        <v>5380</v>
      </c>
      <c r="DE84" s="134"/>
      <c r="DF84" s="160">
        <v>5380</v>
      </c>
    </row>
    <row r="85" spans="107:110" x14ac:dyDescent="0.3">
      <c r="DC85" s="144">
        <v>2012</v>
      </c>
      <c r="DD85" s="159">
        <v>1816</v>
      </c>
      <c r="DE85" s="134"/>
      <c r="DF85" s="160">
        <v>1816</v>
      </c>
    </row>
    <row r="86" spans="107:110" x14ac:dyDescent="0.3">
      <c r="DC86" s="144">
        <v>2013</v>
      </c>
      <c r="DD86" s="144">
        <v>843</v>
      </c>
      <c r="DE86" s="134"/>
      <c r="DF86" s="148">
        <v>843</v>
      </c>
    </row>
    <row r="87" spans="107:110" x14ac:dyDescent="0.3">
      <c r="DC87" s="144">
        <v>2014</v>
      </c>
      <c r="DD87" s="159">
        <v>3180</v>
      </c>
      <c r="DE87" s="134"/>
      <c r="DF87" s="160">
        <v>3180</v>
      </c>
    </row>
    <row r="88" spans="107:110" x14ac:dyDescent="0.3">
      <c r="DC88" s="144">
        <v>2015</v>
      </c>
      <c r="DD88" s="159">
        <v>6385</v>
      </c>
      <c r="DE88" s="134"/>
      <c r="DF88" s="160">
        <v>6385</v>
      </c>
    </row>
    <row r="89" spans="107:110" ht="15" thickBot="1" x14ac:dyDescent="0.35">
      <c r="DC89" s="161">
        <v>2016</v>
      </c>
      <c r="DD89" s="162">
        <v>1370</v>
      </c>
      <c r="DE89" s="152"/>
      <c r="DF89" s="163">
        <v>1370</v>
      </c>
    </row>
    <row r="90" spans="107:110" x14ac:dyDescent="0.3">
      <c r="DC90" s="164" t="s">
        <v>240</v>
      </c>
      <c r="DD90" s="150">
        <v>4975</v>
      </c>
      <c r="DE90" s="145"/>
      <c r="DF90" s="150">
        <v>4975</v>
      </c>
    </row>
    <row r="91" spans="107:110" ht="15" thickBot="1" x14ac:dyDescent="0.35">
      <c r="DC91" s="165" t="s">
        <v>241</v>
      </c>
      <c r="DD91" s="151">
        <v>14643</v>
      </c>
      <c r="DE91" s="152"/>
      <c r="DF91" s="151">
        <v>14643</v>
      </c>
    </row>
  </sheetData>
  <customSheetViews>
    <customSheetView guid="{3A7DA3C1-0173-4B47-BB0F-573706FF66D2}">
      <pane xSplit="1" ySplit="3" topLeftCell="B44" activePane="bottomRight" state="frozen"/>
      <selection pane="bottomRight" sqref="A1:A1048576"/>
      <pageMargins left="0.7" right="0.7" top="0.75" bottom="0.75" header="0.3" footer="0.3"/>
    </customSheetView>
  </customSheetViews>
  <mergeCells count="6">
    <mergeCell ref="DR75:EB75"/>
    <mergeCell ref="DR76:DV76"/>
    <mergeCell ref="DD60:DE60"/>
    <mergeCell ref="DS53:DT53"/>
    <mergeCell ref="DR73:DW73"/>
    <mergeCell ref="DR74:DV74"/>
  </mergeCells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"/>
  <sheetViews>
    <sheetView workbookViewId="0">
      <selection activeCell="O44" sqref="O44"/>
    </sheetView>
  </sheetViews>
  <sheetFormatPr defaultRowHeight="14.4" x14ac:dyDescent="0.3"/>
  <sheetData>
    <row r="2" spans="2:2" x14ac:dyDescent="0.3">
      <c r="B2" t="s">
        <v>99</v>
      </c>
    </row>
  </sheetData>
  <customSheetViews>
    <customSheetView guid="{3A7DA3C1-0173-4B47-BB0F-573706FF66D2}">
      <selection activeCell="O44" sqref="O44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3"/>
  <sheetViews>
    <sheetView workbookViewId="0">
      <selection activeCell="H33" sqref="H33"/>
    </sheetView>
  </sheetViews>
  <sheetFormatPr defaultRowHeight="14.4" x14ac:dyDescent="0.3"/>
  <cols>
    <col min="1" max="1" width="10.77734375" customWidth="1"/>
    <col min="2" max="2" width="13.21875" customWidth="1"/>
    <col min="3" max="3" width="14.21875" customWidth="1"/>
    <col min="4" max="4" width="13.77734375" customWidth="1"/>
  </cols>
  <sheetData>
    <row r="1" spans="1:7" x14ac:dyDescent="0.3">
      <c r="B1" t="s">
        <v>246</v>
      </c>
      <c r="G1" t="s">
        <v>247</v>
      </c>
    </row>
    <row r="2" spans="1:7" x14ac:dyDescent="0.3">
      <c r="A2" s="167"/>
    </row>
    <row r="3" spans="1:7" x14ac:dyDescent="0.3">
      <c r="A3" s="169">
        <v>2008</v>
      </c>
    </row>
    <row r="4" spans="1:7" x14ac:dyDescent="0.3">
      <c r="A4" s="169">
        <v>2009</v>
      </c>
    </row>
    <row r="5" spans="1:7" x14ac:dyDescent="0.3">
      <c r="A5" s="169">
        <v>2010</v>
      </c>
    </row>
    <row r="6" spans="1:7" x14ac:dyDescent="0.3">
      <c r="A6" s="169">
        <v>2011</v>
      </c>
    </row>
    <row r="7" spans="1:7" x14ac:dyDescent="0.3">
      <c r="A7" s="169">
        <v>2012</v>
      </c>
    </row>
    <row r="8" spans="1:7" x14ac:dyDescent="0.3">
      <c r="A8" s="169">
        <v>2013</v>
      </c>
    </row>
    <row r="9" spans="1:7" x14ac:dyDescent="0.3">
      <c r="A9" s="169">
        <v>2014</v>
      </c>
    </row>
    <row r="10" spans="1:7" x14ac:dyDescent="0.3">
      <c r="A10" s="169">
        <v>2015</v>
      </c>
    </row>
    <row r="11" spans="1:7" x14ac:dyDescent="0.3">
      <c r="A11" s="169">
        <v>2016</v>
      </c>
    </row>
    <row r="12" spans="1:7" x14ac:dyDescent="0.3">
      <c r="A12" s="169">
        <v>2017</v>
      </c>
    </row>
    <row r="13" spans="1:7" x14ac:dyDescent="0.3">
      <c r="A13" t="s">
        <v>248</v>
      </c>
    </row>
  </sheetData>
  <customSheetViews>
    <customSheetView guid="{3A7DA3C1-0173-4B47-BB0F-573706FF66D2}">
      <selection activeCell="K12" sqref="K12"/>
      <pageMargins left="0.7" right="0.7" top="0.75" bottom="0.75" header="0.3" footer="0.3"/>
    </customSheetView>
  </customSheetView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Summary</vt:lpstr>
      <vt:lpstr>documentation</vt:lpstr>
      <vt:lpstr>Conv</vt:lpstr>
      <vt:lpstr>Spawners</vt:lpstr>
      <vt:lpstr>Fishery</vt:lpstr>
      <vt:lpstr>Hatchery</vt:lpstr>
      <vt:lpstr>Runs</vt:lpstr>
      <vt:lpstr>Background</vt:lpstr>
      <vt:lpstr>data</vt:lpstr>
      <vt:lpstr>Runs!_Ref485818207</vt:lpstr>
      <vt:lpstr>Runs!_Ref485818332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 Beamesderfer</dc:creator>
  <cp:lastModifiedBy>xxx</cp:lastModifiedBy>
  <dcterms:created xsi:type="dcterms:W3CDTF">2018-03-12T17:19:10Z</dcterms:created>
  <dcterms:modified xsi:type="dcterms:W3CDTF">2020-08-13T16:33:05Z</dcterms:modified>
</cp:coreProperties>
</file>