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beame\Documents\NMFS Columbia Basin\10. Quantitative goals\MCR steelhead\"/>
    </mc:Choice>
  </mc:AlternateContent>
  <xr:revisionPtr revIDLastSave="0" documentId="13_ncr:1_{7DCD686F-C0A8-42DC-91C8-6806FF01F851}" xr6:coauthVersionLast="45" xr6:coauthVersionMax="45" xr10:uidLastSave="{00000000-0000-0000-0000-000000000000}"/>
  <bookViews>
    <workbookView xWindow="28680" yWindow="-120" windowWidth="29040" windowHeight="15840" xr2:uid="{00000000-000D-0000-FFFF-FFFF00000000}"/>
  </bookViews>
  <sheets>
    <sheet name="Summary" sheetId="1" r:id="rId1"/>
    <sheet name="Documentation" sheetId="10" r:id="rId2"/>
    <sheet name="Conv" sheetId="9" r:id="rId3"/>
    <sheet name="Spawners" sheetId="2" r:id="rId4"/>
    <sheet name="Fishery" sheetId="3" r:id="rId5"/>
    <sheet name="Hatchery" sheetId="4" r:id="rId6"/>
    <sheet name="JD" sheetId="5" r:id="rId7"/>
    <sheet name="Runs" sheetId="6" r:id="rId8"/>
    <sheet name="Background" sheetId="7" r:id="rId9"/>
    <sheet name="Scratch" sheetId="8" r:id="rId10"/>
  </sheets>
  <definedNames>
    <definedName name="_Ref485818260" localSheetId="7">Runs!$CX$4</definedName>
    <definedName name="_Ref485818296" localSheetId="7">Runs!$CJ$4</definedName>
    <definedName name="_Ref485818353" localSheetId="7">Runs!$BX$4</definedName>
    <definedName name="_Ref67714019" localSheetId="2">#REF!</definedName>
    <definedName name="_Ref67714019">#REF!</definedName>
    <definedName name="solver_adj" localSheetId="2" hidden="1">Conv!$D$34</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Conv!$E$35</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45000</definedName>
    <definedName name="solver_ver" localSheetId="2" hidden="1">3</definedName>
  </definedNames>
  <calcPr calcId="181029"/>
  <customWorkbookViews>
    <customWorkbookView name="Ray Beamesderfer - Personal View" guid="{4A56DCA2-EE2D-40DD-82F4-76121FFBC45C}" mergeInterval="0" personalView="1" maximized="1" xWindow="-1924" yWindow="-4" windowWidth="1928" windowHeight="1088"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9" l="1"/>
  <c r="I26" i="9"/>
  <c r="M72" i="1" l="1"/>
  <c r="F29" i="9" l="1"/>
  <c r="F30" i="9" l="1"/>
  <c r="E31" i="9" s="1"/>
  <c r="F32" i="9" s="1"/>
  <c r="E33" i="9" s="1"/>
  <c r="F34" i="9" s="1"/>
  <c r="E35" i="9" s="1"/>
  <c r="F36" i="9" s="1"/>
  <c r="F41" i="9" s="1"/>
  <c r="AF14" i="1" s="1"/>
  <c r="AF13" i="1" s="1"/>
  <c r="H12" i="9"/>
  <c r="H8" i="9"/>
  <c r="P14" i="9"/>
  <c r="L14" i="9"/>
  <c r="H14" i="9"/>
  <c r="P10" i="9"/>
  <c r="L10" i="9"/>
  <c r="H10" i="9"/>
  <c r="P6" i="9"/>
  <c r="L6" i="9"/>
  <c r="H6" i="9"/>
  <c r="D15" i="9"/>
  <c r="H15" i="9" s="1"/>
  <c r="AC14" i="1"/>
  <c r="F46" i="9" s="1"/>
  <c r="J46" i="9" s="1"/>
  <c r="E37" i="9" l="1"/>
  <c r="F38" i="9" s="1"/>
  <c r="F43" i="9" s="1"/>
  <c r="F44" i="9" s="1"/>
  <c r="F42" i="9"/>
  <c r="Y30" i="1"/>
  <c r="Y29" i="1"/>
  <c r="Y36" i="1"/>
  <c r="Y34" i="1"/>
  <c r="Y33" i="1"/>
  <c r="Y31" i="1"/>
  <c r="E39" i="9" l="1"/>
  <c r="AC19" i="2"/>
  <c r="AB19" i="2"/>
  <c r="AA25" i="2" l="1"/>
  <c r="AE14" i="1" l="1"/>
  <c r="V7" i="1"/>
  <c r="L21" i="2"/>
  <c r="E21" i="2"/>
  <c r="H21" i="2"/>
  <c r="V19" i="1" s="1"/>
  <c r="BD56" i="6"/>
  <c r="BD55" i="6"/>
  <c r="BD54" i="6"/>
  <c r="BD53" i="6"/>
  <c r="BD52" i="6"/>
  <c r="BD51" i="6"/>
  <c r="BD50" i="6"/>
  <c r="BD49" i="6"/>
  <c r="BD48" i="6"/>
  <c r="BD47" i="6"/>
  <c r="BD46" i="6"/>
  <c r="BD45" i="6"/>
  <c r="V10" i="1"/>
  <c r="V9" i="1"/>
  <c r="V8" i="1"/>
  <c r="AC11" i="2"/>
  <c r="AC10" i="2"/>
  <c r="AC9" i="2"/>
  <c r="AA11" i="2"/>
  <c r="W10" i="1" s="1"/>
  <c r="AB11" i="2" l="1"/>
  <c r="X10" i="1" s="1"/>
  <c r="Y10" i="1"/>
  <c r="AD14" i="1"/>
  <c r="AG88" i="6" l="1"/>
  <c r="K88" i="6"/>
  <c r="AP87" i="6"/>
  <c r="AP88" i="6" s="1"/>
  <c r="AO87" i="6"/>
  <c r="AO88" i="6" s="1"/>
  <c r="AN87" i="6"/>
  <c r="AN88" i="6" s="1"/>
  <c r="AM87" i="6"/>
  <c r="AM88" i="6" s="1"/>
  <c r="AL87" i="6"/>
  <c r="AL88" i="6" s="1"/>
  <c r="AK87" i="6"/>
  <c r="AK88" i="6" s="1"/>
  <c r="AJ87" i="6"/>
  <c r="AJ88" i="6" s="1"/>
  <c r="AI87" i="6"/>
  <c r="AI88" i="6" s="1"/>
  <c r="AH87" i="6"/>
  <c r="AH88" i="6" s="1"/>
  <c r="AF87" i="6"/>
  <c r="AF88" i="6" s="1"/>
  <c r="AC26" i="1" s="1"/>
  <c r="AE87" i="6"/>
  <c r="AE88" i="6" s="1"/>
  <c r="AC28" i="1" s="1"/>
  <c r="AC32" i="1" s="1"/>
  <c r="AD87" i="6"/>
  <c r="AD88" i="6" s="1"/>
  <c r="AC27" i="1" s="1"/>
  <c r="AF8" i="1" s="1"/>
  <c r="AF9" i="1" s="1"/>
  <c r="AC31" i="1" s="1"/>
  <c r="AC87" i="6"/>
  <c r="AC88" i="6" s="1"/>
  <c r="AB87" i="6"/>
  <c r="AB88" i="6" s="1"/>
  <c r="AA87" i="6"/>
  <c r="AA88" i="6" s="1"/>
  <c r="Z87" i="6"/>
  <c r="Z88" i="6" s="1"/>
  <c r="Y87" i="6"/>
  <c r="Y88" i="6" s="1"/>
  <c r="X87" i="6"/>
  <c r="X88" i="6" s="1"/>
  <c r="U87" i="6"/>
  <c r="U88" i="6" s="1"/>
  <c r="T87" i="6"/>
  <c r="T88" i="6" s="1"/>
  <c r="AC22" i="1" s="1"/>
  <c r="S87" i="6"/>
  <c r="S88" i="6" s="1"/>
  <c r="AC24" i="1" s="1"/>
  <c r="R87" i="6"/>
  <c r="R88" i="6" s="1"/>
  <c r="AC23" i="1" s="1"/>
  <c r="Q87" i="6"/>
  <c r="Q88" i="6" s="1"/>
  <c r="P87" i="6"/>
  <c r="P88" i="6" s="1"/>
  <c r="O87" i="6"/>
  <c r="O88" i="6" s="1"/>
  <c r="N87" i="6"/>
  <c r="N88" i="6" s="1"/>
  <c r="M87" i="6"/>
  <c r="M88" i="6" s="1"/>
  <c r="L87" i="6"/>
  <c r="L88" i="6" s="1"/>
  <c r="J87" i="6"/>
  <c r="J88" i="6" s="1"/>
  <c r="AC18" i="1" s="1"/>
  <c r="I87" i="6"/>
  <c r="I88" i="6" s="1"/>
  <c r="AC20" i="1" s="1"/>
  <c r="H87" i="6"/>
  <c r="H88" i="6" s="1"/>
  <c r="AC19" i="1" s="1"/>
  <c r="G87" i="6"/>
  <c r="G88" i="6" s="1"/>
  <c r="F87" i="6"/>
  <c r="F88" i="6" s="1"/>
  <c r="E87" i="6"/>
  <c r="E88" i="6" s="1"/>
  <c r="D87" i="6"/>
  <c r="D88" i="6" s="1"/>
  <c r="C87" i="6"/>
  <c r="C88" i="6" s="1"/>
  <c r="B87" i="6"/>
  <c r="B88" i="6" s="1"/>
  <c r="AC30" i="1" l="1"/>
  <c r="AC33" i="1" s="1"/>
  <c r="AC21" i="1"/>
  <c r="AC29" i="1"/>
  <c r="AC25" i="1"/>
  <c r="W14" i="4" l="1"/>
  <c r="W13" i="4"/>
  <c r="W12" i="4"/>
  <c r="W11" i="4"/>
  <c r="W10" i="4"/>
  <c r="V14" i="4"/>
  <c r="V13" i="4"/>
  <c r="V12" i="4"/>
  <c r="V11" i="4"/>
  <c r="V10" i="4"/>
  <c r="V9" i="4"/>
  <c r="V8" i="4"/>
  <c r="W8" i="4"/>
  <c r="AC9" i="1" l="1"/>
  <c r="E72" i="1" s="1"/>
  <c r="F23" i="9" l="1"/>
  <c r="J23" i="9" s="1"/>
  <c r="V16" i="1"/>
  <c r="V15" i="1"/>
  <c r="V14" i="1"/>
  <c r="V13" i="1"/>
  <c r="V12" i="1"/>
  <c r="D58" i="2"/>
  <c r="P57" i="2"/>
  <c r="J57" i="2"/>
  <c r="D57" i="2"/>
  <c r="D54" i="2"/>
  <c r="D56" i="2" l="1"/>
  <c r="AA12" i="2"/>
  <c r="L7" i="4"/>
  <c r="X31" i="1"/>
  <c r="Y11" i="1" l="1"/>
  <c r="X11" i="1"/>
  <c r="AC20" i="2"/>
  <c r="AB20" i="2"/>
  <c r="X18" i="1" s="1"/>
  <c r="U34" i="1" l="1"/>
  <c r="U33" i="1"/>
  <c r="M13" i="4"/>
  <c r="X33" i="1" s="1"/>
  <c r="G63" i="5" l="1"/>
  <c r="F63" i="5"/>
  <c r="E63" i="5"/>
  <c r="D63" i="5"/>
  <c r="C63" i="5"/>
  <c r="R70" i="5"/>
  <c r="Q70" i="5"/>
  <c r="P70" i="5"/>
  <c r="G61" i="5"/>
  <c r="F61" i="5"/>
  <c r="E61" i="5"/>
  <c r="D61" i="5"/>
  <c r="C61" i="5"/>
  <c r="G60" i="5"/>
  <c r="F60" i="5"/>
  <c r="E60" i="5"/>
  <c r="D60" i="5"/>
  <c r="C60" i="5"/>
  <c r="G59" i="5"/>
  <c r="F59" i="5"/>
  <c r="E59" i="5"/>
  <c r="D59" i="5"/>
  <c r="C59"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63" i="5" l="1"/>
  <c r="H61" i="5"/>
  <c r="H60" i="5"/>
  <c r="H59" i="5"/>
  <c r="V11" i="1" l="1"/>
  <c r="V6" i="1"/>
  <c r="V5" i="1"/>
  <c r="E24" i="4" l="1"/>
  <c r="U31" i="1" s="1"/>
  <c r="U35" i="1"/>
  <c r="M17" i="4"/>
  <c r="X35" i="1" s="1"/>
  <c r="M16" i="4"/>
  <c r="X34" i="1" s="1"/>
  <c r="Y32" i="1"/>
  <c r="Y37" i="1" s="1"/>
  <c r="M15" i="4"/>
  <c r="N15" i="4" s="1"/>
  <c r="M9" i="4"/>
  <c r="X32" i="1" s="1"/>
  <c r="U32" i="1"/>
  <c r="G34" i="4"/>
  <c r="F34" i="4"/>
  <c r="E34" i="4"/>
  <c r="W9" i="4" l="1"/>
  <c r="V37" i="1"/>
  <c r="X37" i="1"/>
  <c r="U37" i="1"/>
  <c r="W37" i="1"/>
  <c r="G20" i="4"/>
  <c r="G19" i="4"/>
  <c r="F21" i="4"/>
  <c r="F20" i="4"/>
  <c r="F19" i="4"/>
  <c r="E21" i="4"/>
  <c r="E20" i="4"/>
  <c r="E19" i="4"/>
  <c r="U19" i="1" l="1"/>
  <c r="U18" i="1"/>
  <c r="U16" i="1"/>
  <c r="U15" i="1"/>
  <c r="U14" i="1"/>
  <c r="U13" i="1"/>
  <c r="U12" i="1"/>
  <c r="U10" i="1"/>
  <c r="U9" i="1"/>
  <c r="U8" i="1"/>
  <c r="U7" i="1"/>
  <c r="U20" i="1"/>
  <c r="U17" i="1"/>
  <c r="U11" i="1"/>
  <c r="U6" i="1"/>
  <c r="U5" i="1"/>
  <c r="Y17" i="1"/>
  <c r="X17" i="1"/>
  <c r="Y5" i="1"/>
  <c r="X5" i="1"/>
  <c r="AA16" i="2"/>
  <c r="W15" i="1" s="1"/>
  <c r="W17" i="1"/>
  <c r="W11" i="1"/>
  <c r="W5" i="1"/>
  <c r="U24" i="1"/>
  <c r="U23" i="1"/>
  <c r="U22" i="1"/>
  <c r="U21" i="1"/>
  <c r="V24" i="1"/>
  <c r="V23" i="1"/>
  <c r="V22" i="1"/>
  <c r="V21" i="1"/>
  <c r="AA22" i="2"/>
  <c r="AA21" i="2"/>
  <c r="AA20" i="2"/>
  <c r="AA17" i="2"/>
  <c r="W16" i="1" s="1"/>
  <c r="AA15" i="2"/>
  <c r="W14" i="1" s="1"/>
  <c r="AA14" i="2"/>
  <c r="AA13" i="2"/>
  <c r="AA10" i="2"/>
  <c r="AA9" i="2"/>
  <c r="AA8" i="2"/>
  <c r="AC8" i="2" s="1"/>
  <c r="AA7" i="2"/>
  <c r="AB26" i="2"/>
  <c r="AF26" i="2" s="1"/>
  <c r="AB24" i="2"/>
  <c r="X21" i="1" s="1"/>
  <c r="AB27" i="2"/>
  <c r="X24" i="1" s="1"/>
  <c r="AB25" i="2"/>
  <c r="AF25" i="2" s="1"/>
  <c r="AC27" i="2"/>
  <c r="AG27" i="2" s="1"/>
  <c r="AC26" i="2"/>
  <c r="AG26" i="2" s="1"/>
  <c r="AC25" i="2"/>
  <c r="AG25" i="2" s="1"/>
  <c r="AC24" i="2"/>
  <c r="Y21" i="1" s="1"/>
  <c r="AA27" i="2"/>
  <c r="W24" i="1" s="1"/>
  <c r="AA26" i="2"/>
  <c r="AE26" i="2" s="1"/>
  <c r="AE25" i="2"/>
  <c r="AA24" i="2"/>
  <c r="AE24" i="2" s="1"/>
  <c r="L28" i="2"/>
  <c r="K28" i="2"/>
  <c r="J28" i="2"/>
  <c r="H28" i="2"/>
  <c r="D28" i="2"/>
  <c r="E27" i="9" l="1"/>
  <c r="M26" i="9"/>
  <c r="X23" i="1"/>
  <c r="AF24" i="2"/>
  <c r="AE27" i="2"/>
  <c r="Y22" i="1"/>
  <c r="W23" i="1"/>
  <c r="Y23" i="1"/>
  <c r="Y24" i="1"/>
  <c r="AC7" i="2"/>
  <c r="Y6" i="1" s="1"/>
  <c r="AB7" i="2"/>
  <c r="X6" i="1" s="1"/>
  <c r="AC13" i="2"/>
  <c r="Y12" i="1" s="1"/>
  <c r="AB13" i="2"/>
  <c r="X12" i="1" s="1"/>
  <c r="Y18" i="1"/>
  <c r="V18" i="1" s="1"/>
  <c r="V25" i="1" s="1"/>
  <c r="E24" i="1" s="1"/>
  <c r="W6" i="1"/>
  <c r="W18" i="1"/>
  <c r="AB8" i="2"/>
  <c r="X7" i="1" s="1"/>
  <c r="Y7" i="1"/>
  <c r="AB14" i="2"/>
  <c r="X13" i="1" s="1"/>
  <c r="AC14" i="2"/>
  <c r="Y13" i="1" s="1"/>
  <c r="Y19" i="1"/>
  <c r="AB21" i="2"/>
  <c r="X19" i="1" s="1"/>
  <c r="AG24" i="2"/>
  <c r="AF27" i="2"/>
  <c r="W7" i="1"/>
  <c r="W19" i="1"/>
  <c r="Y8" i="1"/>
  <c r="AB9" i="2"/>
  <c r="X8" i="1" s="1"/>
  <c r="Y14" i="1"/>
  <c r="X14" i="1"/>
  <c r="AB22" i="2"/>
  <c r="X20" i="1" s="1"/>
  <c r="Y20" i="1"/>
  <c r="W8" i="1"/>
  <c r="W12" i="1"/>
  <c r="W20" i="1"/>
  <c r="Y9" i="1"/>
  <c r="AB10" i="2"/>
  <c r="X9" i="1" s="1"/>
  <c r="AC17" i="2"/>
  <c r="Y16" i="1" s="1"/>
  <c r="AB17" i="2"/>
  <c r="X16" i="1" s="1"/>
  <c r="W21" i="1"/>
  <c r="W9" i="1"/>
  <c r="W13" i="1"/>
  <c r="AC16" i="2"/>
  <c r="Y15" i="1" s="1"/>
  <c r="AB16" i="2"/>
  <c r="X15" i="1" s="1"/>
  <c r="U25" i="1"/>
  <c r="C21" i="3"/>
  <c r="M27" i="9" l="1"/>
  <c r="M28" i="9" s="1"/>
  <c r="Q27" i="9"/>
  <c r="Q28" i="9" s="1"/>
  <c r="I27" i="9"/>
  <c r="I28" i="9" s="1"/>
  <c r="E20" i="1"/>
  <c r="E5" i="9"/>
  <c r="E7" i="9" s="1"/>
  <c r="W25" i="1"/>
  <c r="Y25" i="1"/>
  <c r="X25" i="1"/>
  <c r="AD20" i="1" l="1"/>
  <c r="J29" i="9"/>
  <c r="J30" i="9" s="1"/>
  <c r="I31" i="9" s="1"/>
  <c r="AF20" i="1"/>
  <c r="R29" i="9"/>
  <c r="R30" i="9" s="1"/>
  <c r="AE20" i="1"/>
  <c r="N29" i="9"/>
  <c r="N30" i="9" s="1"/>
  <c r="E23" i="1"/>
  <c r="Q5" i="9"/>
  <c r="Q7" i="9" s="1"/>
  <c r="E9" i="9"/>
  <c r="F6" i="9"/>
  <c r="E21" i="1"/>
  <c r="I5" i="9"/>
  <c r="I7" i="9" s="1"/>
  <c r="E22" i="1"/>
  <c r="M5" i="9"/>
  <c r="M7" i="9" s="1"/>
  <c r="P29" i="2"/>
  <c r="D30" i="2"/>
  <c r="D29" i="2"/>
  <c r="K6" i="8"/>
  <c r="J6" i="8"/>
  <c r="K5" i="8"/>
  <c r="J5" i="8"/>
  <c r="K4" i="8"/>
  <c r="J4" i="8"/>
  <c r="K3" i="8"/>
  <c r="J3" i="8"/>
  <c r="E6" i="8"/>
  <c r="E5" i="8"/>
  <c r="E4" i="8"/>
  <c r="E3" i="8"/>
  <c r="AD24" i="1" l="1"/>
  <c r="J32" i="9"/>
  <c r="I33" i="9" s="1"/>
  <c r="M31" i="9"/>
  <c r="Q31" i="9"/>
  <c r="E11" i="9"/>
  <c r="F8" i="9"/>
  <c r="J6" i="9"/>
  <c r="I9" i="9"/>
  <c r="AD27" i="1" s="1"/>
  <c r="Q9" i="9"/>
  <c r="AF27" i="1" s="1"/>
  <c r="R6" i="9"/>
  <c r="N6" i="9"/>
  <c r="M9" i="9"/>
  <c r="AE27" i="1" s="1"/>
  <c r="L6" i="8"/>
  <c r="L5" i="8"/>
  <c r="L4" i="8"/>
  <c r="L3" i="8"/>
  <c r="AE24" i="1" l="1"/>
  <c r="N32" i="9"/>
  <c r="M33" i="9" s="1"/>
  <c r="N34" i="9" s="1"/>
  <c r="M35" i="9" s="1"/>
  <c r="J34" i="9"/>
  <c r="I35" i="9" s="1"/>
  <c r="AF24" i="1"/>
  <c r="R32" i="9"/>
  <c r="Q33" i="9" s="1"/>
  <c r="N8" i="9"/>
  <c r="M11" i="9"/>
  <c r="I11" i="9"/>
  <c r="J8" i="9"/>
  <c r="Q11" i="9"/>
  <c r="R8" i="9"/>
  <c r="F10" i="9"/>
  <c r="E13" i="9"/>
  <c r="J29" i="2"/>
  <c r="AD28" i="1" l="1"/>
  <c r="AD26" i="1" s="1"/>
  <c r="AD29" i="1" s="1"/>
  <c r="J36" i="9"/>
  <c r="J41" i="9" s="1"/>
  <c r="R34" i="9"/>
  <c r="Q35" i="9" s="1"/>
  <c r="AE28" i="1"/>
  <c r="AE26" i="1" s="1"/>
  <c r="AE29" i="1" s="1"/>
  <c r="N36" i="9"/>
  <c r="N41" i="9" s="1"/>
  <c r="Q13" i="9"/>
  <c r="AF23" i="1" s="1"/>
  <c r="AF22" i="1" s="1"/>
  <c r="AF25" i="1" s="1"/>
  <c r="R10" i="9"/>
  <c r="M13" i="9"/>
  <c r="AE23" i="1" s="1"/>
  <c r="AE22" i="1" s="1"/>
  <c r="AE25" i="1" s="1"/>
  <c r="N10" i="9"/>
  <c r="I13" i="9"/>
  <c r="AD23" i="1" s="1"/>
  <c r="AD22" i="1" s="1"/>
  <c r="AD25" i="1" s="1"/>
  <c r="J10" i="9"/>
  <c r="F12" i="9"/>
  <c r="E14" i="9"/>
  <c r="M37" i="9" l="1"/>
  <c r="I37" i="9"/>
  <c r="J38" i="9" s="1"/>
  <c r="J43" i="9" s="1"/>
  <c r="J44" i="9" s="1"/>
  <c r="AF28" i="1"/>
  <c r="AF26" i="1" s="1"/>
  <c r="AF29" i="1" s="1"/>
  <c r="R36" i="9"/>
  <c r="R41" i="9" s="1"/>
  <c r="N38" i="9"/>
  <c r="N43" i="9" s="1"/>
  <c r="N44" i="9" s="1"/>
  <c r="J42" i="9"/>
  <c r="AD32" i="1"/>
  <c r="N42" i="9"/>
  <c r="AE32" i="1"/>
  <c r="M14" i="9"/>
  <c r="N12" i="9"/>
  <c r="E16" i="9"/>
  <c r="F15" i="9" s="1"/>
  <c r="F18" i="9" s="1"/>
  <c r="F19" i="9" s="1"/>
  <c r="F14" i="9"/>
  <c r="F20" i="9" s="1"/>
  <c r="I14" i="9"/>
  <c r="J12" i="9"/>
  <c r="Q14" i="9"/>
  <c r="R12" i="9"/>
  <c r="Q37" i="9" l="1"/>
  <c r="R38" i="9" s="1"/>
  <c r="R43" i="9" s="1"/>
  <c r="R44" i="9" s="1"/>
  <c r="I39" i="9"/>
  <c r="R42" i="9"/>
  <c r="AF32" i="1"/>
  <c r="AG14" i="1" s="1"/>
  <c r="AG11" i="1" s="1"/>
  <c r="M39" i="9"/>
  <c r="Q16" i="9"/>
  <c r="R14" i="9"/>
  <c r="R20" i="9" s="1"/>
  <c r="I16" i="9"/>
  <c r="J14" i="9"/>
  <c r="J20" i="9" s="1"/>
  <c r="M16" i="9"/>
  <c r="N14" i="9"/>
  <c r="N20" i="9" s="1"/>
  <c r="F21" i="9"/>
  <c r="N21" i="9" l="1"/>
  <c r="J21" i="9"/>
  <c r="Q39" i="9"/>
  <c r="R21" i="9"/>
  <c r="J15" i="9"/>
  <c r="J18" i="9" s="1"/>
  <c r="AD31" i="1" s="1"/>
  <c r="AD19" i="1"/>
  <c r="AD18" i="1" s="1"/>
  <c r="AD21" i="1" s="1"/>
  <c r="N15" i="9"/>
  <c r="N18" i="9" s="1"/>
  <c r="N19" i="9" s="1"/>
  <c r="AE19" i="1"/>
  <c r="AE18" i="1" s="1"/>
  <c r="AE21" i="1" s="1"/>
  <c r="R15" i="9"/>
  <c r="R18" i="9" s="1"/>
  <c r="R19" i="9" s="1"/>
  <c r="AF19" i="1"/>
  <c r="AF18" i="1" s="1"/>
  <c r="AF21" i="1" s="1"/>
  <c r="AF31" i="1" l="1"/>
  <c r="J19" i="9"/>
  <c r="AE31" i="1"/>
  <c r="AE30" i="1" s="1"/>
  <c r="AE33" i="1" s="1"/>
  <c r="AG9" i="1"/>
  <c r="AG6" i="1" s="1"/>
  <c r="AF30" i="1"/>
  <c r="AF33" i="1" s="1"/>
  <c r="AD30" i="1"/>
  <c r="AD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 Beamesderfer</author>
    <author>xxx</author>
  </authors>
  <commentList>
    <comment ref="D6" authorId="0" shapeId="0" xr:uid="{00000000-0006-0000-0800-000001000000}">
      <text>
        <r>
          <rPr>
            <b/>
            <sz val="8"/>
            <color indexed="81"/>
            <rFont val="Tahoma"/>
            <family val="2"/>
          </rPr>
          <t>solved to connect escapement &amp; trib return assuming harvest. Rate is high due to confounding apportionment of mid-C and upriver steelhead</t>
        </r>
      </text>
    </comment>
    <comment ref="D10" authorId="0" shapeId="0" xr:uid="{00000000-0006-0000-0800-000002000000}">
      <text>
        <r>
          <rPr>
            <b/>
            <sz val="8"/>
            <color indexed="81"/>
            <rFont val="Tahoma"/>
            <family val="2"/>
          </rPr>
          <t>Ray Beamesderfer:</t>
        </r>
        <r>
          <rPr>
            <sz val="8"/>
            <color indexed="81"/>
            <rFont val="Tahoma"/>
            <family val="2"/>
          </rPr>
          <t xml:space="preserve">
solved to connect</t>
        </r>
      </text>
    </comment>
    <comment ref="F19" authorId="0" shapeId="0" xr:uid="{00000000-0006-0000-0800-000003000000}">
      <text>
        <r>
          <rPr>
            <b/>
            <sz val="8"/>
            <color indexed="81"/>
            <rFont val="Tahoma"/>
            <family val="2"/>
          </rPr>
          <t>location specific rates recalibrated to match goal total</t>
        </r>
      </text>
    </comment>
    <comment ref="J19" authorId="0" shapeId="0" xr:uid="{00000000-0006-0000-0800-000004000000}">
      <text>
        <r>
          <rPr>
            <b/>
            <sz val="8"/>
            <color indexed="81"/>
            <rFont val="Tahoma"/>
            <family val="2"/>
          </rPr>
          <t>location specific rates recalibrated to match goal total</t>
        </r>
      </text>
    </comment>
    <comment ref="N19" authorId="0" shapeId="0" xr:uid="{00000000-0006-0000-0800-000005000000}">
      <text>
        <r>
          <rPr>
            <b/>
            <sz val="8"/>
            <color indexed="81"/>
            <rFont val="Tahoma"/>
            <family val="2"/>
          </rPr>
          <t>location specific rates recalibrated to match goal total</t>
        </r>
      </text>
    </comment>
    <comment ref="R19" authorId="0" shapeId="0" xr:uid="{00000000-0006-0000-0800-000006000000}">
      <text>
        <r>
          <rPr>
            <b/>
            <sz val="8"/>
            <color indexed="81"/>
            <rFont val="Tahoma"/>
            <family val="2"/>
          </rPr>
          <t>location specific rates recalibrated to match goal total</t>
        </r>
      </text>
    </comment>
    <comment ref="E26" authorId="1" shapeId="0" xr:uid="{3A4D2320-AEAD-4F70-8E66-3B349516A824}">
      <text>
        <r>
          <rPr>
            <b/>
            <sz val="9"/>
            <color indexed="81"/>
            <rFont val="Tahoma"/>
            <family val="2"/>
          </rPr>
          <t>phase I number (recent avg)</t>
        </r>
      </text>
    </comment>
    <comment ref="E28" authorId="1" shapeId="0" xr:uid="{00000000-0006-0000-0800-000007000000}">
      <text>
        <r>
          <rPr>
            <b/>
            <sz val="9"/>
            <color indexed="81"/>
            <rFont val="Tahoma"/>
            <family val="2"/>
          </rPr>
          <t>assume same as current</t>
        </r>
      </text>
    </comment>
    <comment ref="I28" authorId="1" shapeId="0" xr:uid="{00000000-0006-0000-0800-000008000000}">
      <text>
        <r>
          <rPr>
            <b/>
            <sz val="9"/>
            <color indexed="81"/>
            <rFont val="Tahoma"/>
            <family val="2"/>
          </rPr>
          <t>assume same as current</t>
        </r>
      </text>
    </comment>
    <comment ref="M28" authorId="1" shapeId="0" xr:uid="{7451DC86-7B0B-49CC-B0E7-7F8F83E436F1}">
      <text>
        <r>
          <rPr>
            <b/>
            <sz val="9"/>
            <color indexed="81"/>
            <rFont val="Tahoma"/>
            <family val="2"/>
          </rPr>
          <t>assume same as current</t>
        </r>
      </text>
    </comment>
    <comment ref="Q28" authorId="1" shapeId="0" xr:uid="{3451A02F-CB0F-473C-8702-E4F31FC9BC19}">
      <text>
        <r>
          <rPr>
            <b/>
            <sz val="9"/>
            <color indexed="81"/>
            <rFont val="Tahoma"/>
            <family val="2"/>
          </rPr>
          <t>assume same as current</t>
        </r>
      </text>
    </comment>
    <comment ref="D29" authorId="1" shapeId="0" xr:uid="{00000000-0006-0000-0800-00000B000000}">
      <text>
        <r>
          <rPr>
            <b/>
            <sz val="9"/>
            <color indexed="81"/>
            <rFont val="Tahoma"/>
            <family val="2"/>
          </rPr>
          <t>solved to match run reconstruction</t>
        </r>
      </text>
    </comment>
    <comment ref="D34" authorId="0" shapeId="0" xr:uid="{00000000-0006-0000-0800-00000C000000}">
      <text>
        <r>
          <rPr>
            <b/>
            <sz val="8"/>
            <color indexed="81"/>
            <rFont val="Tahoma"/>
            <family val="2"/>
          </rPr>
          <t>Ray Beamesderfer:</t>
        </r>
        <r>
          <rPr>
            <sz val="8"/>
            <color indexed="81"/>
            <rFont val="Tahoma"/>
            <family val="2"/>
          </rPr>
          <t xml:space="preserve">
solved to connect</t>
        </r>
      </text>
    </comment>
    <comment ref="H34" authorId="0" shapeId="0" xr:uid="{00000000-0006-0000-0800-00000D000000}">
      <text>
        <r>
          <rPr>
            <b/>
            <sz val="8"/>
            <color indexed="81"/>
            <rFont val="Tahoma"/>
            <family val="2"/>
          </rPr>
          <t>Ray Beamesderfer:</t>
        </r>
        <r>
          <rPr>
            <sz val="8"/>
            <color indexed="81"/>
            <rFont val="Tahoma"/>
            <family val="2"/>
          </rPr>
          <t xml:space="preserve">
solved to connect</t>
        </r>
      </text>
    </comment>
    <comment ref="L34" authorId="0" shapeId="0" xr:uid="{00000000-0006-0000-0800-00000E000000}">
      <text>
        <r>
          <rPr>
            <b/>
            <sz val="8"/>
            <color indexed="81"/>
            <rFont val="Tahoma"/>
            <family val="2"/>
          </rPr>
          <t>Ray Beamesderfer:</t>
        </r>
        <r>
          <rPr>
            <sz val="8"/>
            <color indexed="81"/>
            <rFont val="Tahoma"/>
            <family val="2"/>
          </rPr>
          <t xml:space="preserve">
solved to connect</t>
        </r>
      </text>
    </comment>
    <comment ref="P34" authorId="0" shapeId="0" xr:uid="{00000000-0006-0000-0800-00000F000000}">
      <text>
        <r>
          <rPr>
            <b/>
            <sz val="8"/>
            <color indexed="81"/>
            <rFont val="Tahoma"/>
            <family val="2"/>
          </rPr>
          <t>Ray Beamesderfer:</t>
        </r>
        <r>
          <rPr>
            <sz val="8"/>
            <color indexed="81"/>
            <rFont val="Tahoma"/>
            <family val="2"/>
          </rPr>
          <t xml:space="preserve">
solved to connect</t>
        </r>
      </text>
    </comment>
    <comment ref="D38" authorId="0" shapeId="0" xr:uid="{00000000-0006-0000-0800-000010000000}">
      <text>
        <r>
          <rPr>
            <b/>
            <sz val="8"/>
            <color indexed="81"/>
            <rFont val="Tahoma"/>
            <family val="2"/>
          </rPr>
          <t>solved to connect escapement &amp; trib return assuming harvest. Rate is high due to confounding apportionment of mid-C and upriver steelhead</t>
        </r>
      </text>
    </comment>
    <comment ref="H38" authorId="0" shapeId="0" xr:uid="{00000000-0006-0000-0800-000011000000}">
      <text>
        <r>
          <rPr>
            <b/>
            <sz val="8"/>
            <color indexed="81"/>
            <rFont val="Tahoma"/>
            <family val="2"/>
          </rPr>
          <t>solved to connect escapement &amp; trib return assuming harvest. Rate is high due to confounding apportionment of mid-C and upriver steelhead</t>
        </r>
      </text>
    </comment>
    <comment ref="L38" authorId="0" shapeId="0" xr:uid="{00000000-0006-0000-0800-000012000000}">
      <text>
        <r>
          <rPr>
            <b/>
            <sz val="8"/>
            <color indexed="81"/>
            <rFont val="Tahoma"/>
            <family val="2"/>
          </rPr>
          <t>solved to connect escapement &amp; trib return assuming harvest. Rate is high due to confounding apportionment of mid-C and upriver steelhead</t>
        </r>
      </text>
    </comment>
    <comment ref="P38" authorId="0" shapeId="0" xr:uid="{00000000-0006-0000-0800-000013000000}">
      <text>
        <r>
          <rPr>
            <b/>
            <sz val="8"/>
            <color indexed="81"/>
            <rFont val="Tahoma"/>
            <family val="2"/>
          </rPr>
          <t>solved to connect escapement &amp; trib return assuming harvest. Rate is high due to confounding apportionment of mid-C and upriver steelhead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 Beamesderfer</author>
    <author>xxx</author>
    <author>Joe Zendt</author>
  </authors>
  <commentList>
    <comment ref="D5" authorId="0" shapeId="0" xr:uid="{00000000-0006-0000-0100-000001000000}">
      <text>
        <r>
          <rPr>
            <b/>
            <sz val="8"/>
            <color indexed="81"/>
            <rFont val="Tahoma"/>
            <family val="2"/>
          </rPr>
          <t>Recent 10-yr geometric mean</t>
        </r>
      </text>
    </comment>
    <comment ref="J5" authorId="0" shapeId="0" xr:uid="{00000000-0006-0000-0100-000002000000}">
      <text>
        <r>
          <rPr>
            <b/>
            <sz val="8"/>
            <color indexed="81"/>
            <rFont val="Tahoma"/>
            <family val="2"/>
          </rPr>
          <t>Average/equilibrium abundance at high viability (e.g. minimum abundance threshold). Source: NMFS 2009 recovery plan</t>
        </r>
      </text>
    </comment>
    <comment ref="M5" authorId="0" shapeId="0" xr:uid="{00000000-0006-0000-0100-000003000000}">
      <text>
        <r>
          <rPr>
            <b/>
            <sz val="8"/>
            <color indexed="81"/>
            <rFont val="Tahoma"/>
            <family val="2"/>
          </rPr>
          <t>Source: NMFS 2009 Recovery Plan</t>
        </r>
      </text>
    </comment>
    <comment ref="N5" authorId="1" shapeId="0" xr:uid="{00000000-0006-0000-0100-000004000000}">
      <text>
        <r>
          <rPr>
            <b/>
            <sz val="9"/>
            <color indexed="81"/>
            <rFont val="Tahoma"/>
            <family val="2"/>
          </rPr>
          <t>Source: 2016 NWFSC status review pg 140</t>
        </r>
      </text>
    </comment>
    <comment ref="O5" authorId="0" shapeId="0" xr:uid="{00000000-0006-0000-0100-000005000000}">
      <text>
        <r>
          <rPr>
            <b/>
            <sz val="8"/>
            <color indexed="81"/>
            <rFont val="Tahoma"/>
            <family val="2"/>
          </rPr>
          <t>Source: NMFS 2009 Recovery Plan</t>
        </r>
      </text>
    </comment>
    <comment ref="D6" authorId="2" shapeId="0" xr:uid="{00000000-0006-0000-0100-000006000000}">
      <text>
        <r>
          <rPr>
            <b/>
            <sz val="9"/>
            <color indexed="81"/>
            <rFont val="Tahoma"/>
            <family val="2"/>
          </rPr>
          <t>Joe Zendt:</t>
        </r>
        <r>
          <rPr>
            <sz val="9"/>
            <color indexed="81"/>
            <rFont val="Tahoma"/>
            <family val="2"/>
          </rPr>
          <t xml:space="preserve">
Uncertain and potentially increasing.  Based on YN redd counts in tributaries expanded for mainstem spawners.</t>
        </r>
      </text>
    </comment>
    <comment ref="H6" authorId="2" shapeId="0" xr:uid="{00000000-0006-0000-0100-000007000000}">
      <text>
        <r>
          <rPr>
            <b/>
            <sz val="9"/>
            <color indexed="81"/>
            <rFont val="Tahoma"/>
            <family val="2"/>
          </rPr>
          <t>Joe Zendt:</t>
        </r>
        <r>
          <rPr>
            <sz val="9"/>
            <color indexed="81"/>
            <rFont val="Tahoma"/>
            <family val="2"/>
          </rPr>
          <t xml:space="preserve">
EDT estimates
http://www.ykfp.org/klickitat/Library/EDTWSreport.pdf</t>
        </r>
      </text>
    </comment>
    <comment ref="I6" authorId="1" shapeId="0" xr:uid="{00000000-0006-0000-0100-000008000000}">
      <text>
        <r>
          <rPr>
            <b/>
            <sz val="9"/>
            <color indexed="81"/>
            <rFont val="Tahoma"/>
            <family val="2"/>
          </rPr>
          <t>Potential production estimates identified in subbasin plan</t>
        </r>
      </text>
    </comment>
    <comment ref="K6" authorId="2" shapeId="0" xr:uid="{00000000-0006-0000-0100-000009000000}">
      <text>
        <r>
          <rPr>
            <b/>
            <sz val="9"/>
            <color indexed="81"/>
            <rFont val="Tahoma"/>
            <family val="2"/>
          </rPr>
          <t>Joe Zendt:</t>
        </r>
        <r>
          <rPr>
            <sz val="9"/>
            <color indexed="81"/>
            <rFont val="Tahoma"/>
            <family val="2"/>
          </rPr>
          <t xml:space="preserve">
EDT estimates
http://www.ykfp.org/klickitat/Library/EDTWSreport.pdf
Estimate of capacity post-Condit Dam removal but without full habitat restoration.</t>
        </r>
      </text>
    </comment>
    <comment ref="L6" authorId="1" shapeId="0" xr:uid="{00000000-0006-0000-0100-00000A000000}">
      <text>
        <r>
          <rPr>
            <b/>
            <sz val="9"/>
            <color indexed="81"/>
            <rFont val="Tahoma"/>
            <family val="2"/>
          </rPr>
          <t>Historical potential based on EDT (Subbain Plan)</t>
        </r>
      </text>
    </comment>
    <comment ref="P6" authorId="2" shapeId="0" xr:uid="{00000000-0006-0000-0100-00000B000000}">
      <text>
        <r>
          <rPr>
            <b/>
            <sz val="9"/>
            <color indexed="81"/>
            <rFont val="Tahoma"/>
            <family val="2"/>
          </rPr>
          <t>Joe Zendt:</t>
        </r>
        <r>
          <rPr>
            <sz val="9"/>
            <color indexed="81"/>
            <rFont val="Tahoma"/>
            <family val="2"/>
          </rPr>
          <t xml:space="preserve">
ICTRT set minumum abundance threshold at 500 but rated White Salmon as possibly necessary for Mid C steelhead viability.</t>
        </r>
      </text>
    </comment>
    <comment ref="S6" authorId="1" shapeId="0" xr:uid="{00000000-0006-0000-0100-00000C000000}">
      <text>
        <r>
          <rPr>
            <b/>
            <sz val="9"/>
            <color indexed="81"/>
            <rFont val="Tahoma"/>
            <family val="2"/>
          </rPr>
          <t>Need to reconcile w/Joe Zendt no goals in subbasin plan</t>
        </r>
      </text>
    </comment>
    <comment ref="U6" authorId="2" shapeId="0" xr:uid="{00000000-0006-0000-0100-00000D000000}">
      <text>
        <r>
          <rPr>
            <b/>
            <sz val="9"/>
            <color indexed="81"/>
            <rFont val="Tahoma"/>
            <family val="2"/>
          </rPr>
          <t>Joe Zendt:</t>
        </r>
        <r>
          <rPr>
            <sz val="9"/>
            <color indexed="81"/>
            <rFont val="Tahoma"/>
            <family val="2"/>
          </rPr>
          <t xml:space="preserve">
Preliminary YN staff goal subject to review.
Value between ICTRT minimum abundance threshold and Potential.</t>
        </r>
      </text>
    </comment>
    <comment ref="AA6" authorId="1" shapeId="0" xr:uid="{00000000-0006-0000-0100-00000E000000}">
      <text>
        <r>
          <rPr>
            <b/>
            <sz val="9"/>
            <color indexed="81"/>
            <rFont val="Tahoma"/>
            <family val="2"/>
          </rPr>
          <t>placeholder value based on MAT</t>
        </r>
      </text>
    </comment>
    <comment ref="AB6" authorId="1" shapeId="0" xr:uid="{00000000-0006-0000-0100-00000F000000}">
      <text>
        <r>
          <rPr>
            <b/>
            <sz val="9"/>
            <color indexed="81"/>
            <rFont val="Tahoma"/>
            <family val="2"/>
          </rPr>
          <t>as per Jzendt suggestion</t>
        </r>
      </text>
    </comment>
    <comment ref="AC6" authorId="1" shapeId="0" xr:uid="{00000000-0006-0000-0100-000010000000}">
      <text>
        <r>
          <rPr>
            <b/>
            <sz val="9"/>
            <color indexed="81"/>
            <rFont val="Tahoma"/>
            <family val="2"/>
          </rPr>
          <t>limited to 1100 as per J Zendt discussion so as not to exceed historical capacity</t>
        </r>
      </text>
    </comment>
    <comment ref="D7" authorId="2" shapeId="0" xr:uid="{00000000-0006-0000-0100-000011000000}">
      <text>
        <r>
          <rPr>
            <b/>
            <sz val="9"/>
            <color indexed="81"/>
            <rFont val="Tahoma"/>
            <family val="2"/>
          </rPr>
          <t>Joe Zendt:</t>
        </r>
        <r>
          <rPr>
            <sz val="9"/>
            <color indexed="81"/>
            <rFont val="Tahoma"/>
            <family val="2"/>
          </rPr>
          <t xml:space="preserve">
Geomean of Lyle Falls Mark-recapture estimates adjusted for winter steelhead undercounts.
YN Klickitat M&amp;E annual reports.</t>
        </r>
      </text>
    </comment>
    <comment ref="H7" authorId="2" shapeId="0" xr:uid="{00000000-0006-0000-0100-000012000000}">
      <text>
        <r>
          <rPr>
            <b/>
            <sz val="9"/>
            <color indexed="81"/>
            <rFont val="Tahoma"/>
            <family val="2"/>
          </rPr>
          <t>Joe Zendt:</t>
        </r>
        <r>
          <rPr>
            <sz val="9"/>
            <color indexed="81"/>
            <rFont val="Tahoma"/>
            <family val="2"/>
          </rPr>
          <t xml:space="preserve">
Klickitat River Anadromous Fisheries Master Plan, Appendix C EDT Model Analysis, YN 2012. This is capacity</t>
        </r>
      </text>
    </comment>
    <comment ref="I7" authorId="1" shapeId="0" xr:uid="{835A32C7-E00A-4666-8AA0-48FC94F1BA6B}">
      <text>
        <r>
          <rPr>
            <b/>
            <sz val="9"/>
            <color indexed="81"/>
            <rFont val="Tahoma"/>
            <family val="2"/>
          </rPr>
          <t>this is Neq</t>
        </r>
      </text>
    </comment>
    <comment ref="K7" authorId="2" shapeId="0" xr:uid="{00000000-0006-0000-0100-000013000000}">
      <text>
        <r>
          <rPr>
            <b/>
            <sz val="9"/>
            <color indexed="81"/>
            <rFont val="Tahoma"/>
            <family val="2"/>
          </rPr>
          <t>Joe Zendt:</t>
        </r>
        <r>
          <rPr>
            <sz val="9"/>
            <color indexed="81"/>
            <rFont val="Tahoma"/>
            <family val="2"/>
          </rPr>
          <t xml:space="preserve">
Klickitat River Anadromous Fisheries Master Plan, Appendix C EDT Model Analysis, YN 2012.</t>
        </r>
      </text>
    </comment>
    <comment ref="L7" authorId="2" shapeId="0" xr:uid="{00000000-0006-0000-0100-000014000000}">
      <text>
        <r>
          <rPr>
            <b/>
            <sz val="9"/>
            <color indexed="81"/>
            <rFont val="Tahoma"/>
            <family val="2"/>
          </rPr>
          <t>Joe Zendt:</t>
        </r>
        <r>
          <rPr>
            <sz val="9"/>
            <color indexed="81"/>
            <rFont val="Tahoma"/>
            <family val="2"/>
          </rPr>
          <t xml:space="preserve">
Klickitat River Anadromous Fisheries Master Plan, Appendix C EDT Model Analysis, YN 2012.</t>
        </r>
      </text>
    </comment>
    <comment ref="O7" authorId="1" shapeId="0" xr:uid="{00000000-0006-0000-0100-000015000000}">
      <text>
        <r>
          <rPr>
            <b/>
            <sz val="9"/>
            <color indexed="81"/>
            <rFont val="Tahoma"/>
            <family val="2"/>
          </rPr>
          <t>One of the Klickitat, Fifteenmile, Deschutes eastside or Deschutes westside should be highly viable</t>
        </r>
      </text>
    </comment>
    <comment ref="U7" authorId="2" shapeId="0" xr:uid="{00000000-0006-0000-0100-000016000000}">
      <text>
        <r>
          <rPr>
            <b/>
            <sz val="9"/>
            <color indexed="81"/>
            <rFont val="Tahoma"/>
            <family val="2"/>
          </rPr>
          <t>Joe Zendt:</t>
        </r>
        <r>
          <rPr>
            <sz val="9"/>
            <color indexed="81"/>
            <rFont val="Tahoma"/>
            <family val="2"/>
          </rPr>
          <t xml:space="preserve">
Klickitat River Anadromous Fisheries Master Plan, YN 2012.</t>
        </r>
      </text>
    </comment>
    <comment ref="AB7" authorId="1" shapeId="0" xr:uid="{00000000-0006-0000-0100-000017000000}">
      <text>
        <r>
          <rPr>
            <b/>
            <sz val="9"/>
            <color indexed="81"/>
            <rFont val="Tahoma"/>
            <family val="2"/>
          </rPr>
          <t>placeholder value based on multiple of delisting goal</t>
        </r>
      </text>
    </comment>
    <comment ref="AC7" authorId="1" shapeId="0" xr:uid="{00000000-0006-0000-0100-000018000000}">
      <text>
        <r>
          <rPr>
            <b/>
            <sz val="9"/>
            <color indexed="81"/>
            <rFont val="Tahoma"/>
            <family val="2"/>
          </rPr>
          <t>placeholder value based on multiple of delisting goal</t>
        </r>
      </text>
    </comment>
    <comment ref="B8" authorId="1" shapeId="0" xr:uid="{00000000-0006-0000-0100-000019000000}">
      <text>
        <r>
          <rPr>
            <b/>
            <sz val="9"/>
            <color indexed="81"/>
            <rFont val="Tahoma"/>
            <family val="2"/>
          </rPr>
          <t>winters?</t>
        </r>
      </text>
    </comment>
    <comment ref="D8" authorId="0" shapeId="0" xr:uid="{00000000-0006-0000-0100-00001A000000}">
      <text>
        <r>
          <rPr>
            <b/>
            <sz val="8"/>
            <color indexed="81"/>
            <rFont val="Tahoma"/>
            <family val="2"/>
          </rPr>
          <t>2005-2014 geo mean (from PSMFC Coordinated assessment database)</t>
        </r>
      </text>
    </comment>
    <comment ref="I8" authorId="1" shapeId="0" xr:uid="{00000000-0006-0000-0100-00001B000000}">
      <text>
        <r>
          <rPr>
            <b/>
            <sz val="9"/>
            <color indexed="81"/>
            <rFont val="Tahoma"/>
            <family val="2"/>
          </rPr>
          <t>Subbasin Plan - estimated under presettlement conditions (EDT)</t>
        </r>
      </text>
    </comment>
    <comment ref="O8" authorId="1" shapeId="0" xr:uid="{00000000-0006-0000-0100-00001C000000}">
      <text>
        <r>
          <rPr>
            <b/>
            <sz val="9"/>
            <color indexed="81"/>
            <rFont val="Tahoma"/>
            <family val="2"/>
          </rPr>
          <t>One of the Klickitat, Fifteenmile, Deschutes eastside or Deschutes westside should be highly viable</t>
        </r>
      </text>
    </comment>
    <comment ref="AB8" authorId="1" shapeId="0" xr:uid="{00000000-0006-0000-0100-00001D000000}">
      <text>
        <r>
          <rPr>
            <b/>
            <sz val="9"/>
            <color indexed="81"/>
            <rFont val="Tahoma"/>
            <family val="2"/>
          </rPr>
          <t>placeholder value based on multiple of delisting goal</t>
        </r>
      </text>
    </comment>
    <comment ref="AC8" authorId="1" shapeId="0" xr:uid="{00000000-0006-0000-0100-00001E000000}">
      <text>
        <r>
          <rPr>
            <b/>
            <sz val="9"/>
            <color indexed="81"/>
            <rFont val="Tahoma"/>
            <family val="2"/>
          </rPr>
          <t>placeholder value based on multiple of delisting goal</t>
        </r>
      </text>
    </comment>
    <comment ref="D9" authorId="0" shapeId="0" xr:uid="{00000000-0006-0000-0100-00001F000000}">
      <text>
        <r>
          <rPr>
            <b/>
            <sz val="8"/>
            <color indexed="81"/>
            <rFont val="Tahoma"/>
            <family val="2"/>
          </rPr>
          <t>2005-2014 geo mean (from PSMFC Coordinated assessment database)</t>
        </r>
      </text>
    </comment>
    <comment ref="E9" authorId="0" shapeId="0" xr:uid="{00000000-0006-0000-0100-000020000000}">
      <text>
        <r>
          <rPr>
            <b/>
            <sz val="8"/>
            <color indexed="81"/>
            <rFont val="Tahoma"/>
            <family val="2"/>
          </rPr>
          <t>subbasin plan</t>
        </r>
      </text>
    </comment>
    <comment ref="H9" authorId="0" shapeId="0" xr:uid="{00000000-0006-0000-0100-000021000000}">
      <text>
        <r>
          <rPr>
            <b/>
            <sz val="8"/>
            <color indexed="81"/>
            <rFont val="Tahoma"/>
            <family val="2"/>
          </rPr>
          <t>subbasin plan</t>
        </r>
      </text>
    </comment>
    <comment ref="K9" authorId="0" shapeId="0" xr:uid="{00000000-0006-0000-0100-000022000000}">
      <text>
        <r>
          <rPr>
            <b/>
            <sz val="8"/>
            <color indexed="81"/>
            <rFont val="Tahoma"/>
            <family val="2"/>
          </rPr>
          <t>ODFW estimate from 1997 as reported in subbasin plan</t>
        </r>
      </text>
    </comment>
    <comment ref="L9" authorId="0" shapeId="0" xr:uid="{00000000-0006-0000-0100-000023000000}">
      <text>
        <r>
          <rPr>
            <b/>
            <sz val="8"/>
            <color indexed="81"/>
            <rFont val="Tahoma"/>
            <family val="2"/>
          </rPr>
          <t>Subbasin plan assuming moderate habitat restoration</t>
        </r>
      </text>
    </comment>
    <comment ref="O9" authorId="1" shapeId="0" xr:uid="{00000000-0006-0000-0100-000024000000}">
      <text>
        <r>
          <rPr>
            <b/>
            <sz val="9"/>
            <color indexed="81"/>
            <rFont val="Tahoma"/>
            <family val="2"/>
          </rPr>
          <t>One of the Klickitat, Fifteenmile, Deschutes eastside or Deschutes westside should be highly viable</t>
        </r>
      </text>
    </comment>
    <comment ref="AB9" authorId="1" shapeId="0" xr:uid="{00000000-0006-0000-0100-000025000000}">
      <text>
        <r>
          <rPr>
            <b/>
            <sz val="9"/>
            <color indexed="81"/>
            <rFont val="Tahoma"/>
            <family val="2"/>
          </rPr>
          <t>placeholder value based on multiple of delisting goal</t>
        </r>
      </text>
    </comment>
    <comment ref="AC9" authorId="1" shapeId="0" xr:uid="{00000000-0006-0000-0100-000026000000}">
      <text>
        <r>
          <rPr>
            <b/>
            <sz val="9"/>
            <color indexed="81"/>
            <rFont val="Tahoma"/>
            <family val="2"/>
          </rPr>
          <t>subbasin plan EDT estimate with moderate habitat improvement</t>
        </r>
      </text>
    </comment>
    <comment ref="D10" authorId="0" shapeId="0" xr:uid="{00000000-0006-0000-0100-000027000000}">
      <text>
        <r>
          <rPr>
            <b/>
            <sz val="8"/>
            <color indexed="81"/>
            <rFont val="Tahoma"/>
            <family val="2"/>
          </rPr>
          <t>2005-2014 geo mean (from PSMFC Coordinated assessment database)</t>
        </r>
      </text>
    </comment>
    <comment ref="E10" authorId="0" shapeId="0" xr:uid="{00000000-0006-0000-0100-000028000000}">
      <text>
        <r>
          <rPr>
            <b/>
            <sz val="8"/>
            <color indexed="81"/>
            <rFont val="Tahoma"/>
            <family val="2"/>
          </rPr>
          <t>subbasin plan</t>
        </r>
      </text>
    </comment>
    <comment ref="H10" authorId="0" shapeId="0" xr:uid="{00000000-0006-0000-0100-000029000000}">
      <text>
        <r>
          <rPr>
            <b/>
            <sz val="8"/>
            <color indexed="81"/>
            <rFont val="Tahoma"/>
            <family val="2"/>
          </rPr>
          <t>subbasin plan</t>
        </r>
      </text>
    </comment>
    <comment ref="L10" authorId="0" shapeId="0" xr:uid="{00000000-0006-0000-0100-00002A000000}">
      <text>
        <r>
          <rPr>
            <b/>
            <sz val="8"/>
            <color indexed="81"/>
            <rFont val="Tahoma"/>
            <family val="2"/>
          </rPr>
          <t>Subbasin plan assuming moderate habitat restoration</t>
        </r>
      </text>
    </comment>
    <comment ref="O10" authorId="1" shapeId="0" xr:uid="{00000000-0006-0000-0100-00002B000000}">
      <text>
        <r>
          <rPr>
            <b/>
            <sz val="9"/>
            <color indexed="81"/>
            <rFont val="Tahoma"/>
            <family val="2"/>
          </rPr>
          <t>One of the Klickitat, Fifteenmile, Deschutes eastside or Deschutes westside should be highly viable</t>
        </r>
      </text>
    </comment>
    <comment ref="AB10" authorId="1" shapeId="0" xr:uid="{00000000-0006-0000-0100-00002C000000}">
      <text>
        <r>
          <rPr>
            <b/>
            <sz val="9"/>
            <color indexed="81"/>
            <rFont val="Tahoma"/>
            <family val="2"/>
          </rPr>
          <t>placeholder value based on multiple of delisting goal</t>
        </r>
      </text>
    </comment>
    <comment ref="AC10" authorId="1" shapeId="0" xr:uid="{00000000-0006-0000-0100-00002D000000}">
      <text>
        <r>
          <rPr>
            <b/>
            <sz val="9"/>
            <color indexed="81"/>
            <rFont val="Tahoma"/>
            <family val="2"/>
          </rPr>
          <t>subbasin plan EDT estimate with moderate habitat improvement</t>
        </r>
      </text>
    </comment>
    <comment ref="D11" authorId="0" shapeId="0" xr:uid="{00000000-0006-0000-0100-00002E000000}">
      <text>
        <r>
          <rPr>
            <b/>
            <sz val="8"/>
            <color indexed="81"/>
            <rFont val="Tahoma"/>
            <family val="2"/>
          </rPr>
          <t>functionally extirpated but reintroduced</t>
        </r>
      </text>
    </comment>
    <comment ref="E11" authorId="0" shapeId="0" xr:uid="{00000000-0006-0000-0100-00002F000000}">
      <text>
        <r>
          <rPr>
            <b/>
            <sz val="8"/>
            <color indexed="81"/>
            <rFont val="Tahoma"/>
            <family val="2"/>
          </rPr>
          <t>subbasin plan assuming passage at Pelton Round Butte</t>
        </r>
      </text>
    </comment>
    <comment ref="H11" authorId="0" shapeId="0" xr:uid="{00000000-0006-0000-0100-000030000000}">
      <text>
        <r>
          <rPr>
            <b/>
            <sz val="8"/>
            <color indexed="81"/>
            <rFont val="Tahoma"/>
            <family val="2"/>
          </rPr>
          <t>subbasin plan</t>
        </r>
      </text>
    </comment>
    <comment ref="L11" authorId="0" shapeId="0" xr:uid="{00000000-0006-0000-0100-000031000000}">
      <text>
        <r>
          <rPr>
            <b/>
            <sz val="8"/>
            <color indexed="81"/>
            <rFont val="Tahoma"/>
            <family val="2"/>
          </rPr>
          <t>Subbasin plan assuming moderate habitat restoration</t>
        </r>
      </text>
    </comment>
    <comment ref="AC11" authorId="1" shapeId="0" xr:uid="{00000000-0006-0000-0100-000032000000}">
      <text>
        <r>
          <rPr>
            <b/>
            <sz val="9"/>
            <color indexed="81"/>
            <rFont val="Tahoma"/>
            <family val="2"/>
          </rPr>
          <t>subbasin plan EDT estimate with moderate habitat improvement</t>
        </r>
      </text>
    </comment>
    <comment ref="D12" authorId="2" shapeId="0" xr:uid="{00000000-0006-0000-0100-000033000000}">
      <text>
        <r>
          <rPr>
            <b/>
            <sz val="9"/>
            <color indexed="81"/>
            <rFont val="Tahoma"/>
            <family val="2"/>
          </rPr>
          <t>Joe Zendt:</t>
        </r>
        <r>
          <rPr>
            <sz val="9"/>
            <color indexed="81"/>
            <rFont val="Tahoma"/>
            <family val="2"/>
          </rPr>
          <t xml:space="preserve">
Geomean of 2011-2015 redd counts times 2.5 fish/redd.  Inclludes some years of high Snake R. stray returns.
YN database.</t>
        </r>
      </text>
    </comment>
    <comment ref="H12" authorId="2" shapeId="0" xr:uid="{00000000-0006-0000-0100-000034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K12" authorId="2" shapeId="0" xr:uid="{00000000-0006-0000-0100-000035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L12" authorId="2" shapeId="0" xr:uid="{00000000-0006-0000-0100-000036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P12" authorId="0" shapeId="0" xr:uid="{00000000-0006-0000-0100-000037000000}">
      <text>
        <r>
          <rPr>
            <b/>
            <sz val="8"/>
            <color indexed="81"/>
            <rFont val="Tahoma"/>
            <family val="2"/>
          </rPr>
          <t>as per Joe Zendt</t>
        </r>
      </text>
    </comment>
    <comment ref="U12" authorId="2" shapeId="0" xr:uid="{00000000-0006-0000-0100-000038000000}">
      <text>
        <r>
          <rPr>
            <b/>
            <sz val="9"/>
            <color indexed="81"/>
            <rFont val="Tahoma"/>
            <family val="2"/>
          </rPr>
          <t>Joe Zendt:</t>
        </r>
        <r>
          <rPr>
            <sz val="9"/>
            <color indexed="81"/>
            <rFont val="Tahoma"/>
            <family val="2"/>
          </rPr>
          <t xml:space="preserve">
Preliminary YN staff goal subject to review.</t>
        </r>
      </text>
    </comment>
    <comment ref="AB12" authorId="1" shapeId="0" xr:uid="{00000000-0006-0000-0100-000039000000}">
      <text>
        <r>
          <rPr>
            <b/>
            <sz val="9"/>
            <color indexed="81"/>
            <rFont val="Tahoma"/>
            <family val="2"/>
          </rPr>
          <t>smaller increment for low so as not to exceed potential capacity</t>
        </r>
      </text>
    </comment>
    <comment ref="AC12" authorId="1" shapeId="0" xr:uid="{00000000-0006-0000-0100-00003A000000}">
      <text>
        <r>
          <rPr>
            <b/>
            <sz val="9"/>
            <color indexed="81"/>
            <rFont val="Tahoma"/>
            <family val="2"/>
          </rPr>
          <t>smaller increment for low so as not to exceed potential capacity</t>
        </r>
      </text>
    </comment>
    <comment ref="D13" authorId="0" shapeId="0" xr:uid="{00000000-0006-0000-0100-00003B000000}">
      <text>
        <r>
          <rPr>
            <b/>
            <sz val="8"/>
            <color indexed="81"/>
            <rFont val="Tahoma"/>
            <family val="2"/>
          </rPr>
          <t>2005-2014 geo mean (from PSMFC Coordinated assessment database)</t>
        </r>
      </text>
    </comment>
    <comment ref="H13" authorId="0" shapeId="0" xr:uid="{00000000-0006-0000-0100-00003C000000}">
      <text>
        <r>
          <rPr>
            <b/>
            <sz val="8"/>
            <color indexed="81"/>
            <rFont val="Tahoma"/>
            <family val="2"/>
          </rPr>
          <t>Ray Beamesderfer:</t>
        </r>
        <r>
          <rPr>
            <sz val="8"/>
            <color indexed="81"/>
            <rFont val="Tahoma"/>
            <family val="2"/>
          </rPr>
          <t xml:space="preserve">
2005 Subbasin Plan</t>
        </r>
      </text>
    </comment>
    <comment ref="AB13" authorId="1" shapeId="0" xr:uid="{00000000-0006-0000-0100-00003D000000}">
      <text>
        <r>
          <rPr>
            <b/>
            <sz val="9"/>
            <color indexed="81"/>
            <rFont val="Tahoma"/>
            <family val="2"/>
          </rPr>
          <t>placeholder value based on multiple of delisting goal</t>
        </r>
      </text>
    </comment>
    <comment ref="AC13" authorId="1" shapeId="0" xr:uid="{00000000-0006-0000-0100-00003E000000}">
      <text>
        <r>
          <rPr>
            <b/>
            <sz val="9"/>
            <color indexed="81"/>
            <rFont val="Tahoma"/>
            <family val="2"/>
          </rPr>
          <t>placeholder value based on multiple of delisting goal</t>
        </r>
      </text>
    </comment>
    <comment ref="D14" authorId="0" shapeId="0" xr:uid="{00000000-0006-0000-0100-00003F000000}">
      <text>
        <r>
          <rPr>
            <b/>
            <sz val="8"/>
            <color indexed="81"/>
            <rFont val="Tahoma"/>
            <family val="2"/>
          </rPr>
          <t>2005-2014 geo mean (from PSMFC Coordinated assessment database)</t>
        </r>
      </text>
    </comment>
    <comment ref="H14" authorId="0" shapeId="0" xr:uid="{00000000-0006-0000-0100-000040000000}">
      <text>
        <r>
          <rPr>
            <b/>
            <sz val="8"/>
            <color indexed="81"/>
            <rFont val="Tahoma"/>
            <family val="2"/>
          </rPr>
          <t>Ray Beamesderfer:</t>
        </r>
        <r>
          <rPr>
            <sz val="8"/>
            <color indexed="81"/>
            <rFont val="Tahoma"/>
            <family val="2"/>
          </rPr>
          <t xml:space="preserve">
2005 Subbasin Plan</t>
        </r>
      </text>
    </comment>
    <comment ref="AB14" authorId="1" shapeId="0" xr:uid="{00000000-0006-0000-0100-000041000000}">
      <text>
        <r>
          <rPr>
            <b/>
            <sz val="9"/>
            <color indexed="81"/>
            <rFont val="Tahoma"/>
            <family val="2"/>
          </rPr>
          <t>placeholder value based on multiple of delisting goal</t>
        </r>
      </text>
    </comment>
    <comment ref="AC14" authorId="1" shapeId="0" xr:uid="{00000000-0006-0000-0100-000042000000}">
      <text>
        <r>
          <rPr>
            <b/>
            <sz val="9"/>
            <color indexed="81"/>
            <rFont val="Tahoma"/>
            <family val="2"/>
          </rPr>
          <t>placeholder value based on multiple of delisting goal</t>
        </r>
      </text>
    </comment>
    <comment ref="D15" authorId="0" shapeId="0" xr:uid="{00000000-0006-0000-0100-000043000000}">
      <text>
        <r>
          <rPr>
            <b/>
            <sz val="8"/>
            <color indexed="81"/>
            <rFont val="Tahoma"/>
            <family val="2"/>
          </rPr>
          <t>2005-2014 geo mean (from PSMFC Coordinated assessment database)</t>
        </r>
      </text>
    </comment>
    <comment ref="H15" authorId="0" shapeId="0" xr:uid="{00000000-0006-0000-0100-000044000000}">
      <text>
        <r>
          <rPr>
            <b/>
            <sz val="8"/>
            <color indexed="81"/>
            <rFont val="Tahoma"/>
            <family val="2"/>
          </rPr>
          <t>Ray Beamesderfer:</t>
        </r>
        <r>
          <rPr>
            <sz val="8"/>
            <color indexed="81"/>
            <rFont val="Tahoma"/>
            <family val="2"/>
          </rPr>
          <t xml:space="preserve">
2005 Subbasin Plan</t>
        </r>
      </text>
    </comment>
    <comment ref="O15" authorId="1" shapeId="0" xr:uid="{00000000-0006-0000-0100-000045000000}">
      <text>
        <r>
          <rPr>
            <b/>
            <sz val="9"/>
            <color indexed="81"/>
            <rFont val="Tahoma"/>
            <family val="2"/>
          </rPr>
          <t>Either Middle Fork or Upper Mainstem should achieve viable status</t>
        </r>
      </text>
    </comment>
    <comment ref="V15" authorId="0" shapeId="0" xr:uid="{00000000-0006-0000-0100-000046000000}">
      <text>
        <r>
          <rPr>
            <b/>
            <sz val="8"/>
            <color indexed="81"/>
            <rFont val="Tahoma"/>
            <family val="2"/>
          </rPr>
          <t>Ian Tattam ODFW from McHugh et al</t>
        </r>
      </text>
    </comment>
    <comment ref="AB15" authorId="1" shapeId="0" xr:uid="{00000000-0006-0000-0100-000047000000}">
      <text>
        <r>
          <rPr>
            <b/>
            <sz val="9"/>
            <color indexed="81"/>
            <rFont val="Tahoma"/>
            <family val="2"/>
          </rPr>
          <t>Provided by Ian Tattam ODFW based on McHugh et al. population viability analysis</t>
        </r>
      </text>
    </comment>
    <comment ref="AC15" authorId="1" shapeId="0" xr:uid="{00000000-0006-0000-0100-000048000000}">
      <text>
        <r>
          <rPr>
            <b/>
            <sz val="9"/>
            <color indexed="81"/>
            <rFont val="Tahoma"/>
            <family val="2"/>
          </rPr>
          <t>Provided by Ian Tattam ODFW based on McHugh et al. population viability analysis</t>
        </r>
      </text>
    </comment>
    <comment ref="D16" authorId="0" shapeId="0" xr:uid="{00000000-0006-0000-0100-000049000000}">
      <text>
        <r>
          <rPr>
            <b/>
            <sz val="8"/>
            <color indexed="81"/>
            <rFont val="Tahoma"/>
            <family val="2"/>
          </rPr>
          <t>2005-2014 geo mean (from PSMFC Coordinated assessment database)</t>
        </r>
      </text>
    </comment>
    <comment ref="H16" authorId="0" shapeId="0" xr:uid="{00000000-0006-0000-0100-00004A000000}">
      <text>
        <r>
          <rPr>
            <b/>
            <sz val="8"/>
            <color indexed="81"/>
            <rFont val="Tahoma"/>
            <family val="2"/>
          </rPr>
          <t>Ray Beamesderfer:</t>
        </r>
        <r>
          <rPr>
            <sz val="8"/>
            <color indexed="81"/>
            <rFont val="Tahoma"/>
            <family val="2"/>
          </rPr>
          <t xml:space="preserve">
2005 Subbasin Plan</t>
        </r>
      </text>
    </comment>
    <comment ref="AB16" authorId="1" shapeId="0" xr:uid="{00000000-0006-0000-0100-00004B000000}">
      <text>
        <r>
          <rPr>
            <b/>
            <sz val="9"/>
            <color indexed="81"/>
            <rFont val="Tahoma"/>
            <family val="2"/>
          </rPr>
          <t>placeholder value based on multiple of delisting goal</t>
        </r>
      </text>
    </comment>
    <comment ref="AC16" authorId="1" shapeId="0" xr:uid="{00000000-0006-0000-0100-00004C000000}">
      <text>
        <r>
          <rPr>
            <b/>
            <sz val="9"/>
            <color indexed="81"/>
            <rFont val="Tahoma"/>
            <family val="2"/>
          </rPr>
          <t>placeholder value based on multiple of delisting goal</t>
        </r>
      </text>
    </comment>
    <comment ref="D17" authorId="0" shapeId="0" xr:uid="{00000000-0006-0000-0100-00004D000000}">
      <text>
        <r>
          <rPr>
            <b/>
            <sz val="8"/>
            <color indexed="81"/>
            <rFont val="Tahoma"/>
            <family val="2"/>
          </rPr>
          <t>2005-2014 geo mean (from PSMFC Coordinated assessment database)</t>
        </r>
      </text>
    </comment>
    <comment ref="H17" authorId="0" shapeId="0" xr:uid="{00000000-0006-0000-0100-00004E000000}">
      <text>
        <r>
          <rPr>
            <b/>
            <sz val="8"/>
            <color indexed="81"/>
            <rFont val="Tahoma"/>
            <family val="2"/>
          </rPr>
          <t>Ray Beamesderfer:</t>
        </r>
        <r>
          <rPr>
            <sz val="8"/>
            <color indexed="81"/>
            <rFont val="Tahoma"/>
            <family val="2"/>
          </rPr>
          <t xml:space="preserve">
2005 Subbasin Plan</t>
        </r>
      </text>
    </comment>
    <comment ref="O17" authorId="1" shapeId="0" xr:uid="{00000000-0006-0000-0100-00004F000000}">
      <text>
        <r>
          <rPr>
            <b/>
            <sz val="9"/>
            <color indexed="81"/>
            <rFont val="Tahoma"/>
            <family val="2"/>
          </rPr>
          <t>Either Middle Fork or Upper Mainstem should achieve viable status</t>
        </r>
      </text>
    </comment>
    <comment ref="AB17" authorId="1" shapeId="0" xr:uid="{00000000-0006-0000-0100-000050000000}">
      <text>
        <r>
          <rPr>
            <b/>
            <sz val="9"/>
            <color indexed="81"/>
            <rFont val="Tahoma"/>
            <family val="2"/>
          </rPr>
          <t>placeholder value based on multiple of delisting goal</t>
        </r>
      </text>
    </comment>
    <comment ref="AC17" authorId="1" shapeId="0" xr:uid="{00000000-0006-0000-0100-000051000000}">
      <text>
        <r>
          <rPr>
            <b/>
            <sz val="9"/>
            <color indexed="81"/>
            <rFont val="Tahoma"/>
            <family val="2"/>
          </rPr>
          <t>placeholder value based on multiple of delisting goal</t>
        </r>
      </text>
    </comment>
    <comment ref="D19" authorId="0" shapeId="0" xr:uid="{00000000-0006-0000-0100-000052000000}">
      <text>
        <r>
          <rPr>
            <b/>
            <sz val="8"/>
            <color indexed="81"/>
            <rFont val="Tahoma"/>
            <family val="2"/>
          </rPr>
          <t>functionally extirpated</t>
        </r>
      </text>
    </comment>
    <comment ref="AB19" authorId="1" shapeId="0" xr:uid="{00000000-0006-0000-0100-000053000000}">
      <text>
        <r>
          <rPr>
            <b/>
            <sz val="9"/>
            <color indexed="81"/>
            <rFont val="Tahoma"/>
            <family val="2"/>
          </rPr>
          <t>placeholder value based on multiple of delisting goal</t>
        </r>
      </text>
    </comment>
    <comment ref="AC19" authorId="1" shapeId="0" xr:uid="{00000000-0006-0000-0100-000054000000}">
      <text>
        <r>
          <rPr>
            <b/>
            <sz val="9"/>
            <color indexed="81"/>
            <rFont val="Tahoma"/>
            <family val="2"/>
          </rPr>
          <t>placeholder value based on multiple of delisting goal</t>
        </r>
      </text>
    </comment>
    <comment ref="D20" authorId="0" shapeId="0" xr:uid="{00000000-0006-0000-0100-000055000000}">
      <text>
        <r>
          <rPr>
            <b/>
            <sz val="8"/>
            <color indexed="81"/>
            <rFont val="Tahoma"/>
            <family val="2"/>
          </rPr>
          <t>2005-2014 geo mean (from PSMFC Coordinated assessment database)</t>
        </r>
      </text>
    </comment>
    <comment ref="E20" authorId="0" shapeId="0" xr:uid="{00000000-0006-0000-0100-000056000000}">
      <text>
        <r>
          <rPr>
            <b/>
            <sz val="8"/>
            <color indexed="81"/>
            <rFont val="Tahoma"/>
            <family val="2"/>
          </rPr>
          <t>subbasin plan</t>
        </r>
      </text>
    </comment>
    <comment ref="L20" authorId="0" shapeId="0" xr:uid="{00000000-0006-0000-0100-000057000000}">
      <text>
        <r>
          <rPr>
            <b/>
            <sz val="8"/>
            <color indexed="81"/>
            <rFont val="Tahoma"/>
            <family val="2"/>
          </rPr>
          <t>with habitat restoration as per subbasin plan (EDT estimate @ PFC)</t>
        </r>
      </text>
    </comment>
    <comment ref="S20" authorId="0" shapeId="0" xr:uid="{00000000-0006-0000-0100-000058000000}">
      <text>
        <r>
          <rPr>
            <b/>
            <sz val="8"/>
            <color indexed="81"/>
            <rFont val="Tahoma"/>
            <family val="2"/>
          </rPr>
          <t>Gary James: current adult return goal is 5,500 (4,000 natural &amp; 1,500 hatchery)</t>
        </r>
      </text>
    </comment>
    <comment ref="U20" authorId="0" shapeId="0" xr:uid="{00000000-0006-0000-0100-000059000000}">
      <text>
        <r>
          <rPr>
            <b/>
            <sz val="8"/>
            <color indexed="81"/>
            <rFont val="Tahoma"/>
            <family val="2"/>
          </rPr>
          <t>as per Gary James including anticpated work that will improve productivity and new McKay reintroduction</t>
        </r>
      </text>
    </comment>
    <comment ref="X20" authorId="1" shapeId="0" xr:uid="{00000000-0006-0000-0100-00005A000000}">
      <text>
        <r>
          <rPr>
            <b/>
            <sz val="9"/>
            <color indexed="81"/>
            <rFont val="Tahoma"/>
            <family val="2"/>
          </rPr>
          <t>from 2009 CBFWA amendment. 4000 is natural spawners, 5500 is total spawners</t>
        </r>
      </text>
    </comment>
    <comment ref="D21" authorId="0" shapeId="0" xr:uid="{00000000-0006-0000-0100-00005B000000}">
      <text>
        <r>
          <rPr>
            <b/>
            <sz val="8"/>
            <color indexed="81"/>
            <rFont val="Tahoma"/>
            <family val="2"/>
          </rPr>
          <t>2005-2014 geo mean (from PSMFC Coordinated assessment database)</t>
        </r>
      </text>
    </comment>
    <comment ref="E21" authorId="0" shapeId="0" xr:uid="{00000000-0006-0000-0100-00005C000000}">
      <text>
        <r>
          <rPr>
            <b/>
            <sz val="8"/>
            <color indexed="81"/>
            <rFont val="Tahoma"/>
            <family val="2"/>
          </rPr>
          <t>subbasin plan EDT estimate</t>
        </r>
      </text>
    </comment>
    <comment ref="H21" authorId="0" shapeId="0" xr:uid="{00000000-0006-0000-0100-00005D000000}">
      <text>
        <r>
          <rPr>
            <b/>
            <sz val="8"/>
            <color indexed="81"/>
            <rFont val="Tahoma"/>
            <family val="2"/>
          </rPr>
          <t>EDT estimate from subbasin plan</t>
        </r>
      </text>
    </comment>
    <comment ref="L21" authorId="0" shapeId="0" xr:uid="{00000000-0006-0000-0100-00005E000000}">
      <text>
        <r>
          <rPr>
            <b/>
            <sz val="8"/>
            <color indexed="81"/>
            <rFont val="Tahoma"/>
            <family val="2"/>
          </rPr>
          <t>EDT @ PFC from subbasin plan</t>
        </r>
      </text>
    </comment>
    <comment ref="O21" authorId="1" shapeId="0" xr:uid="{00000000-0006-0000-0100-00005F000000}">
      <text>
        <r>
          <rPr>
            <b/>
            <sz val="9"/>
            <color indexed="81"/>
            <rFont val="Tahoma"/>
            <family val="2"/>
          </rPr>
          <t>Either Walla Walla or Touchet should be viable</t>
        </r>
      </text>
    </comment>
    <comment ref="R21" authorId="1" shapeId="0" xr:uid="{00000000-0006-0000-0100-000060000000}">
      <text>
        <r>
          <rPr>
            <b/>
            <sz val="9"/>
            <color indexed="81"/>
            <rFont val="Tahoma"/>
            <family val="2"/>
          </rPr>
          <t>restoration goal in 2011 WA recovery plan</t>
        </r>
      </text>
    </comment>
    <comment ref="X21" authorId="1" shapeId="0" xr:uid="{00000000-0006-0000-0100-000061000000}">
      <text>
        <r>
          <rPr>
            <b/>
            <sz val="9"/>
            <color indexed="81"/>
            <rFont val="Tahoma"/>
            <family val="2"/>
          </rPr>
          <t>restoration goal in 2011 WA recovery plan</t>
        </r>
      </text>
    </comment>
    <comment ref="AB21" authorId="1" shapeId="0" xr:uid="{00000000-0006-0000-0100-000062000000}">
      <text>
        <r>
          <rPr>
            <b/>
            <sz val="9"/>
            <color indexed="81"/>
            <rFont val="Tahoma"/>
            <family val="2"/>
          </rPr>
          <t>placeholder value based on multiple of delisting goal</t>
        </r>
      </text>
    </comment>
    <comment ref="AC21" authorId="1" shapeId="0" xr:uid="{00000000-0006-0000-0100-000063000000}">
      <text>
        <r>
          <rPr>
            <b/>
            <sz val="9"/>
            <color indexed="81"/>
            <rFont val="Tahoma"/>
            <family val="2"/>
          </rPr>
          <t>recov plan long term goal</t>
        </r>
      </text>
    </comment>
    <comment ref="D22" authorId="0" shapeId="0" xr:uid="{00000000-0006-0000-0100-000064000000}">
      <text>
        <r>
          <rPr>
            <b/>
            <sz val="8"/>
            <color indexed="81"/>
            <rFont val="Tahoma"/>
            <family val="2"/>
          </rPr>
          <t>Lyons Ferry HGMP</t>
        </r>
      </text>
    </comment>
    <comment ref="O22" authorId="1" shapeId="0" xr:uid="{00000000-0006-0000-0100-000065000000}">
      <text>
        <r>
          <rPr>
            <b/>
            <sz val="9"/>
            <color indexed="81"/>
            <rFont val="Tahoma"/>
            <family val="2"/>
          </rPr>
          <t>Either Walla Walla or Touchet should be viable</t>
        </r>
      </text>
    </comment>
    <comment ref="R22" authorId="1" shapeId="0" xr:uid="{00000000-0006-0000-0100-000066000000}">
      <text>
        <r>
          <rPr>
            <b/>
            <sz val="9"/>
            <color indexed="81"/>
            <rFont val="Tahoma"/>
            <family val="2"/>
          </rPr>
          <t>restoration goal in 2011 WA recovery plan</t>
        </r>
      </text>
    </comment>
    <comment ref="X22" authorId="1" shapeId="0" xr:uid="{00000000-0006-0000-0100-000067000000}">
      <text>
        <r>
          <rPr>
            <b/>
            <sz val="9"/>
            <color indexed="81"/>
            <rFont val="Tahoma"/>
            <family val="2"/>
          </rPr>
          <t>restoration goal in 2011 WA recovery plan</t>
        </r>
      </text>
    </comment>
    <comment ref="AB22" authorId="1" shapeId="0" xr:uid="{00000000-0006-0000-0100-000068000000}">
      <text>
        <r>
          <rPr>
            <b/>
            <sz val="9"/>
            <color indexed="81"/>
            <rFont val="Tahoma"/>
            <family val="2"/>
          </rPr>
          <t>placeholder value based on multiple of delisting goal</t>
        </r>
      </text>
    </comment>
    <comment ref="AC22" authorId="1" shapeId="0" xr:uid="{00000000-0006-0000-0100-000069000000}">
      <text>
        <r>
          <rPr>
            <b/>
            <sz val="9"/>
            <color indexed="81"/>
            <rFont val="Tahoma"/>
            <family val="2"/>
          </rPr>
          <t>recov plan long term goal</t>
        </r>
      </text>
    </comment>
    <comment ref="D24" authorId="0" shapeId="0" xr:uid="{00000000-0006-0000-0100-00006A000000}">
      <text>
        <r>
          <rPr>
            <b/>
            <sz val="8"/>
            <color indexed="81"/>
            <rFont val="Tahoma"/>
            <family val="2"/>
          </rPr>
          <t>2005-2014 from the 2016 NWFSC status review</t>
        </r>
      </text>
    </comment>
    <comment ref="E24" authorId="1" shapeId="0" xr:uid="{8BBCD2E6-C320-4BE8-8BFF-CEF8C768FCCF}">
      <text>
        <r>
          <rPr>
            <b/>
            <sz val="9"/>
            <color indexed="81"/>
            <rFont val="Tahoma"/>
            <family val="2"/>
          </rPr>
          <t xml:space="preserve">Yakima steelhead plan 2009 EDT patient
</t>
        </r>
      </text>
    </comment>
    <comment ref="H24" authorId="1" shapeId="0" xr:uid="{00000000-0006-0000-0100-00006B000000}">
      <text>
        <r>
          <rPr>
            <b/>
            <sz val="9"/>
            <color indexed="81"/>
            <rFont val="Tahoma"/>
            <family val="2"/>
          </rPr>
          <t>2011 EDT Template estimate</t>
        </r>
      </text>
    </comment>
    <comment ref="I24" authorId="1" shapeId="0" xr:uid="{3B9F6AF2-86FF-4EDE-9D8C-1030CC531BC3}">
      <text>
        <r>
          <rPr>
            <b/>
            <sz val="9"/>
            <color indexed="81"/>
            <rFont val="Tahoma"/>
            <family val="2"/>
          </rPr>
          <t>Yakima steelhead plan 2009 EDT potential</t>
        </r>
      </text>
    </comment>
    <comment ref="L24" authorId="1" shapeId="0" xr:uid="{00000000-0006-0000-0100-00006C000000}">
      <text>
        <r>
          <rPr>
            <b/>
            <sz val="9"/>
            <color indexed="81"/>
            <rFont val="Tahoma"/>
            <family val="2"/>
          </rPr>
          <t>True restoration potential based on land use practice scenarios run for Yakima River Basin storage studies</t>
        </r>
      </text>
    </comment>
    <comment ref="O24" authorId="1" shapeId="0" xr:uid="{00000000-0006-0000-0100-00006D000000}">
      <text>
        <r>
          <rPr>
            <b/>
            <sz val="9"/>
            <color indexed="81"/>
            <rFont val="Tahoma"/>
            <family val="2"/>
          </rPr>
          <t>Either Satus or Toppenish must be viable, the other maintained</t>
        </r>
      </text>
    </comment>
    <comment ref="R24" authorId="1" shapeId="0" xr:uid="{00000000-0006-0000-0100-00006E000000}">
      <text>
        <r>
          <rPr>
            <b/>
            <sz val="9"/>
            <color indexed="81"/>
            <rFont val="Tahoma"/>
            <family val="2"/>
          </rPr>
          <t>Broad sense number for long term recovery identified in 2009 recovery plan. Based on restoring access to all histori habitat that can be restored consistent with local traditions and economies and levels that support ecological and harvest goals</t>
        </r>
      </text>
    </comment>
    <comment ref="W24" authorId="1" shapeId="0" xr:uid="{00000000-0006-0000-0100-00006F000000}">
      <text>
        <r>
          <rPr>
            <b/>
            <sz val="9"/>
            <color indexed="81"/>
            <rFont val="Tahoma"/>
            <family val="2"/>
          </rPr>
          <t>MAT</t>
        </r>
      </text>
    </comment>
    <comment ref="X24" authorId="1" shapeId="0" xr:uid="{00000000-0006-0000-0100-000070000000}">
      <text>
        <r>
          <rPr>
            <b/>
            <sz val="9"/>
            <color indexed="81"/>
            <rFont val="Tahoma"/>
            <family val="2"/>
          </rPr>
          <t>identified as minimum avg abundance in NPCC database derived from subbasin plan</t>
        </r>
      </text>
    </comment>
    <comment ref="Y24" authorId="1" shapeId="0" xr:uid="{00000000-0006-0000-0100-000071000000}">
      <text>
        <r>
          <rPr>
            <b/>
            <sz val="9"/>
            <color indexed="81"/>
            <rFont val="Tahoma"/>
            <family val="2"/>
          </rPr>
          <t>Broad sense number for long term recovery identified in 2009 recovery plan</t>
        </r>
      </text>
    </comment>
    <comment ref="D25" authorId="0" shapeId="0" xr:uid="{00000000-0006-0000-0100-000072000000}">
      <text>
        <r>
          <rPr>
            <b/>
            <sz val="8"/>
            <color indexed="81"/>
            <rFont val="Tahoma"/>
            <family val="2"/>
          </rPr>
          <t>2005-2014 from the 2016 NWFSC status review</t>
        </r>
      </text>
    </comment>
    <comment ref="E25" authorId="1" shapeId="0" xr:uid="{A47B6A23-3D35-4529-BC6E-A9E51341BE93}">
      <text>
        <r>
          <rPr>
            <b/>
            <sz val="9"/>
            <color indexed="81"/>
            <rFont val="Tahoma"/>
            <family val="2"/>
          </rPr>
          <t xml:space="preserve">Yakima steelhead plan 2009 EDT patient
</t>
        </r>
      </text>
    </comment>
    <comment ref="H25" authorId="1" shapeId="0" xr:uid="{00000000-0006-0000-0100-000073000000}">
      <text>
        <r>
          <rPr>
            <b/>
            <sz val="9"/>
            <color indexed="81"/>
            <rFont val="Tahoma"/>
            <family val="2"/>
          </rPr>
          <t>2011 EDT Template value</t>
        </r>
      </text>
    </comment>
    <comment ref="I25" authorId="1" shapeId="0" xr:uid="{1A62B341-BE13-4539-AF95-FE3560A4F77C}">
      <text>
        <r>
          <rPr>
            <b/>
            <sz val="9"/>
            <color indexed="81"/>
            <rFont val="Tahoma"/>
            <family val="2"/>
          </rPr>
          <t>Yakima steelhead plan 2009 EDT potential</t>
        </r>
      </text>
    </comment>
    <comment ref="L25" authorId="1" shapeId="0" xr:uid="{00000000-0006-0000-0100-000074000000}">
      <text>
        <r>
          <rPr>
            <b/>
            <sz val="9"/>
            <color indexed="81"/>
            <rFont val="Tahoma"/>
            <family val="2"/>
          </rPr>
          <t>True restoration potential based on land use practice scenarios run for Yakima River Basin storage studies</t>
        </r>
      </text>
    </comment>
    <comment ref="O25" authorId="1" shapeId="0" xr:uid="{00000000-0006-0000-0100-000075000000}">
      <text>
        <r>
          <rPr>
            <b/>
            <sz val="9"/>
            <color indexed="81"/>
            <rFont val="Tahoma"/>
            <family val="2"/>
          </rPr>
          <t>Either Satus or Toppenish must be viable, the other maintained</t>
        </r>
      </text>
    </comment>
    <comment ref="P25" authorId="1" shapeId="0" xr:uid="{00000000-0006-0000-0100-000076000000}">
      <text>
        <r>
          <rPr>
            <b/>
            <sz val="9"/>
            <color indexed="81"/>
            <rFont val="Tahoma"/>
            <family val="2"/>
          </rPr>
          <t>delisting senario where not all pop get to viable</t>
        </r>
      </text>
    </comment>
    <comment ref="R25" authorId="1" shapeId="0" xr:uid="{00000000-0006-0000-0100-000077000000}">
      <text>
        <r>
          <rPr>
            <b/>
            <sz val="9"/>
            <color indexed="81"/>
            <rFont val="Tahoma"/>
            <family val="2"/>
          </rPr>
          <t>Broad sense number for long term recovery in Yakama recovery plan</t>
        </r>
      </text>
    </comment>
    <comment ref="W25" authorId="1" shapeId="0" xr:uid="{00000000-0006-0000-0100-000078000000}">
      <text>
        <r>
          <rPr>
            <b/>
            <sz val="9"/>
            <color indexed="81"/>
            <rFont val="Tahoma"/>
            <family val="2"/>
          </rPr>
          <t xml:space="preserve">250 is minimum avg abundance identified for delisting scenario in 2009 recovery plan. 500 is MAT. </t>
        </r>
      </text>
    </comment>
    <comment ref="X25" authorId="1" shapeId="0" xr:uid="{00000000-0006-0000-0100-000079000000}">
      <text>
        <r>
          <rPr>
            <b/>
            <sz val="9"/>
            <color indexed="81"/>
            <rFont val="Tahoma"/>
            <family val="2"/>
          </rPr>
          <t>Long-term goal in NPPC database for YN 2016. No refernece linked</t>
        </r>
      </text>
    </comment>
    <comment ref="Y25" authorId="1" shapeId="0" xr:uid="{00000000-0006-0000-0100-00007A000000}">
      <text>
        <r>
          <rPr>
            <b/>
            <sz val="9"/>
            <color indexed="81"/>
            <rFont val="Tahoma"/>
            <family val="2"/>
          </rPr>
          <t>Broad sense number for long term recovery in Yakama recovery plan</t>
        </r>
      </text>
    </comment>
    <comment ref="D26" authorId="0" shapeId="0" xr:uid="{00000000-0006-0000-0100-00007B000000}">
      <text>
        <r>
          <rPr>
            <b/>
            <sz val="8"/>
            <color indexed="81"/>
            <rFont val="Tahoma"/>
            <family val="2"/>
          </rPr>
          <t>2005-2014 from the 2016 NWFSC status review</t>
        </r>
      </text>
    </comment>
    <comment ref="E26" authorId="1" shapeId="0" xr:uid="{7179AB6B-5075-4962-8844-0B1C43D14D8F}">
      <text>
        <r>
          <rPr>
            <b/>
            <sz val="9"/>
            <color indexed="81"/>
            <rFont val="Tahoma"/>
            <family val="2"/>
          </rPr>
          <t xml:space="preserve">Yakima steelhead plan 2009 EDT patient
</t>
        </r>
      </text>
    </comment>
    <comment ref="H26" authorId="1" shapeId="0" xr:uid="{00000000-0006-0000-0100-00007C000000}">
      <text>
        <r>
          <rPr>
            <b/>
            <sz val="9"/>
            <color indexed="81"/>
            <rFont val="Tahoma"/>
            <family val="2"/>
          </rPr>
          <t>2011 EDT Template value</t>
        </r>
      </text>
    </comment>
    <comment ref="I26" authorId="1" shapeId="0" xr:uid="{DF9F728A-7A03-42D2-B250-259F88AA78FB}">
      <text>
        <r>
          <rPr>
            <b/>
            <sz val="9"/>
            <color indexed="81"/>
            <rFont val="Tahoma"/>
            <family val="2"/>
          </rPr>
          <t>Yakima steelhead plan 2009 EDT potential</t>
        </r>
      </text>
    </comment>
    <comment ref="L26" authorId="1" shapeId="0" xr:uid="{00000000-0006-0000-0100-00007D000000}">
      <text>
        <r>
          <rPr>
            <b/>
            <sz val="9"/>
            <color indexed="81"/>
            <rFont val="Tahoma"/>
            <family val="2"/>
          </rPr>
          <t>True restoration potential based on land use practice scenarios run for Yakima River Basin storage studies</t>
        </r>
      </text>
    </comment>
    <comment ref="O26" authorId="1" shapeId="0" xr:uid="{00000000-0006-0000-0100-00007E000000}">
      <text>
        <r>
          <rPr>
            <b/>
            <sz val="9"/>
            <color indexed="81"/>
            <rFont val="Tahoma"/>
            <family val="2"/>
          </rPr>
          <t>Either Naches or Upper Yakima must achieve viable status, the other maintained</t>
        </r>
      </text>
    </comment>
    <comment ref="R26" authorId="1" shapeId="0" xr:uid="{00000000-0006-0000-0100-00007F000000}">
      <text>
        <r>
          <rPr>
            <b/>
            <sz val="9"/>
            <color indexed="81"/>
            <rFont val="Tahoma"/>
            <family val="2"/>
          </rPr>
          <t>Broad sense number for long term recovery identified in 2009 recovery plan</t>
        </r>
      </text>
    </comment>
    <comment ref="W26" authorId="1" shapeId="0" xr:uid="{00000000-0006-0000-0100-000080000000}">
      <text>
        <r>
          <rPr>
            <b/>
            <sz val="9"/>
            <color indexed="81"/>
            <rFont val="Tahoma"/>
            <family val="2"/>
          </rPr>
          <t>MAT</t>
        </r>
      </text>
    </comment>
    <comment ref="Y26" authorId="1" shapeId="0" xr:uid="{00000000-0006-0000-0100-000081000000}">
      <text>
        <r>
          <rPr>
            <b/>
            <sz val="9"/>
            <color indexed="81"/>
            <rFont val="Tahoma"/>
            <family val="2"/>
          </rPr>
          <t>Broad sense number for long term recovery identified in 2009 recovery plan</t>
        </r>
      </text>
    </comment>
    <comment ref="D27" authorId="0" shapeId="0" xr:uid="{00000000-0006-0000-0100-000082000000}">
      <text>
        <r>
          <rPr>
            <b/>
            <sz val="8"/>
            <color indexed="81"/>
            <rFont val="Tahoma"/>
            <family val="2"/>
          </rPr>
          <t>2005-2014 from the 2016 NWFSC status review</t>
        </r>
      </text>
    </comment>
    <comment ref="E27" authorId="1" shapeId="0" xr:uid="{5AAADE3C-6B3D-4E19-8424-0EB06C9C548E}">
      <text>
        <r>
          <rPr>
            <b/>
            <sz val="9"/>
            <color indexed="81"/>
            <rFont val="Tahoma"/>
            <family val="2"/>
          </rPr>
          <t xml:space="preserve">Yakima steelhead plan 2009 EDT patient
</t>
        </r>
      </text>
    </comment>
    <comment ref="I27" authorId="1" shapeId="0" xr:uid="{C687DFA5-3859-4981-A079-C4F922882889}">
      <text>
        <r>
          <rPr>
            <b/>
            <sz val="9"/>
            <color indexed="81"/>
            <rFont val="Tahoma"/>
            <family val="2"/>
          </rPr>
          <t>Yakima steelhead plan 2009 EDT potential</t>
        </r>
      </text>
    </comment>
    <comment ref="L27" authorId="1" shapeId="0" xr:uid="{00000000-0006-0000-0100-000083000000}">
      <text>
        <r>
          <rPr>
            <b/>
            <sz val="9"/>
            <color indexed="81"/>
            <rFont val="Tahoma"/>
            <family val="2"/>
          </rPr>
          <t>True restoration potential based on land use practice scenarios run for Yakima River Basin storage studies</t>
        </r>
      </text>
    </comment>
    <comment ref="O27" authorId="1" shapeId="0" xr:uid="{00000000-0006-0000-0100-000084000000}">
      <text>
        <r>
          <rPr>
            <b/>
            <sz val="9"/>
            <color indexed="81"/>
            <rFont val="Tahoma"/>
            <family val="2"/>
          </rPr>
          <t>Either Naches or Upper Yakima must achieve viable status, the other maintained</t>
        </r>
      </text>
    </comment>
    <comment ref="R27" authorId="1" shapeId="0" xr:uid="{00000000-0006-0000-0100-000085000000}">
      <text>
        <r>
          <rPr>
            <b/>
            <sz val="9"/>
            <color indexed="81"/>
            <rFont val="Tahoma"/>
            <family val="2"/>
          </rPr>
          <t>Broad sense goal in recovery plan</t>
        </r>
      </text>
    </comment>
    <comment ref="Y27" authorId="1" shapeId="0" xr:uid="{00000000-0006-0000-0100-000086000000}">
      <text>
        <r>
          <rPr>
            <b/>
            <sz val="9"/>
            <color indexed="81"/>
            <rFont val="Tahoma"/>
            <family val="2"/>
          </rPr>
          <t>Broad sense goal in recovery plan</t>
        </r>
      </text>
    </comment>
    <comment ref="D32" authorId="2" shapeId="0" xr:uid="{00000000-0006-0000-0100-000087000000}">
      <text>
        <r>
          <rPr>
            <b/>
            <sz val="9"/>
            <color indexed="81"/>
            <rFont val="Tahoma"/>
            <family val="2"/>
          </rPr>
          <t>Joe Zendt:</t>
        </r>
        <r>
          <rPr>
            <sz val="9"/>
            <color indexed="81"/>
            <rFont val="Tahoma"/>
            <family val="2"/>
          </rPr>
          <t xml:space="preserve">
Uncertain and potentially increasing.  Based on YN redd counts in tributaries expanded for mainstem spawners.</t>
        </r>
      </text>
    </comment>
    <comment ref="H32" authorId="2" shapeId="0" xr:uid="{00000000-0006-0000-0100-000088000000}">
      <text>
        <r>
          <rPr>
            <b/>
            <sz val="9"/>
            <color indexed="81"/>
            <rFont val="Tahoma"/>
            <family val="2"/>
          </rPr>
          <t>Joe Zendt:</t>
        </r>
        <r>
          <rPr>
            <sz val="9"/>
            <color indexed="81"/>
            <rFont val="Tahoma"/>
            <family val="2"/>
          </rPr>
          <t xml:space="preserve">
EDT estimates
http://www.ykfp.org/klickitat/Library/EDTWSreport.pdf</t>
        </r>
      </text>
    </comment>
    <comment ref="K32" authorId="2" shapeId="0" xr:uid="{00000000-0006-0000-0100-000089000000}">
      <text>
        <r>
          <rPr>
            <b/>
            <sz val="9"/>
            <color indexed="81"/>
            <rFont val="Tahoma"/>
            <family val="2"/>
          </rPr>
          <t>Joe Zendt:</t>
        </r>
        <r>
          <rPr>
            <sz val="9"/>
            <color indexed="81"/>
            <rFont val="Tahoma"/>
            <family val="2"/>
          </rPr>
          <t xml:space="preserve">
EDT estimates
http://www.ykfp.org/klickitat/Library/EDTWSreport.pdf
Estimate of capacity post-Condit Dam removal but without full habitat restoration.</t>
        </r>
      </text>
    </comment>
    <comment ref="U32" authorId="2" shapeId="0" xr:uid="{00000000-0006-0000-0100-00008A000000}">
      <text>
        <r>
          <rPr>
            <b/>
            <sz val="9"/>
            <color indexed="81"/>
            <rFont val="Tahoma"/>
            <family val="2"/>
          </rPr>
          <t>Joe Zendt:</t>
        </r>
        <r>
          <rPr>
            <sz val="9"/>
            <color indexed="81"/>
            <rFont val="Tahoma"/>
            <family val="2"/>
          </rPr>
          <t xml:space="preserve">
Preliminary YN staff goal subject to review.
Value between ICTRT minimum abundance threshold and Potential.</t>
        </r>
      </text>
    </comment>
    <comment ref="D33" authorId="2" shapeId="0" xr:uid="{00000000-0006-0000-0100-00008B000000}">
      <text>
        <r>
          <rPr>
            <b/>
            <sz val="9"/>
            <color indexed="81"/>
            <rFont val="Tahoma"/>
            <family val="2"/>
          </rPr>
          <t>Joe Zendt:</t>
        </r>
        <r>
          <rPr>
            <sz val="9"/>
            <color indexed="81"/>
            <rFont val="Tahoma"/>
            <family val="2"/>
          </rPr>
          <t xml:space="preserve">
Current natural spawner estimate expanded by rough pHOS estimate from 2009-2014 YN radio telemetry study</t>
        </r>
      </text>
    </comment>
    <comment ref="H33" authorId="2" shapeId="0" xr:uid="{00000000-0006-0000-0100-00008C000000}">
      <text>
        <r>
          <rPr>
            <b/>
            <sz val="9"/>
            <color indexed="81"/>
            <rFont val="Tahoma"/>
            <family val="2"/>
          </rPr>
          <t>Joe Zendt:</t>
        </r>
        <r>
          <rPr>
            <sz val="9"/>
            <color indexed="81"/>
            <rFont val="Tahoma"/>
            <family val="2"/>
          </rPr>
          <t xml:space="preserve">
Klickitat River Anadromous Fisheries Master Plan, Appendix C EDT Model Analysis, YN 2012.</t>
        </r>
      </text>
    </comment>
    <comment ref="K33" authorId="2" shapeId="0" xr:uid="{00000000-0006-0000-0100-00008D000000}">
      <text>
        <r>
          <rPr>
            <b/>
            <sz val="9"/>
            <color indexed="81"/>
            <rFont val="Tahoma"/>
            <family val="2"/>
          </rPr>
          <t>Joe Zendt:</t>
        </r>
        <r>
          <rPr>
            <sz val="9"/>
            <color indexed="81"/>
            <rFont val="Tahoma"/>
            <family val="2"/>
          </rPr>
          <t xml:space="preserve">
Klickitat River Anadromous Fisheries Master Plan, Appendix C EDT Model Analysis, YN 2012.</t>
        </r>
      </text>
    </comment>
    <comment ref="L33" authorId="2" shapeId="0" xr:uid="{00000000-0006-0000-0100-00008E000000}">
      <text>
        <r>
          <rPr>
            <b/>
            <sz val="9"/>
            <color indexed="81"/>
            <rFont val="Tahoma"/>
            <family val="2"/>
          </rPr>
          <t>Joe Zendt:</t>
        </r>
        <r>
          <rPr>
            <sz val="9"/>
            <color indexed="81"/>
            <rFont val="Tahoma"/>
            <family val="2"/>
          </rPr>
          <t xml:space="preserve">
Klickitat River Anadromous Fisheries Master Plan, Appendix C EDT Model Analysis, YN 2012.</t>
        </r>
      </text>
    </comment>
    <comment ref="U33" authorId="2" shapeId="0" xr:uid="{00000000-0006-0000-0100-00008F000000}">
      <text>
        <r>
          <rPr>
            <b/>
            <sz val="9"/>
            <color indexed="81"/>
            <rFont val="Tahoma"/>
            <family val="2"/>
          </rPr>
          <t>Joe Zendt:</t>
        </r>
        <r>
          <rPr>
            <sz val="9"/>
            <color indexed="81"/>
            <rFont val="Tahoma"/>
            <family val="2"/>
          </rPr>
          <t xml:space="preserve">
Same as above - no current hatchery steelhead natural production goal for Klickitat</t>
        </r>
      </text>
    </comment>
    <comment ref="D38" authorId="2" shapeId="0" xr:uid="{00000000-0006-0000-0100-000090000000}">
      <text>
        <r>
          <rPr>
            <b/>
            <sz val="9"/>
            <color indexed="81"/>
            <rFont val="Tahoma"/>
            <family val="2"/>
          </rPr>
          <t>Joe Zendt:</t>
        </r>
        <r>
          <rPr>
            <sz val="9"/>
            <color indexed="81"/>
            <rFont val="Tahoma"/>
            <family val="2"/>
          </rPr>
          <t xml:space="preserve">
Geomean of 2011-2015 redd counts times 2.5 fish/redd.  Inclludes some years of high Snake R. stray returns.
YN database.</t>
        </r>
      </text>
    </comment>
    <comment ref="H38" authorId="2" shapeId="0" xr:uid="{00000000-0006-0000-0100-000091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K38" authorId="2" shapeId="0" xr:uid="{00000000-0006-0000-0100-000092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L38" authorId="2" shapeId="0" xr:uid="{00000000-0006-0000-0100-000093000000}">
      <text>
        <r>
          <rPr>
            <b/>
            <sz val="9"/>
            <color indexed="81"/>
            <rFont val="Tahoma"/>
            <family val="2"/>
          </rPr>
          <t>Joe Zendt:</t>
        </r>
        <r>
          <rPr>
            <sz val="9"/>
            <color indexed="81"/>
            <rFont val="Tahoma"/>
            <family val="2"/>
          </rPr>
          <t xml:space="preserve">
EDT adjusted with professional judgement based on historic and current habitat conditions.</t>
        </r>
      </text>
    </comment>
    <comment ref="U38" authorId="2" shapeId="0" xr:uid="{00000000-0006-0000-0100-000094000000}">
      <text>
        <r>
          <rPr>
            <b/>
            <sz val="9"/>
            <color indexed="81"/>
            <rFont val="Tahoma"/>
            <family val="2"/>
          </rPr>
          <t>Joe Zendt:</t>
        </r>
        <r>
          <rPr>
            <sz val="9"/>
            <color indexed="81"/>
            <rFont val="Tahoma"/>
            <family val="2"/>
          </rPr>
          <t xml:space="preserve">
Preliminary YN staff goal subject to review.</t>
        </r>
      </text>
    </comment>
    <comment ref="F39" authorId="0" shapeId="0" xr:uid="{00000000-0006-0000-0100-000095000000}">
      <text>
        <r>
          <rPr>
            <b/>
            <sz val="8"/>
            <color indexed="81"/>
            <rFont val="Tahoma"/>
            <family val="2"/>
          </rPr>
          <t>John McMillan: 1959-2014 avg</t>
        </r>
      </text>
    </comment>
    <comment ref="G39" authorId="0" shapeId="0" xr:uid="{00000000-0006-0000-0100-000096000000}">
      <text>
        <r>
          <rPr>
            <b/>
            <sz val="8"/>
            <color indexed="81"/>
            <rFont val="Tahoma"/>
            <family val="2"/>
          </rPr>
          <t>John McMillan: 1959-2014 maximum value</t>
        </r>
      </text>
    </comment>
    <comment ref="F40" authorId="0" shapeId="0" xr:uid="{00000000-0006-0000-0100-000097000000}">
      <text>
        <r>
          <rPr>
            <b/>
            <sz val="8"/>
            <color indexed="81"/>
            <rFont val="Tahoma"/>
            <family val="2"/>
          </rPr>
          <t>John McMillan: 1959-2014 avg</t>
        </r>
      </text>
    </comment>
    <comment ref="G40" authorId="0" shapeId="0" xr:uid="{00000000-0006-0000-0100-000098000000}">
      <text>
        <r>
          <rPr>
            <b/>
            <sz val="8"/>
            <color indexed="81"/>
            <rFont val="Tahoma"/>
            <family val="2"/>
          </rPr>
          <t>John McMillan: 1959-2014 maximum value</t>
        </r>
      </text>
    </comment>
    <comment ref="F41" authorId="0" shapeId="0" xr:uid="{00000000-0006-0000-0100-000099000000}">
      <text>
        <r>
          <rPr>
            <b/>
            <sz val="8"/>
            <color indexed="81"/>
            <rFont val="Tahoma"/>
            <family val="2"/>
          </rPr>
          <t>John McMillan: 1959-2014 avg</t>
        </r>
      </text>
    </comment>
    <comment ref="G41" authorId="0" shapeId="0" xr:uid="{00000000-0006-0000-0100-00009A000000}">
      <text>
        <r>
          <rPr>
            <b/>
            <sz val="8"/>
            <color indexed="81"/>
            <rFont val="Tahoma"/>
            <family val="2"/>
          </rPr>
          <t>John McMillan: 1959-2014 maximum value</t>
        </r>
      </text>
    </comment>
    <comment ref="F42" authorId="0" shapeId="0" xr:uid="{00000000-0006-0000-0100-00009B000000}">
      <text>
        <r>
          <rPr>
            <b/>
            <sz val="8"/>
            <color indexed="81"/>
            <rFont val="Tahoma"/>
            <family val="2"/>
          </rPr>
          <t>John McMillan: 1959-2014 avg</t>
        </r>
      </text>
    </comment>
    <comment ref="G42" authorId="0" shapeId="0" xr:uid="{00000000-0006-0000-0100-00009C000000}">
      <text>
        <r>
          <rPr>
            <b/>
            <sz val="8"/>
            <color indexed="81"/>
            <rFont val="Tahoma"/>
            <family val="2"/>
          </rPr>
          <t>John McMillan: 1959-2014 maximum value</t>
        </r>
      </text>
    </comment>
    <comment ref="F43" authorId="0" shapeId="0" xr:uid="{00000000-0006-0000-0100-00009D000000}">
      <text>
        <r>
          <rPr>
            <b/>
            <sz val="8"/>
            <color indexed="81"/>
            <rFont val="Tahoma"/>
            <family val="2"/>
          </rPr>
          <t>John McMillan: 1959-2014 avg</t>
        </r>
      </text>
    </comment>
    <comment ref="G43" authorId="0" shapeId="0" xr:uid="{00000000-0006-0000-0100-00009E000000}">
      <text>
        <r>
          <rPr>
            <b/>
            <sz val="8"/>
            <color indexed="81"/>
            <rFont val="Tahoma"/>
            <family val="2"/>
          </rPr>
          <t>John McMillan: 1959-2014 maximum value</t>
        </r>
      </text>
    </comment>
    <comment ref="F44" authorId="0" shapeId="0" xr:uid="{00000000-0006-0000-0100-00009F000000}">
      <text>
        <r>
          <rPr>
            <b/>
            <sz val="8"/>
            <color indexed="81"/>
            <rFont val="Tahoma"/>
            <family val="2"/>
          </rPr>
          <t>John McMillan: 1959-2014 avg</t>
        </r>
      </text>
    </comment>
    <comment ref="G44" authorId="0" shapeId="0" xr:uid="{00000000-0006-0000-0100-0000A0000000}">
      <text>
        <r>
          <rPr>
            <b/>
            <sz val="8"/>
            <color indexed="81"/>
            <rFont val="Tahoma"/>
            <family val="2"/>
          </rPr>
          <t>John McMillan: 1959-2014 maximum value</t>
        </r>
      </text>
    </comment>
    <comment ref="D46" authorId="0" shapeId="0" xr:uid="{00000000-0006-0000-0100-0000A1000000}">
      <text>
        <r>
          <rPr>
            <b/>
            <sz val="8"/>
            <color indexed="81"/>
            <rFont val="Tahoma"/>
            <family val="2"/>
          </rPr>
          <t>3,400 reported by G James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 Beamesderfer</author>
    <author>xxx</author>
  </authors>
  <commentList>
    <comment ref="J9" authorId="0" shapeId="0" xr:uid="{00000000-0006-0000-0200-000001000000}">
      <text>
        <r>
          <rPr>
            <b/>
            <sz val="8"/>
            <color indexed="81"/>
            <rFont val="Tahoma"/>
            <family val="2"/>
          </rPr>
          <t>based on abundance for B-run steelhead. Specific rates are not set for A-run as B-run are the indicator stock</t>
        </r>
      </text>
    </comment>
    <comment ref="C11" authorId="0" shapeId="0" xr:uid="{00000000-0006-0000-0200-000002000000}">
      <text>
        <r>
          <rPr>
            <b/>
            <sz val="8"/>
            <color indexed="81"/>
            <rFont val="Tahoma"/>
            <family val="2"/>
          </rPr>
          <t>2006-2015 avg. for combined nonindian Col R fisheries</t>
        </r>
      </text>
    </comment>
    <comment ref="J11" authorId="0" shapeId="0" xr:uid="{00000000-0006-0000-0200-000003000000}">
      <text>
        <r>
          <rPr>
            <b/>
            <sz val="8"/>
            <color indexed="81"/>
            <rFont val="Tahoma"/>
            <family val="2"/>
          </rPr>
          <t>aggregate non-Indian harvest rate allowed under US v. OR</t>
        </r>
      </text>
    </comment>
    <comment ref="C13" authorId="0" shapeId="0" xr:uid="{00000000-0006-0000-0200-000004000000}">
      <text>
        <r>
          <rPr>
            <b/>
            <sz val="8"/>
            <color indexed="81"/>
            <rFont val="Tahoma"/>
            <family val="2"/>
          </rPr>
          <t>2006-2015 avg. for combined nonindian Col R fisheries</t>
        </r>
      </text>
    </comment>
    <comment ref="J13" authorId="0" shapeId="0" xr:uid="{00000000-0006-0000-0200-000005000000}">
      <text>
        <r>
          <rPr>
            <b/>
            <sz val="8"/>
            <color indexed="81"/>
            <rFont val="Tahoma"/>
            <family val="2"/>
          </rPr>
          <t>aggregate non-Indian harvest rate allowed under US v. OR</t>
        </r>
      </text>
    </comment>
    <comment ref="C15" authorId="0" shapeId="0" xr:uid="{00000000-0006-0000-0200-000006000000}">
      <text>
        <r>
          <rPr>
            <b/>
            <sz val="8"/>
            <color indexed="81"/>
            <rFont val="Tahoma"/>
            <family val="2"/>
          </rPr>
          <t>2006-2015 avg. for combined nonindian Col R fisheries</t>
        </r>
      </text>
    </comment>
    <comment ref="J15" authorId="0" shapeId="0" xr:uid="{00000000-0006-0000-0200-000007000000}">
      <text>
        <r>
          <rPr>
            <b/>
            <sz val="8"/>
            <color indexed="81"/>
            <rFont val="Tahoma"/>
            <family val="2"/>
          </rPr>
          <t>aggregate non-Indian harvest rate allowed under US v. OR</t>
        </r>
      </text>
    </comment>
    <comment ref="M21" authorId="0" shapeId="0" xr:uid="{00000000-0006-0000-0200-000008000000}">
      <text>
        <r>
          <rPr>
            <b/>
            <sz val="8"/>
            <color indexed="81"/>
            <rFont val="Tahoma"/>
            <family val="2"/>
          </rPr>
          <t>Ray Beamesderfer:</t>
        </r>
        <r>
          <rPr>
            <sz val="8"/>
            <color indexed="81"/>
            <rFont val="Tahoma"/>
            <family val="2"/>
          </rPr>
          <t xml:space="preserve">
US v OR</t>
        </r>
      </text>
    </comment>
    <comment ref="P21" authorId="1" shapeId="0" xr:uid="{00000000-0006-0000-0200-000009000000}">
      <text>
        <r>
          <rPr>
            <b/>
            <sz val="9"/>
            <color indexed="81"/>
            <rFont val="Tahoma"/>
            <family val="2"/>
          </rPr>
          <t>placeholder numbers from Ray</t>
        </r>
      </text>
    </comment>
    <comment ref="R21" authorId="1" shapeId="0" xr:uid="{00000000-0006-0000-0200-00000A000000}">
      <text>
        <r>
          <rPr>
            <b/>
            <sz val="9"/>
            <color indexed="81"/>
            <rFont val="Tahoma"/>
            <family val="2"/>
          </rPr>
          <t>placeholder numbers from Ray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xxx</author>
    <author>Ray Beamesderfer</author>
  </authors>
  <commentList>
    <comment ref="E4" authorId="0" shapeId="0" xr:uid="{00000000-0006-0000-0300-000001000000}">
      <text>
        <r>
          <rPr>
            <b/>
            <sz val="9"/>
            <color indexed="81"/>
            <rFont val="Tahoma"/>
            <family val="2"/>
          </rPr>
          <t>FPC database</t>
        </r>
      </text>
    </comment>
    <comment ref="G7" authorId="1" shapeId="0" xr:uid="{00000000-0006-0000-0300-000002000000}">
      <text>
        <r>
          <rPr>
            <b/>
            <sz val="8"/>
            <color indexed="81"/>
            <rFont val="Tahoma"/>
            <family val="2"/>
          </rPr>
          <t>US v Oregon</t>
        </r>
      </text>
    </comment>
    <comment ref="I7" authorId="1" shapeId="0" xr:uid="{00000000-0006-0000-0300-000003000000}">
      <text>
        <r>
          <rPr>
            <b/>
            <sz val="8"/>
            <color indexed="81"/>
            <rFont val="Tahoma"/>
            <family val="2"/>
          </rPr>
          <t>Joe Zendt: harvest goals are 1000 tribal and 1400 sport for a total of 2400 from Klickitat Anadromous Fisheries Master Plan (YN 2012)</t>
        </r>
      </text>
    </comment>
    <comment ref="L7" authorId="1" shapeId="0" xr:uid="{00000000-0006-0000-0300-000004000000}">
      <text>
        <r>
          <rPr>
            <b/>
            <sz val="8"/>
            <color indexed="81"/>
            <rFont val="Tahoma"/>
            <family val="2"/>
          </rPr>
          <t>SAR not available according to the HGMP</t>
        </r>
      </text>
    </comment>
    <comment ref="M7" authorId="1" shapeId="0" xr:uid="{00000000-0006-0000-0300-000005000000}">
      <text>
        <r>
          <rPr>
            <b/>
            <sz val="8"/>
            <color indexed="81"/>
            <rFont val="Tahoma"/>
            <family val="2"/>
          </rPr>
          <t>Joe Zendt: observed returns are 3,950 for 2014-16</t>
        </r>
      </text>
    </comment>
    <comment ref="E9" authorId="0" shapeId="0" xr:uid="{00000000-0006-0000-0300-000006000000}">
      <text>
        <r>
          <rPr>
            <b/>
            <sz val="9"/>
            <color indexed="81"/>
            <rFont val="Tahoma"/>
            <family val="2"/>
          </rPr>
          <t>Below Pelton Round butte project releases from HGMP. Does not include plants for harvest ore reintroduction above project</t>
        </r>
      </text>
    </comment>
    <comment ref="H9" authorId="1" shapeId="0" xr:uid="{00000000-0006-0000-0300-000007000000}">
      <text>
        <r>
          <rPr>
            <b/>
            <sz val="8"/>
            <color indexed="81"/>
            <rFont val="Tahoma"/>
            <family val="2"/>
          </rPr>
          <t>Mitigation per Hydropower license agreement (as per HGMP)</t>
        </r>
      </text>
    </comment>
    <comment ref="L9" authorId="0" shapeId="0" xr:uid="{00000000-0006-0000-0300-000008000000}">
      <text>
        <r>
          <rPr>
            <b/>
            <sz val="9"/>
            <color indexed="81"/>
            <rFont val="Tahoma"/>
            <family val="2"/>
          </rPr>
          <t>return to Deschutes river mouth. Index based on creel harvest and Pelton trap return. 1987-2006 brood year average</t>
        </r>
      </text>
    </comment>
    <comment ref="H10" authorId="1" shapeId="0" xr:uid="{00000000-0006-0000-0300-000009000000}">
      <text>
        <r>
          <rPr>
            <b/>
            <sz val="8"/>
            <color indexed="81"/>
            <rFont val="Tahoma"/>
            <family val="2"/>
          </rPr>
          <t>reintroduction above Pelton round butte</t>
        </r>
      </text>
    </comment>
    <comment ref="E13" authorId="1" shapeId="0" xr:uid="{00000000-0006-0000-0300-00000A000000}">
      <text>
        <r>
          <rPr>
            <b/>
            <sz val="8"/>
            <color indexed="81"/>
            <rFont val="Tahoma"/>
            <family val="2"/>
          </rPr>
          <t>2017 HGMP: 50k acclimated for Minthorn, 50k acclimated for Pendleton, 50k direct release for Thornhollow</t>
        </r>
      </text>
    </comment>
    <comment ref="G13" authorId="1" shapeId="0" xr:uid="{00000000-0006-0000-0300-00000B000000}">
      <text>
        <r>
          <rPr>
            <b/>
            <sz val="8"/>
            <color indexed="81"/>
            <rFont val="Tahoma"/>
            <family val="2"/>
          </rPr>
          <t>US v Oregon</t>
        </r>
      </text>
    </comment>
    <comment ref="L13" authorId="1" shapeId="0" xr:uid="{00000000-0006-0000-0300-00000C000000}">
      <text>
        <r>
          <rPr>
            <b/>
            <sz val="8"/>
            <color indexed="81"/>
            <rFont val="Tahoma"/>
            <family val="2"/>
          </rPr>
          <t>2017 HGMP reports 0.5% SAR for BY 1991-2004. Program goal is 1%</t>
        </r>
      </text>
    </comment>
    <comment ref="M13" authorId="1" shapeId="0" xr:uid="{00000000-0006-0000-0300-00000D000000}">
      <text>
        <r>
          <rPr>
            <b/>
            <sz val="8"/>
            <color indexed="81"/>
            <rFont val="Tahoma"/>
            <family val="2"/>
          </rPr>
          <t>return to 3-mile dam in Umatilla R</t>
        </r>
      </text>
    </comment>
    <comment ref="O13" authorId="1" shapeId="0" xr:uid="{00000000-0006-0000-0300-00000E000000}">
      <text>
        <r>
          <rPr>
            <b/>
            <sz val="8"/>
            <color indexed="81"/>
            <rFont val="Tahoma"/>
            <family val="2"/>
          </rPr>
          <t>HGMP: adults to 3-mile dam</t>
        </r>
      </text>
    </comment>
    <comment ref="H15" authorId="0" shapeId="0" xr:uid="{00000000-0006-0000-0300-00000F000000}">
      <text>
        <r>
          <rPr>
            <b/>
            <sz val="9"/>
            <color indexed="81"/>
            <rFont val="Tahoma"/>
            <family val="2"/>
          </rPr>
          <t>fishery mitigation as per HGMP. All fin marked</t>
        </r>
      </text>
    </comment>
    <comment ref="L15" authorId="0" shapeId="0" xr:uid="{00000000-0006-0000-0300-000010000000}">
      <text>
        <r>
          <rPr>
            <b/>
            <sz val="9"/>
            <color indexed="81"/>
            <rFont val="Tahoma"/>
            <family val="2"/>
          </rPr>
          <t>Based on terminal harvest in McNary pool as per HGMP. Does not include downstream harvest</t>
        </r>
      </text>
    </comment>
    <comment ref="G16" authorId="1" shapeId="0" xr:uid="{00000000-0006-0000-0300-000011000000}">
      <text>
        <r>
          <rPr>
            <b/>
            <sz val="8"/>
            <color indexed="81"/>
            <rFont val="Tahoma"/>
            <family val="2"/>
          </rPr>
          <t>US v Oregon</t>
        </r>
      </text>
    </comment>
    <comment ref="L16" authorId="0" shapeId="0" xr:uid="{00000000-0006-0000-0300-000012000000}">
      <text>
        <r>
          <rPr>
            <b/>
            <sz val="9"/>
            <color indexed="81"/>
            <rFont val="Tahoma"/>
            <family val="2"/>
          </rPr>
          <t>To LSRCP area</t>
        </r>
      </text>
    </comment>
    <comment ref="G17" authorId="1" shapeId="0" xr:uid="{00000000-0006-0000-0300-000013000000}">
      <text>
        <r>
          <rPr>
            <b/>
            <sz val="8"/>
            <color indexed="81"/>
            <rFont val="Tahoma"/>
            <family val="2"/>
          </rPr>
          <t>US v Oregon</t>
        </r>
      </text>
    </comment>
    <comment ref="H17" authorId="0" shapeId="0" xr:uid="{00000000-0006-0000-0300-000014000000}">
      <text>
        <r>
          <rPr>
            <b/>
            <sz val="9"/>
            <color indexed="81"/>
            <rFont val="Tahoma"/>
            <family val="2"/>
          </rPr>
          <t>Long term goal</t>
        </r>
      </text>
    </comment>
    <comment ref="L17" authorId="0" shapeId="0" xr:uid="{00000000-0006-0000-0300-000015000000}">
      <text>
        <r>
          <rPr>
            <b/>
            <sz val="9"/>
            <color indexed="81"/>
            <rFont val="Tahoma"/>
            <family val="2"/>
          </rPr>
          <t>To LSRCP area</t>
        </r>
      </text>
    </comment>
    <comment ref="E24" authorId="0" shapeId="0" xr:uid="{00000000-0006-0000-0300-000016000000}">
      <text>
        <r>
          <rPr>
            <b/>
            <sz val="9"/>
            <color indexed="81"/>
            <rFont val="Tahoma"/>
            <family val="2"/>
          </rPr>
          <t>400 total for Skamania Hatchery Program in Washougal of which only 90k of 250k go to Klickitat</t>
        </r>
      </text>
    </comment>
    <comment ref="E26" authorId="0" shapeId="0" xr:uid="{00000000-0006-0000-0300-000017000000}">
      <text>
        <r>
          <rPr>
            <b/>
            <sz val="9"/>
            <color indexed="81"/>
            <rFont val="Tahoma"/>
            <family val="2"/>
          </rPr>
          <t>Of these 720 needed for mitigation. Rest for reintroduction</t>
        </r>
      </text>
    </comment>
    <comment ref="E29" authorId="1" shapeId="0" xr:uid="{00000000-0006-0000-0300-000018000000}">
      <text>
        <r>
          <rPr>
            <b/>
            <sz val="8"/>
            <color indexed="81"/>
            <rFont val="Tahoma"/>
            <family val="2"/>
          </rPr>
          <t>70 wild origin and 40 non-stray hatchery origin adults w/ cwt</t>
        </r>
      </text>
    </comment>
    <comment ref="E30" authorId="0" shapeId="0" xr:uid="{00000000-0006-0000-0300-000019000000}">
      <text>
        <r>
          <rPr>
            <b/>
            <sz val="9"/>
            <color indexed="81"/>
            <rFont val="Tahoma"/>
            <family val="2"/>
          </rPr>
          <t>HGMP says 58 pairs collected at ringold. Also be using broodstock collected at Wells Dam which also supports UCR production</t>
        </r>
      </text>
    </comment>
    <comment ref="E31" authorId="1" shapeId="0" xr:uid="{00000000-0006-0000-0300-00001A000000}">
      <text>
        <r>
          <rPr>
            <b/>
            <sz val="8"/>
            <color indexed="81"/>
            <rFont val="Tahoma"/>
            <family val="2"/>
          </rPr>
          <t>I think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Ray Beamesderfer</author>
  </authors>
  <commentList>
    <comment ref="A1" authorId="0" shapeId="0" xr:uid="{00000000-0006-0000-0500-000001000000}">
      <text>
        <r>
          <rPr>
            <b/>
            <sz val="8"/>
            <color indexed="81"/>
            <rFont val="Tahoma"/>
            <family val="2"/>
          </rPr>
          <t>Source: Summer steelhead run reconstruction spreadsheet</t>
        </r>
      </text>
    </comment>
  </commentList>
</comments>
</file>

<file path=xl/sharedStrings.xml><?xml version="1.0" encoding="utf-8"?>
<sst xmlns="http://schemas.openxmlformats.org/spreadsheetml/2006/main" count="1035" uniqueCount="402">
  <si>
    <t xml:space="preserve">Quantitative sustainability reference values for (prototype) stock of Columbia R. Salmon and Steelhead. Sustainability includes conservation, viability, ESA recovery, and ecological/ecosystem function. </t>
  </si>
  <si>
    <t>Mid-Columbia Steelhead</t>
  </si>
  <si>
    <t>Population</t>
  </si>
  <si>
    <t>Major Population Group</t>
  </si>
  <si>
    <t>Current</t>
  </si>
  <si>
    <t>Historical</t>
  </si>
  <si>
    <t>Abundance</t>
  </si>
  <si>
    <t>Metric</t>
  </si>
  <si>
    <t>Natural Spawners</t>
  </si>
  <si>
    <t>Reference Values</t>
  </si>
  <si>
    <t>Capacity</t>
  </si>
  <si>
    <t>Potential</t>
  </si>
  <si>
    <t>Existing Goals</t>
  </si>
  <si>
    <t>Viable</t>
  </si>
  <si>
    <t>Tribal</t>
  </si>
  <si>
    <t>State</t>
  </si>
  <si>
    <t>Cascade East Slope</t>
  </si>
  <si>
    <t>White Salmon R.</t>
  </si>
  <si>
    <t>Klickitat R.</t>
  </si>
  <si>
    <t>Rock Cr.</t>
  </si>
  <si>
    <t>Crooked R.</t>
  </si>
  <si>
    <t>John Day</t>
  </si>
  <si>
    <t>U. mainstem</t>
  </si>
  <si>
    <t>Middle Fork</t>
  </si>
  <si>
    <t>North Fork</t>
  </si>
  <si>
    <t>South Fork</t>
  </si>
  <si>
    <t>Umatilla/Walla Walla</t>
  </si>
  <si>
    <t>Willow Cr.</t>
  </si>
  <si>
    <t>Umatilla R.</t>
  </si>
  <si>
    <t>Walla Walla R.</t>
  </si>
  <si>
    <t>Touchet R.</t>
  </si>
  <si>
    <t>Yakima</t>
  </si>
  <si>
    <t>Satus Cr.</t>
  </si>
  <si>
    <t>Toppenish Cr.</t>
  </si>
  <si>
    <t>Naches R.</t>
  </si>
  <si>
    <t>Total Spawners</t>
  </si>
  <si>
    <t>Totals</t>
  </si>
  <si>
    <t>NPPC database</t>
  </si>
  <si>
    <t>Low</t>
  </si>
  <si>
    <t>Med</t>
  </si>
  <si>
    <t>High</t>
  </si>
  <si>
    <t>Delisting</t>
  </si>
  <si>
    <t>Fifteenmile Cr.</t>
  </si>
  <si>
    <t>Deschutes R. east</t>
  </si>
  <si>
    <t>Deschutes R. west</t>
  </si>
  <si>
    <t>L. mainstem</t>
  </si>
  <si>
    <t>Rebuilding Expl. Rate</t>
  </si>
  <si>
    <r>
      <t>Optimum Yield</t>
    </r>
    <r>
      <rPr>
        <b/>
        <vertAlign val="superscript"/>
        <sz val="11"/>
        <color theme="1"/>
        <rFont val="Calibri"/>
        <family val="2"/>
        <scheme val="minor"/>
      </rPr>
      <t>b</t>
    </r>
  </si>
  <si>
    <t>PSC</t>
  </si>
  <si>
    <t>PFMC</t>
  </si>
  <si>
    <t>USvOR</t>
  </si>
  <si>
    <t>Numbers</t>
  </si>
  <si>
    <t>Quantitative fishery reference values for (prototype) stock of Columbia R. Salmon and Steelhead.</t>
  </si>
  <si>
    <r>
      <t>Max. Yield</t>
    </r>
    <r>
      <rPr>
        <b/>
        <vertAlign val="superscript"/>
        <sz val="11"/>
        <color theme="1"/>
        <rFont val="Calibri"/>
        <family val="2"/>
        <scheme val="minor"/>
      </rPr>
      <t>c</t>
    </r>
  </si>
  <si>
    <t>Fishery</t>
  </si>
  <si>
    <t>Terminal tribal</t>
  </si>
  <si>
    <t>Terminal sport</t>
  </si>
  <si>
    <t>Zone 6 tribal</t>
  </si>
  <si>
    <t>UpR. sport</t>
  </si>
  <si>
    <t>LCR comm.</t>
  </si>
  <si>
    <t>LCR sport</t>
  </si>
  <si>
    <t>US Ocean</t>
  </si>
  <si>
    <t>AK/CA</t>
  </si>
  <si>
    <t>Metrics</t>
  </si>
  <si>
    <t>Harvest (Natl.)</t>
  </si>
  <si>
    <t>Harvest (Hat.)</t>
  </si>
  <si>
    <t>Impact rate (Natl.)</t>
  </si>
  <si>
    <t>Impact rate (Hat.)</t>
  </si>
  <si>
    <t>Total</t>
  </si>
  <si>
    <t>--</t>
  </si>
  <si>
    <t>Production</t>
  </si>
  <si>
    <t>Return</t>
  </si>
  <si>
    <t>Broodstock</t>
  </si>
  <si>
    <t>Quantitative mitigation reference values (including hatcheries) for (prototype) stock of Columbia R. Salmon and Steelhead.</t>
  </si>
  <si>
    <t>Viability</t>
  </si>
  <si>
    <t>Func Extirpated</t>
  </si>
  <si>
    <t>Mod Risk</t>
  </si>
  <si>
    <t>High Risk</t>
  </si>
  <si>
    <t>Extirpated</t>
  </si>
  <si>
    <t>Highly viable</t>
  </si>
  <si>
    <t>Maintained</t>
  </si>
  <si>
    <t>Viable/Highly Viable</t>
  </si>
  <si>
    <t>Year</t>
  </si>
  <si>
    <t>Skamania</t>
  </si>
  <si>
    <t>Hatchery</t>
  </si>
  <si>
    <t>&lt;2%</t>
  </si>
  <si>
    <t>0-66%</t>
  </si>
  <si>
    <t>13-20%</t>
  </si>
  <si>
    <t>?</t>
  </si>
  <si>
    <t>0-17%</t>
  </si>
  <si>
    <t>0-8%</t>
  </si>
  <si>
    <t>Satus</t>
  </si>
  <si>
    <t>Naches</t>
  </si>
  <si>
    <t>Toppenish</t>
  </si>
  <si>
    <t>Yak U</t>
  </si>
  <si>
    <t>natl origin spawners</t>
  </si>
  <si>
    <t>Mid-Columbia River Zone Hatchery Releases, 1979–2014</t>
  </si>
  <si>
    <t>Steelhead</t>
  </si>
  <si>
    <t>Releases</t>
  </si>
  <si>
    <t>Location</t>
  </si>
  <si>
    <t>Program</t>
  </si>
  <si>
    <t>Lyons Ferry</t>
  </si>
  <si>
    <t>Umatilla</t>
  </si>
  <si>
    <t>Deschutes R.</t>
  </si>
  <si>
    <t>Round Butte</t>
  </si>
  <si>
    <t>(US v OR)</t>
  </si>
  <si>
    <t>574,000-994,000</t>
  </si>
  <si>
    <t>Fifteenmile</t>
  </si>
  <si>
    <t>Yakima R</t>
  </si>
  <si>
    <t>Subtotal</t>
  </si>
  <si>
    <t>% hatchery origin</t>
  </si>
  <si>
    <t>250-500</t>
  </si>
  <si>
    <t>500-1500</t>
  </si>
  <si>
    <t>Yakama steelhead recovery plan 2009</t>
  </si>
  <si>
    <t>Long-term</t>
  </si>
  <si>
    <t>Short term</t>
  </si>
  <si>
    <t>Rec Plan</t>
  </si>
  <si>
    <t>CPB  Options</t>
  </si>
  <si>
    <t>Umatilla - Walla Walla</t>
  </si>
  <si>
    <t>MPG</t>
  </si>
  <si>
    <t>Potential Goal Range</t>
  </si>
  <si>
    <t>Mid Columbia River Steelhead</t>
  </si>
  <si>
    <t>301-1100</t>
  </si>
  <si>
    <t>2,400-2,900</t>
  </si>
  <si>
    <t>4,500-5,500</t>
  </si>
  <si>
    <t>268-2,774</t>
  </si>
  <si>
    <t>v MAT</t>
  </si>
  <si>
    <t>4000-5500</t>
  </si>
  <si>
    <t>2875-3395</t>
  </si>
  <si>
    <t>1875-3395</t>
  </si>
  <si>
    <t>1563-2205</t>
  </si>
  <si>
    <t>Subbasin Plan</t>
  </si>
  <si>
    <t>Spnrs</t>
  </si>
  <si>
    <t>Col R</t>
  </si>
  <si>
    <t>301-544</t>
  </si>
  <si>
    <t>614-763</t>
  </si>
  <si>
    <t>439-3726</t>
  </si>
  <si>
    <t>ESA: Threatened</t>
  </si>
  <si>
    <t>McNary Reservoir</t>
  </si>
  <si>
    <t>Ringold Springs</t>
  </si>
  <si>
    <t>(3 yr avg)</t>
  </si>
  <si>
    <t>(40 yr)</t>
  </si>
  <si>
    <t>Presmolt</t>
  </si>
  <si>
    <t>Fry</t>
  </si>
  <si>
    <t>Smolts</t>
  </si>
  <si>
    <t>Kelts</t>
  </si>
  <si>
    <t>300-500</t>
  </si>
  <si>
    <t>Fry/Presmolts</t>
  </si>
  <si>
    <t>Location (Program)</t>
  </si>
  <si>
    <t>Klickitat (Skamania)</t>
  </si>
  <si>
    <t>Deschutes (Round Butte)</t>
  </si>
  <si>
    <t>Umatilla (Umatilla)</t>
  </si>
  <si>
    <t>Brood</t>
  </si>
  <si>
    <t>Walla Walla (Lyons Ferry)</t>
  </si>
  <si>
    <t>Touchet (Lyons Ferry)</t>
  </si>
  <si>
    <t>Natural Production</t>
  </si>
  <si>
    <t>SAR</t>
  </si>
  <si>
    <t>Adult rtn</t>
  </si>
  <si>
    <t>Harvest</t>
  </si>
  <si>
    <t>EDT</t>
  </si>
  <si>
    <t>500-600</t>
  </si>
  <si>
    <t>For plot</t>
  </si>
  <si>
    <t>Goal Range Totals)</t>
  </si>
  <si>
    <t>Terminal</t>
  </si>
  <si>
    <t>Lower John Day</t>
  </si>
  <si>
    <t>NF John Day</t>
  </si>
  <si>
    <t>MF John Day</t>
  </si>
  <si>
    <t>Upper mainstem</t>
  </si>
  <si>
    <t>SF John Day</t>
  </si>
  <si>
    <t>Total John Day</t>
  </si>
  <si>
    <t>Max</t>
  </si>
  <si>
    <t>Min</t>
  </si>
  <si>
    <t>Mean</t>
  </si>
  <si>
    <t>Actual data</t>
  </si>
  <si>
    <t>Lower Mainstem</t>
  </si>
  <si>
    <t>NF</t>
  </si>
  <si>
    <t>MF</t>
  </si>
  <si>
    <t>SF</t>
  </si>
  <si>
    <t>Long term</t>
  </si>
  <si>
    <t>Avg</t>
  </si>
  <si>
    <t>10-yr geo</t>
  </si>
  <si>
    <t>Rtn goal</t>
  </si>
  <si>
    <t>1-2.3</t>
  </si>
  <si>
    <t>2-5</t>
  </si>
  <si>
    <t>Wild/Natural</t>
  </si>
  <si>
    <t>Fisheries / Harvest</t>
  </si>
  <si>
    <t>Status (2009)</t>
  </si>
  <si>
    <t>Status (2016)</t>
  </si>
  <si>
    <t>Maintained?</t>
  </si>
  <si>
    <t>Moderate</t>
  </si>
  <si>
    <t>Highly Viable</t>
  </si>
  <si>
    <t>1)      For the current abundance column, the values are near, but not exactly the same as those in table 37 of the Science Center 2016 review report- curious why the slight difference, though its small enough to not matter much.</t>
  </si>
  <si>
    <t xml:space="preserve"> [Numbers are generally 10 year (2005-2014) geo means from the PSMFC Coordinated Assessments database. This database in intended to be the basis for 5-year science center review reports. Not sure on the minor differences. Might have been one year difference on the period used but we'd have to run that down.]</t>
  </si>
  <si>
    <t>2)      From Chris F’s notes, I take it that the Historical, capacity and potential columns all are EDT derived, which makes sense. Curious which run of EDT- is that something that will show up as a reference in the spreadsheet?</t>
  </si>
  <si>
    <t xml:space="preserve"> [Comments on cells identify the reference]</t>
  </si>
  <si>
    <t>3)      The reference values: viable column matches our recovery plan.</t>
  </si>
  <si>
    <t xml:space="preserve"> [Good]</t>
  </si>
  <si>
    <t>4)      I can’t tell where the Viability:Current column came from- it doesn’t match any of the columns on p140 of the Science Center 2016 5 yr review report. If it is meant to be the Overall Viability risk (which makes the most sense to me) the ratings should be Low Risk for Satus and Toppenish, Moderate Risk for Naches and High Risk for the Upper Yakima. This should be clarified or fixed.</t>
  </si>
  <si>
    <t xml:space="preserve"> [Status values, overall viability risk, were from the 2009 recovery plan.  I see that status was upgraded for several populations in the 2016 status review. I will revise accordingly. Good catch, thanks.]</t>
  </si>
  <si>
    <t>5)      If the Viability:Delisting column is meant to represent the delisting scenario identified in the Recovery Plan, that should read Highly Viable for Satus, Maintained for Toppenish and Upper Yakima and Viable for Naches. Having all four pops rated at Viable is the slightly different short-term recovery goal identified in the recovery plan.</t>
  </si>
  <si>
    <t xml:space="preserve"> [Revised as per your direction. I didn't see in the 2009 recovery plan scenario didn't always specific levels for each population - it was either population A or B must be viable and the other maintained. Can you point me to a reference?]</t>
  </si>
  <si>
    <t>6)      The Existing Goals section captures the three sets of recovery plan abundance goals accurately.</t>
  </si>
  <si>
    <t xml:space="preserve">[Good] </t>
  </si>
  <si>
    <t>7)      The NPCC database section makes sense except that the Med goal for Toppenish Creek is higher than the High goal, and the Med goal for Satus is less than the Low goal… Also a little confused by the use of ranges. Working from the recovery plan #s (that I think are what the NPCC #s came from) I’d put Satus as 500/1000/2000, Toppenish as 250/500/1200, Naches at 1500/1500/5400 and upper yak as 500/1500/770</t>
  </si>
  <si>
    <t xml:space="preserve"> [I asked Nancy Leonard about this. It is an artifact of the rules they used for compiling goals.]</t>
  </si>
  <si>
    <t>From Alex Conley</t>
  </si>
  <si>
    <t>AK/CAN</t>
  </si>
  <si>
    <t>2080-3869</t>
  </si>
  <si>
    <t>Total Return</t>
  </si>
  <si>
    <t>@ Goals</t>
  </si>
  <si>
    <t>@ Columbia R Mouth</t>
  </si>
  <si>
    <t>% hatchery</t>
  </si>
  <si>
    <t>Ocean</t>
  </si>
  <si>
    <t>Mainstem Non-treaty</t>
  </si>
  <si>
    <t>Mainstem Treaty</t>
  </si>
  <si>
    <t>Exploitation rate</t>
  </si>
  <si>
    <t>Avg.</t>
  </si>
  <si>
    <t>10 yr avg</t>
  </si>
  <si>
    <t>Current Production</t>
  </si>
  <si>
    <t>production</t>
  </si>
  <si>
    <t>Artificial Production</t>
  </si>
  <si>
    <t>To Mid Col R (BON)</t>
  </si>
  <si>
    <t>15-22%</t>
  </si>
  <si>
    <t>For Plot</t>
  </si>
  <si>
    <t>smolts:</t>
  </si>
  <si>
    <r>
      <t>Table 10.  Skamania Run summer steelhead harvest in mainstem Columbia River non-treaty fisheries, 1999-2017.</t>
    </r>
    <r>
      <rPr>
        <i/>
        <sz val="8"/>
        <color indexed="8"/>
        <rFont val="Times New Roman"/>
        <family val="1"/>
        <charset val="204"/>
      </rPr>
      <t>1</t>
    </r>
  </si>
  <si>
    <r>
      <t>1</t>
    </r>
    <r>
      <rPr>
        <i/>
        <sz val="9"/>
        <color indexed="8"/>
        <rFont val="Times New Roman"/>
        <family val="1"/>
        <charset val="204"/>
      </rPr>
      <t>Steelhead handled downstream of Bonneville Dam during May and June are considered lower river Skamania stock.  Steelhead handled in Bonneville Pool during April through June are considered upriver Skamania stock.</t>
    </r>
  </si>
  <si>
    <r>
      <t>2</t>
    </r>
    <r>
      <rPr>
        <i/>
        <sz val="9"/>
        <color indexed="8"/>
        <rFont val="Times New Roman"/>
        <family val="1"/>
        <charset val="204"/>
      </rPr>
      <t>Kept data based on catch record cards.  Estimates of unclipped fish based on clip rate at observed at Bonneville Dam.</t>
    </r>
  </si>
  <si>
    <r>
      <t>3</t>
    </r>
    <r>
      <rPr>
        <i/>
        <sz val="9"/>
        <color indexed="8"/>
        <rFont val="Times New Roman"/>
        <family val="1"/>
        <charset val="204"/>
      </rPr>
      <t>Abundance estimates for unclipped lower river Skamania stock summer steelhead are not available.  To estimate the impact rate on unclipped fish, it is assumed the harvest rate of clipped hatchery-origin fish equals the handle rate of unclipped fish and a release mortality rate of 10% is applied.</t>
    </r>
  </si>
  <si>
    <t>STS</t>
  </si>
  <si>
    <t>MCR Steelhead @ Columbia River mouth</t>
  </si>
  <si>
    <t>MCR Steelhead @ BON</t>
  </si>
  <si>
    <t>Total MCR turnoff (Zn 6 &amp; McNary pool tribs)</t>
  </si>
  <si>
    <t>Total harvest of MCR STS (LCR &amp; upriver)</t>
  </si>
  <si>
    <t>For</t>
  </si>
  <si>
    <t>plot</t>
  </si>
  <si>
    <t>Group A Index</t>
  </si>
  <si>
    <t>Group B Index</t>
  </si>
  <si>
    <t>UC+SR</t>
  </si>
  <si>
    <t>Unclpd</t>
  </si>
  <si>
    <t>Clpd</t>
  </si>
  <si>
    <t>All</t>
  </si>
  <si>
    <t>@BV</t>
  </si>
  <si>
    <t>Local return (tributary entry)</t>
  </si>
  <si>
    <t>Total non-treaty harvest and impacts (v CR run)</t>
  </si>
  <si>
    <t>LCR + Zn 6 (calculated)</t>
  </si>
  <si>
    <t>unclip'd</t>
  </si>
  <si>
    <t>clipped</t>
  </si>
  <si>
    <t>harvest</t>
  </si>
  <si>
    <t>harv</t>
  </si>
  <si>
    <t>skam</t>
  </si>
  <si>
    <t>A-index</t>
  </si>
  <si>
    <t>B-index</t>
  </si>
  <si>
    <t>total</t>
  </si>
  <si>
    <t>EDT patient</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</si>
  <si>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</si>
  <si>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</si>
  <si>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</si>
  <si>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</si>
  <si>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</si>
  <si>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</si>
  <si>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</si>
  <si>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</si>
  <si>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</si>
  <si>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</si>
  <si>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</si>
  <si>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</si>
  <si>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</si>
  <si>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</si>
  <si>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</si>
  <si>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</si>
  <si>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</si>
  <si>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</si>
  <si>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</si>
  <si>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</si>
  <si>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</si>
  <si>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</si>
  <si>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</si>
  <si>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2000-2001</t>
  </si>
  <si>
    <t>2001-2002</t>
  </si>
  <si>
    <t>2002-2003</t>
  </si>
  <si>
    <t>wild</t>
  </si>
  <si>
    <t>Deschutes River @ Sherars Falls</t>
  </si>
  <si>
    <t>hatchery</t>
  </si>
  <si>
    <t>Round</t>
  </si>
  <si>
    <t>Butte</t>
  </si>
  <si>
    <t>Stray</t>
  </si>
  <si>
    <t>Cascade E Slope</t>
  </si>
  <si>
    <t>estimated</t>
  </si>
  <si>
    <t>Umatilla R @ Three Mile Dam</t>
  </si>
  <si>
    <t>natl</t>
  </si>
  <si>
    <t>harv&lt;TMD</t>
  </si>
  <si>
    <t>hatch</t>
  </si>
  <si>
    <t xml:space="preserve">Yakima    </t>
  </si>
  <si>
    <t xml:space="preserve">Hood*     </t>
  </si>
  <si>
    <t>Bonneville/L White Salmon*</t>
  </si>
  <si>
    <t>* Lower Columbia River ESU (counted in Bonneville Dam return)</t>
  </si>
  <si>
    <t>all upriver</t>
  </si>
  <si>
    <t>Deschutes River eastside</t>
  </si>
  <si>
    <t>Deschutes River westside</t>
  </si>
  <si>
    <t>Fifteenmile Creek</t>
  </si>
  <si>
    <t>John Day River Lower Mainstem Tributaries</t>
  </si>
  <si>
    <t>John Day River Upper Mainstem</t>
  </si>
  <si>
    <t>Klickitat River</t>
  </si>
  <si>
    <t>Middle Fork John Day River</t>
  </si>
  <si>
    <t>North Fork John Day River</t>
  </si>
  <si>
    <t>South Fork John Day River</t>
  </si>
  <si>
    <t>Touchet River</t>
  </si>
  <si>
    <t>Umatilla River</t>
  </si>
  <si>
    <t>Walla Walla River</t>
  </si>
  <si>
    <t>from CAS</t>
  </si>
  <si>
    <t>Steelhead Run Size at Sherars Falls</t>
  </si>
  <si>
    <t>Fall Season Steelhead Harvest</t>
  </si>
  <si>
    <t>Run Year</t>
  </si>
  <si>
    <t>Natural-origin</t>
  </si>
  <si>
    <t xml:space="preserve"> Harvest Year</t>
  </si>
  <si>
    <t>Natural-origin Impact Rate</t>
  </si>
  <si>
    <t xml:space="preserve">Fall Chinook run Size </t>
  </si>
  <si>
    <t>Fall Chinook Harvest</t>
  </si>
  <si>
    <t>1999-00</t>
  </si>
  <si>
    <t>2000-01</t>
  </si>
  <si>
    <t>2001-02</t>
  </si>
  <si>
    <t>2002-03</t>
  </si>
  <si>
    <t>2003-04</t>
  </si>
  <si>
    <t>2004-05</t>
  </si>
  <si>
    <t>2005-06</t>
  </si>
  <si>
    <t> 403</t>
  </si>
  <si>
    <t>2006-07</t>
  </si>
  <si>
    <t> *</t>
  </si>
  <si>
    <t>*</t>
  </si>
  <si>
    <t>2007-08</t>
  </si>
  <si>
    <t>2008-09</t>
  </si>
  <si>
    <t>2009-10</t>
  </si>
  <si>
    <t>2010-11</t>
  </si>
  <si>
    <t> 393</t>
  </si>
  <si>
    <t>2011-12</t>
  </si>
  <si>
    <t>2012-13</t>
  </si>
  <si>
    <t>2013-14</t>
  </si>
  <si>
    <t>2014-15</t>
  </si>
  <si>
    <t>2015-16</t>
  </si>
  <si>
    <t>2016-17</t>
  </si>
  <si>
    <t>1. Run size data from Rod French, personal communication</t>
  </si>
  <si>
    <t>from Biop</t>
  </si>
  <si>
    <t>Table 3.4.12. Steelhead run sizes and treaty harvest in the Deschutes River</t>
  </si>
  <si>
    <t>Sport</t>
  </si>
  <si>
    <t>Treaty</t>
  </si>
  <si>
    <r>
      <t>Run</t>
    </r>
    <r>
      <rPr>
        <b/>
        <sz val="4"/>
        <color rgb="FF000000"/>
        <rFont val="Calibri"/>
        <family val="2"/>
      </rPr>
      <t>1</t>
    </r>
  </si>
  <si>
    <r>
      <t>Hatchery</t>
    </r>
    <r>
      <rPr>
        <b/>
        <sz val="4"/>
        <color rgb="FF000000"/>
        <rFont val="Calibri"/>
        <family val="2"/>
      </rPr>
      <t>2</t>
    </r>
  </si>
  <si>
    <r>
      <t>Wild</t>
    </r>
    <r>
      <rPr>
        <b/>
        <sz val="4"/>
        <color rgb="FF000000"/>
        <rFont val="Calibri"/>
        <family val="2"/>
      </rPr>
      <t>2</t>
    </r>
  </si>
  <si>
    <r>
      <t>Escapement</t>
    </r>
    <r>
      <rPr>
        <b/>
        <sz val="4"/>
        <color rgb="FF000000"/>
        <rFont val="Calibri"/>
        <family val="2"/>
      </rPr>
      <t>3</t>
    </r>
  </si>
  <si>
    <r>
      <t>Redds</t>
    </r>
    <r>
      <rPr>
        <b/>
        <sz val="4"/>
        <color rgb="FF000000"/>
        <rFont val="Calibri"/>
        <family val="2"/>
      </rPr>
      <t>4</t>
    </r>
  </si>
  <si>
    <t>Min Run size</t>
  </si>
  <si>
    <t>Treaty Harvest rate</t>
  </si>
  <si>
    <r>
      <t>2005-06</t>
    </r>
    <r>
      <rPr>
        <sz val="4"/>
        <color rgb="FF000000"/>
        <rFont val="Calibri"/>
        <family val="2"/>
      </rPr>
      <t>5</t>
    </r>
  </si>
  <si>
    <t>Avg:</t>
  </si>
  <si>
    <t>From Draft Klickitat Master Plan</t>
  </si>
  <si>
    <r>
      <t xml:space="preserve">1 </t>
    </r>
    <r>
      <rPr>
        <sz val="8"/>
        <color rgb="FF000000"/>
        <rFont val="Calibri"/>
        <family val="2"/>
      </rPr>
      <t>Sum of harvest and escapement</t>
    </r>
  </si>
  <si>
    <r>
      <t>2</t>
    </r>
    <r>
      <rPr>
        <sz val="8"/>
        <color rgb="FF000000"/>
        <rFont val="Calibri"/>
        <family val="2"/>
      </rPr>
      <t xml:space="preserve"> Hatchery and natural-origin proportions of Treaty harvest are estimated as follows. For 1999 through 2005-06, percentages estimated from sampling of ceremonial and subsistence harvest were applied to total Treaty harvest. For 1986-87 through 1998-99, the average percentages from the 1999-2005 sampling were applied to total Treaty harvest.</t>
    </r>
  </si>
  <si>
    <r>
      <t>3</t>
    </r>
    <r>
      <rPr>
        <sz val="8"/>
        <color rgb="FF000000"/>
        <rFont val="Calibri"/>
        <family val="2"/>
      </rPr>
      <t xml:space="preserve"> Assumes 2.5 fish per redd. For years when redd counts were unavailable, assumes average escapement-to-total-harvest ratio from years when redd counts were available.</t>
    </r>
  </si>
  <si>
    <r>
      <t>4</t>
    </r>
    <r>
      <rPr>
        <sz val="8"/>
        <color rgb="FF000000"/>
        <rFont val="Calibri"/>
        <family val="2"/>
      </rPr>
      <t xml:space="preserve"> Actual redd counts expanded for mileage surveyed.</t>
    </r>
  </si>
  <si>
    <t>Table 3.4.10. Klickitat River steelhead terminal harvest, estimated escapement and total run Size to the mouth of the Klickitat River (1986-2006)</t>
  </si>
  <si>
    <t>Natural-origin Spawner Escapement</t>
  </si>
  <si>
    <t>Proposed Harvest Rate</t>
  </si>
  <si>
    <t>Proposed Max Harvest</t>
  </si>
  <si>
    <t>08-15 avge</t>
  </si>
  <si>
    <t>08-15 Max</t>
  </si>
  <si>
    <t>Table 3.4.9. Treaty Hood River winter steelhead fisheries</t>
  </si>
  <si>
    <t>Recent</t>
  </si>
  <si>
    <t>goal</t>
  </si>
  <si>
    <t>Low goal</t>
  </si>
  <si>
    <t>Med goal</t>
  </si>
  <si>
    <t>High goal</t>
  </si>
  <si>
    <t>Limits</t>
  </si>
  <si>
    <t>recent</t>
  </si>
  <si>
    <t>20-50%</t>
  </si>
  <si>
    <t>current</t>
  </si>
  <si>
    <t>Medium</t>
  </si>
  <si>
    <t>#</t>
  </si>
  <si>
    <t>diff</t>
  </si>
  <si>
    <t>Escapement</t>
  </si>
  <si>
    <t>Post fishery</t>
  </si>
  <si>
    <t>BON count</t>
  </si>
  <si>
    <t xml:space="preserve">   Natl loss from mouth to BON</t>
  </si>
  <si>
    <t xml:space="preserve">   Harvest from mouth to BON</t>
  </si>
  <si>
    <t>Col R mouth return</t>
  </si>
  <si>
    <t>Total harvest</t>
  </si>
  <si>
    <t>ER v mouth</t>
  </si>
  <si>
    <t>Conversion loss</t>
  </si>
  <si>
    <t>%</t>
  </si>
  <si>
    <t>ER goal</t>
  </si>
  <si>
    <t>These are aspirational harvest rates identified to provide progressively reasonable opportunity</t>
  </si>
  <si>
    <t xml:space="preserve">   Harvest from BON to tributary</t>
  </si>
  <si>
    <t xml:space="preserve">   Natl loss from BON to tributary</t>
  </si>
  <si>
    <t>Tributary return</t>
  </si>
  <si>
    <t xml:space="preserve">   Harvest in tributaries</t>
  </si>
  <si>
    <t xml:space="preserve">   Natl loss in trib from harvest to escape</t>
  </si>
  <si>
    <t>harvest rate calc not quite right so this approximate</t>
  </si>
  <si>
    <t>Anticipated</t>
  </si>
  <si>
    <t>~70%</t>
  </si>
  <si>
    <t>Harvest (Col basin)</t>
  </si>
  <si>
    <t>need to reconcile hatchery releases w/ LCR</t>
  </si>
  <si>
    <t>Life History: Summer Run, Stream-rearing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</si>
</sst>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
  </numFmts>
  <fonts count="43">
    <font>
      <sz val="11"/>
      <color theme="1"/>
      <name val="Calibri"/>
      <family val="2"/>
      <scheme val="minor"/>
    </font>
    <font>
      <b/>
      <sz val="11"/>
      <color theme="0"/>
      <name val="Calibri"/>
      <family val="2"/>
      <scheme val="minor"/>
    </font>
    <font>
      <b/>
      <sz val="11"/>
      <color theme="1"/>
      <name val="Calibri"/>
      <family val="2"/>
      <scheme val="minor"/>
    </font>
    <font>
      <b/>
      <sz val="8"/>
      <color indexed="81"/>
      <name val="Tahoma"/>
      <family val="2"/>
    </font>
    <font>
      <b/>
      <u/>
      <sz val="11"/>
      <color theme="1"/>
      <name val="Calibri"/>
      <family val="2"/>
      <scheme val="minor"/>
    </font>
    <font>
      <b/>
      <sz val="14"/>
      <color theme="0"/>
      <name val="Calibri"/>
      <family val="2"/>
      <scheme val="minor"/>
    </font>
    <font>
      <i/>
      <sz val="11"/>
      <color theme="1"/>
      <name val="Calibri"/>
      <family val="2"/>
      <scheme val="minor"/>
    </font>
    <font>
      <sz val="11"/>
      <color theme="1"/>
      <name val="Calibri"/>
      <family val="2"/>
      <scheme val="minor"/>
    </font>
    <font>
      <sz val="11"/>
      <color theme="0"/>
      <name val="Calibri"/>
      <family val="2"/>
      <scheme val="minor"/>
    </font>
    <font>
      <b/>
      <vertAlign val="superscript"/>
      <sz val="11"/>
      <color theme="1"/>
      <name val="Calibri"/>
      <family val="2"/>
      <scheme val="minor"/>
    </font>
    <font>
      <b/>
      <u/>
      <sz val="14"/>
      <color theme="1"/>
      <name val="Calibri"/>
      <family val="2"/>
      <scheme val="minor"/>
    </font>
    <font>
      <b/>
      <sz val="9"/>
      <color indexed="81"/>
      <name val="Tahoma"/>
      <family val="2"/>
    </font>
    <font>
      <sz val="11"/>
      <color rgb="FFFF0000"/>
      <name val="Calibri"/>
      <family val="2"/>
      <scheme val="minor"/>
    </font>
    <font>
      <b/>
      <i/>
      <sz val="11"/>
      <color theme="1"/>
      <name val="Calibri"/>
      <family val="2"/>
      <scheme val="minor"/>
    </font>
    <font>
      <b/>
      <sz val="10"/>
      <color indexed="8"/>
      <name val="Times New Roman"/>
      <family val="2"/>
    </font>
    <font>
      <sz val="10"/>
      <color indexed="8"/>
      <name val="Arial"/>
      <family val="2"/>
    </font>
    <font>
      <sz val="11"/>
      <color theme="4" tint="-0.499984740745262"/>
      <name val="Calibri"/>
      <family val="2"/>
      <scheme val="minor"/>
    </font>
    <font>
      <sz val="11"/>
      <name val="Calibri"/>
      <family val="2"/>
      <scheme val="minor"/>
    </font>
    <font>
      <sz val="9"/>
      <color indexed="81"/>
      <name val="Tahoma"/>
      <family val="2"/>
    </font>
    <font>
      <sz val="10"/>
      <color indexed="63"/>
      <name val="Inherit"/>
    </font>
    <font>
      <b/>
      <sz val="10"/>
      <color theme="1"/>
      <name val="Calibri"/>
      <family val="2"/>
      <scheme val="minor"/>
    </font>
    <font>
      <sz val="8"/>
      <color indexed="81"/>
      <name val="Tahoma"/>
      <family val="2"/>
    </font>
    <font>
      <sz val="10"/>
      <name val="Times New Roman"/>
      <family val="1"/>
      <charset val="204"/>
    </font>
    <font>
      <i/>
      <sz val="8"/>
      <color indexed="8"/>
      <name val="Times New Roman"/>
      <family val="1"/>
      <charset val="204"/>
    </font>
    <font>
      <sz val="12"/>
      <color indexed="8"/>
      <name val="Times New Roman"/>
      <family val="1"/>
      <charset val="204"/>
    </font>
    <font>
      <i/>
      <sz val="9"/>
      <color indexed="8"/>
      <name val="Times New Roman"/>
      <family val="1"/>
      <charset val="204"/>
    </font>
    <font>
      <i/>
      <sz val="6"/>
      <color indexed="8"/>
      <name val="Times New Roman"/>
      <family val="1"/>
      <charset val="204"/>
    </font>
    <font>
      <sz val="11"/>
      <color theme="1"/>
      <name val="Calibri"/>
      <family val="2"/>
    </font>
    <font>
      <sz val="11"/>
      <color indexed="8"/>
      <name val="Calibri"/>
      <family val="2"/>
      <scheme val="minor"/>
    </font>
    <font>
      <sz val="12"/>
      <color theme="1"/>
      <name val="Times New Roman"/>
      <family val="1"/>
    </font>
    <font>
      <sz val="8"/>
      <color rgb="FF000000"/>
      <name val="Calibri"/>
      <family val="2"/>
    </font>
    <font>
      <i/>
      <sz val="11"/>
      <color rgb="FF000000"/>
      <name val="Calibri"/>
      <family val="2"/>
      <scheme val="minor"/>
    </font>
    <font>
      <b/>
      <sz val="8"/>
      <color rgb="FF000000"/>
      <name val="Calibri"/>
      <family val="2"/>
    </font>
    <font>
      <sz val="11"/>
      <color rgb="FF000000"/>
      <name val="Calibri"/>
      <family val="2"/>
    </font>
    <font>
      <b/>
      <sz val="4"/>
      <color rgb="FF000000"/>
      <name val="Calibri"/>
      <family val="2"/>
    </font>
    <font>
      <sz val="4"/>
      <color rgb="FF000000"/>
      <name val="Calibri"/>
      <family val="2"/>
    </font>
    <font>
      <vertAlign val="superscript"/>
      <sz val="4"/>
      <color rgb="FF000000"/>
      <name val="Calibri"/>
      <family val="2"/>
    </font>
    <font>
      <sz val="10"/>
      <color rgb="FF000000"/>
      <name val="Arial"/>
      <family val="2"/>
    </font>
    <font>
      <sz val="12"/>
      <color rgb="FF000000"/>
      <name val="Calibri"/>
      <family val="2"/>
    </font>
    <font>
      <b/>
      <sz val="14"/>
      <color theme="1"/>
      <name val="Calibri"/>
      <family val="2"/>
      <scheme val="minor"/>
    </font>
    <font>
      <sz val="12"/>
      <color theme="0"/>
      <name val="Calibri"/>
      <family val="2"/>
      <scheme val="minor"/>
    </font>
    <font>
      <b/>
      <sz val="12"/>
      <color theme="0"/>
      <name val="Calibri"/>
      <family val="2"/>
      <scheme val="minor"/>
    </font>
    <font>
      <sz val="14"/>
      <color theme="1"/>
      <name val="Calibri"/>
      <family val="2"/>
      <scheme val="minor"/>
    </font>
  </fonts>
  <fills count="22">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33CCCC"/>
        <bgColor indexed="64"/>
      </patternFill>
    </fill>
    <fill>
      <patternFill patternType="solid">
        <fgColor rgb="FFB8CCE4"/>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8D2B2E"/>
        <bgColor indexed="64"/>
      </patternFill>
    </fill>
    <fill>
      <patternFill patternType="solid">
        <fgColor rgb="FFE29EA0"/>
        <bgColor indexed="64"/>
      </patternFill>
    </fill>
    <fill>
      <patternFill patternType="solid">
        <fgColor rgb="FFF1CFD0"/>
        <bgColor indexed="64"/>
      </patternFill>
    </fill>
    <fill>
      <patternFill patternType="solid">
        <fgColor theme="9" tint="0.59999389629810485"/>
        <bgColor indexed="64"/>
      </patternFill>
    </fill>
  </fills>
  <borders count="3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22"/>
      </left>
      <right/>
      <top/>
      <bottom/>
      <diagonal/>
    </border>
    <border>
      <left style="medium">
        <color indexed="22"/>
      </left>
      <right/>
      <top style="medium">
        <color indexed="22"/>
      </top>
      <bottom/>
      <diagonal/>
    </border>
    <border>
      <left style="medium">
        <color indexed="22"/>
      </left>
      <right/>
      <top style="medium">
        <color indexed="22"/>
      </top>
      <bottom style="medium">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370">
    <xf numFmtId="0" fontId="0" fillId="0" borderId="0" xfId="0"/>
    <xf numFmtId="0" fontId="1" fillId="2" borderId="0" xfId="0" applyFont="1" applyFill="1"/>
    <xf numFmtId="0" fontId="0" fillId="2" borderId="0" xfId="0" applyFill="1"/>
    <xf numFmtId="0" fontId="5" fillId="2" borderId="0" xfId="0" applyFont="1" applyFill="1"/>
    <xf numFmtId="0" fontId="2" fillId="4" borderId="1" xfId="0" applyFont="1" applyFill="1" applyBorder="1"/>
    <xf numFmtId="0" fontId="2" fillId="4" borderId="2" xfId="0" applyFont="1" applyFill="1" applyBorder="1"/>
    <xf numFmtId="0" fontId="2" fillId="4" borderId="2" xfId="0" applyFont="1" applyFill="1" applyBorder="1" applyAlignment="1">
      <alignment horizontal="center"/>
    </xf>
    <xf numFmtId="0" fontId="2" fillId="4" borderId="1" xfId="0" applyFont="1" applyFill="1" applyBorder="1" applyAlignment="1">
      <alignment horizontal="center"/>
    </xf>
    <xf numFmtId="0" fontId="2" fillId="0" borderId="0" xfId="0" applyFont="1"/>
    <xf numFmtId="0" fontId="0" fillId="0" borderId="0" xfId="0" applyAlignment="1">
      <alignment horizontal="center"/>
    </xf>
    <xf numFmtId="3" fontId="0" fillId="2" borderId="0" xfId="0" applyNumberFormat="1" applyFill="1"/>
    <xf numFmtId="3" fontId="2" fillId="4" borderId="2" xfId="0" applyNumberFormat="1" applyFont="1" applyFill="1" applyBorder="1" applyAlignment="1">
      <alignment horizontal="center"/>
    </xf>
    <xf numFmtId="3" fontId="0" fillId="0" borderId="0" xfId="0" applyNumberFormat="1"/>
    <xf numFmtId="0" fontId="8" fillId="2" borderId="0" xfId="0" applyFont="1" applyFill="1"/>
    <xf numFmtId="0" fontId="10" fillId="5" borderId="0" xfId="0" applyFont="1" applyFill="1"/>
    <xf numFmtId="0" fontId="4" fillId="5" borderId="0" xfId="0" applyFont="1" applyFill="1"/>
    <xf numFmtId="0" fontId="4" fillId="5" borderId="0" xfId="0" applyFont="1" applyFill="1" applyAlignment="1">
      <alignment horizontal="centerContinuous"/>
    </xf>
    <xf numFmtId="0" fontId="2" fillId="5"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3" borderId="0" xfId="0" applyFont="1" applyFill="1"/>
    <xf numFmtId="0" fontId="6" fillId="3" borderId="0" xfId="0" applyFont="1" applyFill="1" applyAlignment="1">
      <alignment horizontal="center" vertical="center" wrapText="1"/>
    </xf>
    <xf numFmtId="0" fontId="6" fillId="3" borderId="1" xfId="0" applyFont="1" applyFill="1" applyBorder="1"/>
    <xf numFmtId="0" fontId="6" fillId="3" borderId="1" xfId="0" applyFont="1" applyFill="1" applyBorder="1" applyAlignment="1">
      <alignment horizontal="center" vertical="center" wrapText="1"/>
    </xf>
    <xf numFmtId="0" fontId="0" fillId="0" borderId="0" xfId="0" quotePrefix="1" applyAlignment="1">
      <alignment horizontal="center"/>
    </xf>
    <xf numFmtId="0" fontId="2" fillId="5" borderId="0" xfId="0" applyFont="1" applyFill="1"/>
    <xf numFmtId="0" fontId="2" fillId="5" borderId="0" xfId="0" applyFont="1" applyFill="1" applyAlignment="1">
      <alignment horizontal="centerContinuous"/>
    </xf>
    <xf numFmtId="0" fontId="2" fillId="5" borderId="0" xfId="0" applyFont="1" applyFill="1" applyAlignment="1">
      <alignment horizontal="center"/>
    </xf>
    <xf numFmtId="0" fontId="2" fillId="5" borderId="0" xfId="0" applyFont="1" applyFill="1" applyAlignment="1">
      <alignment vertical="center"/>
    </xf>
    <xf numFmtId="0" fontId="2" fillId="5" borderId="0" xfId="0" applyFont="1" applyFill="1" applyAlignment="1">
      <alignment horizontal="center" vertical="center"/>
    </xf>
    <xf numFmtId="0" fontId="2" fillId="4" borderId="0" xfId="0" applyFont="1" applyFill="1" applyAlignment="1">
      <alignment horizontal="center"/>
    </xf>
    <xf numFmtId="0" fontId="2" fillId="4" borderId="6" xfId="0" applyFont="1" applyFill="1" applyBorder="1" applyAlignment="1">
      <alignment horizontal="center"/>
    </xf>
    <xf numFmtId="0" fontId="2" fillId="4" borderId="6" xfId="0" applyFont="1" applyFill="1" applyBorder="1"/>
    <xf numFmtId="0" fontId="13" fillId="6" borderId="0" xfId="0" applyFont="1" applyFill="1"/>
    <xf numFmtId="3" fontId="13" fillId="6" borderId="0" xfId="0" applyNumberFormat="1" applyFont="1" applyFill="1"/>
    <xf numFmtId="0" fontId="2" fillId="6" borderId="0" xfId="0" applyFont="1" applyFill="1"/>
    <xf numFmtId="3" fontId="2" fillId="6" borderId="0" xfId="0" applyNumberFormat="1" applyFont="1" applyFill="1"/>
    <xf numFmtId="0" fontId="6" fillId="3" borderId="0" xfId="0" applyFont="1" applyFill="1" applyAlignment="1">
      <alignment horizontal="center"/>
    </xf>
    <xf numFmtId="164" fontId="0" fillId="0" borderId="0" xfId="0" applyNumberFormat="1" applyAlignment="1">
      <alignment horizontal="center"/>
    </xf>
    <xf numFmtId="0" fontId="12" fillId="0" borderId="0" xfId="0" applyFont="1" applyAlignment="1">
      <alignment horizontal="center"/>
    </xf>
    <xf numFmtId="3" fontId="0" fillId="0" borderId="0" xfId="0" applyNumberFormat="1" applyAlignment="1">
      <alignment horizontal="right"/>
    </xf>
    <xf numFmtId="3" fontId="1" fillId="2" borderId="0" xfId="0" applyNumberFormat="1" applyFont="1" applyFill="1"/>
    <xf numFmtId="3" fontId="2" fillId="4" borderId="2" xfId="0" applyNumberFormat="1" applyFont="1" applyFill="1" applyBorder="1"/>
    <xf numFmtId="0" fontId="0" fillId="0" borderId="1" xfId="0" applyBorder="1"/>
    <xf numFmtId="3" fontId="0" fillId="0" borderId="1" xfId="0" applyNumberFormat="1" applyBorder="1" applyAlignment="1">
      <alignment horizontal="right"/>
    </xf>
    <xf numFmtId="3" fontId="0" fillId="0" borderId="1" xfId="0" applyNumberFormat="1" applyBorder="1"/>
    <xf numFmtId="0" fontId="0" fillId="0" borderId="1" xfId="0" applyBorder="1" applyAlignment="1">
      <alignment horizontal="center"/>
    </xf>
    <xf numFmtId="0" fontId="6" fillId="0" borderId="0" xfId="0" applyFont="1"/>
    <xf numFmtId="0" fontId="0" fillId="0" borderId="1" xfId="0" quotePrefix="1" applyBorder="1" applyAlignment="1">
      <alignment horizontal="center"/>
    </xf>
    <xf numFmtId="1" fontId="0" fillId="0" borderId="0" xfId="0" applyNumberFormat="1"/>
    <xf numFmtId="0" fontId="14" fillId="7" borderId="7" xfId="0" applyFont="1" applyFill="1" applyBorder="1" applyAlignment="1">
      <alignment horizontal="left" vertical="center" wrapText="1" indent="1"/>
    </xf>
    <xf numFmtId="0" fontId="14" fillId="7" borderId="7" xfId="0" applyFont="1" applyFill="1" applyBorder="1" applyAlignment="1">
      <alignment horizontal="right" vertical="center" wrapText="1" indent="1"/>
    </xf>
    <xf numFmtId="1" fontId="15" fillId="8" borderId="7" xfId="0" applyNumberFormat="1" applyFont="1" applyFill="1" applyBorder="1" applyAlignment="1">
      <alignment horizontal="left" vertical="top" wrapText="1" indent="1"/>
    </xf>
    <xf numFmtId="3" fontId="15" fillId="8" borderId="7" xfId="0" applyNumberFormat="1" applyFont="1" applyFill="1" applyBorder="1" applyAlignment="1">
      <alignment horizontal="right" vertical="top" wrapText="1" indent="1"/>
    </xf>
    <xf numFmtId="1" fontId="15" fillId="9" borderId="7" xfId="0" applyNumberFormat="1" applyFont="1" applyFill="1" applyBorder="1" applyAlignment="1">
      <alignment horizontal="left" vertical="top" wrapText="1" indent="1"/>
    </xf>
    <xf numFmtId="3" fontId="15" fillId="9" borderId="7" xfId="0" applyNumberFormat="1" applyFont="1" applyFill="1" applyBorder="1" applyAlignment="1">
      <alignment horizontal="right" vertical="top" wrapText="1" indent="1"/>
    </xf>
    <xf numFmtId="3" fontId="4" fillId="5" borderId="0" xfId="0" applyNumberFormat="1" applyFont="1" applyFill="1" applyAlignment="1">
      <alignment horizontal="centerContinuous"/>
    </xf>
    <xf numFmtId="3" fontId="2" fillId="5" borderId="0" xfId="0" applyNumberFormat="1" applyFont="1" applyFill="1" applyAlignment="1">
      <alignment horizontal="center" vertical="center" wrapText="1"/>
    </xf>
    <xf numFmtId="0" fontId="1" fillId="0" borderId="0" xfId="0" applyFont="1"/>
    <xf numFmtId="0" fontId="13" fillId="0" borderId="0" xfId="0" applyFont="1"/>
    <xf numFmtId="164" fontId="6" fillId="3" borderId="0" xfId="0" applyNumberFormat="1" applyFont="1" applyFill="1"/>
    <xf numFmtId="164" fontId="6" fillId="3" borderId="0" xfId="0" applyNumberFormat="1" applyFont="1" applyFill="1" applyAlignment="1">
      <alignment horizontal="center"/>
    </xf>
    <xf numFmtId="0" fontId="0" fillId="0" borderId="0" xfId="0" applyAlignment="1">
      <alignment horizontal="right"/>
    </xf>
    <xf numFmtId="3" fontId="12" fillId="0" borderId="0" xfId="0" applyNumberFormat="1" applyFont="1"/>
    <xf numFmtId="0" fontId="2" fillId="4" borderId="8" xfId="0" applyFont="1" applyFill="1" applyBorder="1"/>
    <xf numFmtId="0" fontId="2" fillId="4" borderId="0" xfId="0" applyFont="1" applyFill="1"/>
    <xf numFmtId="3" fontId="4" fillId="4" borderId="8" xfId="0" applyNumberFormat="1" applyFont="1" applyFill="1" applyBorder="1" applyAlignment="1">
      <alignment horizontal="centerContinuous"/>
    </xf>
    <xf numFmtId="0" fontId="4" fillId="4" borderId="0" xfId="0" applyFont="1" applyFill="1" applyAlignment="1">
      <alignment horizontal="centerContinuous"/>
    </xf>
    <xf numFmtId="0" fontId="2" fillId="4" borderId="0" xfId="0" applyFont="1" applyFill="1" applyAlignment="1">
      <alignment horizontal="centerContinuous"/>
    </xf>
    <xf numFmtId="0" fontId="2" fillId="4" borderId="9" xfId="0" applyFont="1" applyFill="1" applyBorder="1" applyAlignment="1">
      <alignment horizontal="centerContinuous"/>
    </xf>
    <xf numFmtId="0" fontId="4" fillId="4" borderId="8" xfId="0" applyFont="1" applyFill="1" applyBorder="1" applyAlignment="1">
      <alignment horizontal="centerContinuous"/>
    </xf>
    <xf numFmtId="0" fontId="4" fillId="4" borderId="8" xfId="0" applyFont="1" applyFill="1" applyBorder="1"/>
    <xf numFmtId="3" fontId="6" fillId="0" borderId="0" xfId="0" applyNumberFormat="1" applyFont="1"/>
    <xf numFmtId="0" fontId="6" fillId="0" borderId="0" xfId="0" applyFont="1" applyAlignment="1">
      <alignment horizontal="center"/>
    </xf>
    <xf numFmtId="9" fontId="6" fillId="0" borderId="0" xfId="1" applyFont="1"/>
    <xf numFmtId="0" fontId="0" fillId="0" borderId="3" xfId="0" applyBorder="1"/>
    <xf numFmtId="0" fontId="0" fillId="0" borderId="4" xfId="0" applyBorder="1"/>
    <xf numFmtId="0" fontId="0" fillId="0" borderId="11" xfId="0" applyBorder="1"/>
    <xf numFmtId="0" fontId="0" fillId="0" borderId="12" xfId="0" applyBorder="1"/>
    <xf numFmtId="0" fontId="0" fillId="0" borderId="13" xfId="0" applyBorder="1"/>
    <xf numFmtId="0" fontId="0" fillId="0" borderId="8" xfId="0" applyBorder="1"/>
    <xf numFmtId="0" fontId="0" fillId="0" borderId="9" xfId="0" applyBorder="1"/>
    <xf numFmtId="0" fontId="0" fillId="0" borderId="2" xfId="0" applyBorder="1"/>
    <xf numFmtId="3" fontId="0" fillId="0" borderId="4" xfId="0" applyNumberFormat="1" applyBorder="1"/>
    <xf numFmtId="3" fontId="0" fillId="0" borderId="5" xfId="0" applyNumberFormat="1" applyBorder="1"/>
    <xf numFmtId="3" fontId="0" fillId="0" borderId="9" xfId="0" applyNumberFormat="1" applyBorder="1"/>
    <xf numFmtId="3" fontId="0" fillId="0" borderId="6" xfId="0" applyNumberFormat="1" applyBorder="1"/>
    <xf numFmtId="0" fontId="0" fillId="11" borderId="0" xfId="0" applyFill="1"/>
    <xf numFmtId="0" fontId="5" fillId="11" borderId="0" xfId="0" applyFont="1" applyFill="1" applyAlignment="1">
      <alignment vertical="center"/>
    </xf>
    <xf numFmtId="0" fontId="8" fillId="11" borderId="0" xfId="0" applyFont="1" applyFill="1" applyAlignment="1">
      <alignment vertical="center"/>
    </xf>
    <xf numFmtId="0" fontId="1" fillId="11" borderId="0" xfId="0" applyFont="1" applyFill="1" applyAlignment="1">
      <alignment vertical="center"/>
    </xf>
    <xf numFmtId="0" fontId="8" fillId="11" borderId="0" xfId="0" applyFont="1" applyFill="1"/>
    <xf numFmtId="0" fontId="8" fillId="0" borderId="0" xfId="0" applyFont="1"/>
    <xf numFmtId="3" fontId="0" fillId="0" borderId="8" xfId="0" applyNumberFormat="1" applyBorder="1"/>
    <xf numFmtId="3" fontId="0" fillId="0" borderId="2" xfId="0" applyNumberFormat="1" applyBorder="1"/>
    <xf numFmtId="165" fontId="0" fillId="0" borderId="0" xfId="1" applyNumberFormat="1" applyFont="1"/>
    <xf numFmtId="165" fontId="0" fillId="0" borderId="0" xfId="0" applyNumberFormat="1"/>
    <xf numFmtId="3" fontId="12" fillId="0" borderId="0" xfId="0" applyNumberFormat="1" applyFont="1" applyAlignment="1">
      <alignment horizontal="right"/>
    </xf>
    <xf numFmtId="0" fontId="2" fillId="0" borderId="1" xfId="0" applyFont="1" applyBorder="1"/>
    <xf numFmtId="0" fontId="2" fillId="0" borderId="1" xfId="0" applyFont="1" applyBorder="1" applyAlignment="1">
      <alignment horizontal="center"/>
    </xf>
    <xf numFmtId="3" fontId="16" fillId="0" borderId="0" xfId="0" applyNumberFormat="1" applyFont="1"/>
    <xf numFmtId="0" fontId="16" fillId="0" borderId="0" xfId="0" applyFont="1"/>
    <xf numFmtId="0" fontId="4" fillId="0" borderId="0" xfId="0" applyFont="1"/>
    <xf numFmtId="0" fontId="6" fillId="0" borderId="1" xfId="0" applyFont="1" applyBorder="1"/>
    <xf numFmtId="9" fontId="0" fillId="0" borderId="0" xfId="1" applyFont="1"/>
    <xf numFmtId="9" fontId="7" fillId="0" borderId="0" xfId="1" applyAlignment="1">
      <alignment horizontal="center" vertical="center" wrapText="1"/>
    </xf>
    <xf numFmtId="9" fontId="6" fillId="0" borderId="0" xfId="1" applyFont="1" applyAlignment="1">
      <alignment horizontal="center" vertical="center" wrapText="1"/>
    </xf>
    <xf numFmtId="9" fontId="6" fillId="0" borderId="1" xfId="1" applyFont="1" applyBorder="1"/>
    <xf numFmtId="9" fontId="6" fillId="0" borderId="1" xfId="1" applyFont="1" applyBorder="1" applyAlignment="1">
      <alignment horizontal="center" vertical="center" wrapText="1"/>
    </xf>
    <xf numFmtId="3" fontId="17" fillId="0" borderId="0" xfId="0" applyNumberFormat="1" applyFont="1"/>
    <xf numFmtId="0" fontId="17" fillId="0" borderId="0" xfId="0" quotePrefix="1" applyFont="1" applyAlignment="1">
      <alignment horizontal="center"/>
    </xf>
    <xf numFmtId="0" fontId="17" fillId="0" borderId="0" xfId="0" applyFont="1" applyAlignment="1">
      <alignment horizontal="center"/>
    </xf>
    <xf numFmtId="3" fontId="13" fillId="6" borderId="0" xfId="0" applyNumberFormat="1" applyFont="1" applyFill="1" applyAlignment="1">
      <alignment horizontal="right"/>
    </xf>
    <xf numFmtId="0" fontId="2" fillId="12" borderId="14" xfId="0" applyFont="1" applyFill="1" applyBorder="1"/>
    <xf numFmtId="0" fontId="0" fillId="12" borderId="15" xfId="0" applyFill="1" applyBorder="1"/>
    <xf numFmtId="0" fontId="2" fillId="0" borderId="0" xfId="0" applyFont="1" applyAlignment="1">
      <alignment horizontal="center"/>
    </xf>
    <xf numFmtId="3" fontId="4" fillId="4" borderId="0" xfId="0" applyNumberFormat="1" applyFont="1" applyFill="1" applyAlignment="1">
      <alignment horizontal="centerContinuous"/>
    </xf>
    <xf numFmtId="0" fontId="0" fillId="0" borderId="0" xfId="0" applyAlignment="1">
      <alignment horizontal="left" vertical="center" wrapText="1"/>
    </xf>
    <xf numFmtId="0" fontId="12" fillId="0" borderId="0" xfId="0" applyFont="1"/>
    <xf numFmtId="0" fontId="19" fillId="13" borderId="17" xfId="0" applyFont="1" applyFill="1" applyBorder="1" applyAlignment="1">
      <alignment horizontal="left" vertical="top" wrapText="1"/>
    </xf>
    <xf numFmtId="3" fontId="19" fillId="13" borderId="17" xfId="0" applyNumberFormat="1" applyFont="1" applyFill="1" applyBorder="1" applyAlignment="1">
      <alignment horizontal="left" vertical="top" wrapText="1"/>
    </xf>
    <xf numFmtId="0" fontId="19" fillId="13" borderId="18" xfId="0" applyFont="1" applyFill="1" applyBorder="1" applyAlignment="1">
      <alignment horizontal="left" vertical="top" wrapText="1"/>
    </xf>
    <xf numFmtId="3" fontId="19" fillId="13" borderId="18" xfId="0" applyNumberFormat="1" applyFont="1" applyFill="1" applyBorder="1" applyAlignment="1">
      <alignment horizontal="left" vertical="top" wrapText="1"/>
    </xf>
    <xf numFmtId="0" fontId="19" fillId="13" borderId="19" xfId="0" applyFont="1" applyFill="1" applyBorder="1" applyAlignment="1">
      <alignment horizontal="left" vertical="top" wrapText="1"/>
    </xf>
    <xf numFmtId="3" fontId="19" fillId="13" borderId="19" xfId="0" applyNumberFormat="1" applyFont="1" applyFill="1" applyBorder="1" applyAlignment="1">
      <alignment horizontal="left" vertical="top" wrapText="1"/>
    </xf>
    <xf numFmtId="0" fontId="0" fillId="14" borderId="0" xfId="0" applyFill="1"/>
    <xf numFmtId="3" fontId="2" fillId="4" borderId="1" xfId="0" applyNumberFormat="1" applyFont="1" applyFill="1" applyBorder="1" applyAlignment="1">
      <alignment horizontal="center"/>
    </xf>
    <xf numFmtId="10" fontId="0" fillId="0" borderId="0" xfId="1" applyNumberFormat="1" applyFont="1"/>
    <xf numFmtId="16" fontId="6" fillId="0" borderId="0" xfId="0" quotePrefix="1" applyNumberFormat="1" applyFont="1"/>
    <xf numFmtId="0" fontId="4" fillId="15" borderId="4" xfId="0" applyFont="1" applyFill="1" applyBorder="1" applyAlignment="1">
      <alignment horizontal="centerContinuous"/>
    </xf>
    <xf numFmtId="0" fontId="2" fillId="15" borderId="4" xfId="0" applyFont="1" applyFill="1" applyBorder="1" applyAlignment="1">
      <alignment horizontal="centerContinuous"/>
    </xf>
    <xf numFmtId="0" fontId="2" fillId="15" borderId="2" xfId="0" applyFont="1" applyFill="1" applyBorder="1"/>
    <xf numFmtId="0" fontId="2" fillId="15" borderId="1" xfId="0" applyFont="1" applyFill="1" applyBorder="1"/>
    <xf numFmtId="0" fontId="2" fillId="15" borderId="1" xfId="0" applyFont="1" applyFill="1" applyBorder="1" applyAlignment="1">
      <alignment horizontal="center"/>
    </xf>
    <xf numFmtId="0" fontId="2" fillId="15" borderId="6" xfId="0" applyFont="1" applyFill="1" applyBorder="1" applyAlignment="1">
      <alignment horizontal="center"/>
    </xf>
    <xf numFmtId="0" fontId="2" fillId="16" borderId="14" xfId="0" applyFont="1" applyFill="1" applyBorder="1"/>
    <xf numFmtId="0" fontId="2" fillId="16" borderId="15" xfId="0" applyFont="1" applyFill="1" applyBorder="1"/>
    <xf numFmtId="0" fontId="0" fillId="0" borderId="9" xfId="0" quotePrefix="1" applyBorder="1" applyAlignment="1">
      <alignment horizontal="center"/>
    </xf>
    <xf numFmtId="0" fontId="12" fillId="0" borderId="1" xfId="0" applyFont="1" applyBorder="1"/>
    <xf numFmtId="0" fontId="12" fillId="0" borderId="1" xfId="0" applyFont="1" applyBorder="1" applyAlignment="1">
      <alignment horizontal="center"/>
    </xf>
    <xf numFmtId="0" fontId="2" fillId="0" borderId="8" xfId="0" quotePrefix="1" applyFont="1" applyBorder="1" applyAlignment="1">
      <alignment horizontal="left"/>
    </xf>
    <xf numFmtId="0" fontId="2" fillId="0" borderId="8" xfId="0" applyFont="1" applyBorder="1"/>
    <xf numFmtId="0" fontId="2" fillId="0" borderId="3" xfId="0" applyFont="1" applyBorder="1"/>
    <xf numFmtId="0" fontId="4" fillId="15" borderId="5" xfId="0" applyFont="1" applyFill="1" applyBorder="1" applyAlignment="1">
      <alignment horizontal="centerContinuous"/>
    </xf>
    <xf numFmtId="0" fontId="4" fillId="3" borderId="4" xfId="0" applyFont="1" applyFill="1" applyBorder="1" applyAlignment="1">
      <alignment horizontal="centerContinuous"/>
    </xf>
    <xf numFmtId="0" fontId="2" fillId="3" borderId="4" xfId="0" applyFont="1" applyFill="1" applyBorder="1" applyAlignment="1">
      <alignment horizontal="centerContinuous"/>
    </xf>
    <xf numFmtId="0" fontId="2" fillId="3" borderId="5" xfId="0" applyFont="1" applyFill="1" applyBorder="1" applyAlignment="1">
      <alignment horizontal="center"/>
    </xf>
    <xf numFmtId="0" fontId="2" fillId="3" borderId="2" xfId="0" applyFont="1" applyFill="1" applyBorder="1"/>
    <xf numFmtId="0" fontId="2" fillId="3" borderId="1" xfId="0" applyFont="1" applyFill="1" applyBorder="1"/>
    <xf numFmtId="0" fontId="2" fillId="3" borderId="1" xfId="0" applyFont="1" applyFill="1" applyBorder="1" applyAlignment="1">
      <alignment horizontal="center"/>
    </xf>
    <xf numFmtId="0" fontId="13" fillId="15" borderId="14" xfId="0" applyFont="1" applyFill="1" applyBorder="1" applyAlignment="1">
      <alignment vertical="center"/>
    </xf>
    <xf numFmtId="164" fontId="13" fillId="15" borderId="16" xfId="0" applyNumberFormat="1" applyFont="1" applyFill="1" applyBorder="1" applyAlignment="1">
      <alignment horizontal="right"/>
    </xf>
    <xf numFmtId="164" fontId="13" fillId="15" borderId="16" xfId="0" applyNumberFormat="1" applyFont="1" applyFill="1" applyBorder="1"/>
    <xf numFmtId="3" fontId="0" fillId="0" borderId="4" xfId="0" applyNumberFormat="1" applyBorder="1" applyAlignment="1">
      <alignment horizontal="center"/>
    </xf>
    <xf numFmtId="3" fontId="0" fillId="0" borderId="0" xfId="0" applyNumberFormat="1" applyAlignment="1">
      <alignment horizontal="center"/>
    </xf>
    <xf numFmtId="3" fontId="0" fillId="0" borderId="1" xfId="0" applyNumberFormat="1" applyBorder="1" applyAlignment="1">
      <alignment horizontal="center"/>
    </xf>
    <xf numFmtId="3" fontId="0" fillId="0" borderId="5" xfId="0" applyNumberFormat="1" applyBorder="1" applyAlignment="1">
      <alignment horizontal="center"/>
    </xf>
    <xf numFmtId="3" fontId="0" fillId="0" borderId="9" xfId="0" applyNumberFormat="1" applyBorder="1" applyAlignment="1">
      <alignment horizontal="center"/>
    </xf>
    <xf numFmtId="3" fontId="0" fillId="0" borderId="6" xfId="0" applyNumberFormat="1" applyBorder="1" applyAlignment="1">
      <alignment horizontal="center"/>
    </xf>
    <xf numFmtId="164" fontId="13" fillId="15" borderId="16" xfId="1" applyNumberFormat="1" applyFont="1" applyFill="1" applyBorder="1" applyAlignment="1">
      <alignment horizontal="center"/>
    </xf>
    <xf numFmtId="0" fontId="0" fillId="11" borderId="0" xfId="0" applyFill="1" applyAlignment="1">
      <alignment horizontal="center"/>
    </xf>
    <xf numFmtId="0" fontId="17" fillId="11" borderId="0" xfId="0" applyFont="1" applyFill="1" applyAlignment="1">
      <alignment horizontal="center"/>
    </xf>
    <xf numFmtId="3" fontId="17" fillId="11" borderId="0" xfId="0" applyNumberFormat="1" applyFont="1" applyFill="1"/>
    <xf numFmtId="0" fontId="17" fillId="11" borderId="0" xfId="0" quotePrefix="1" applyFont="1" applyFill="1" applyAlignment="1">
      <alignment horizontal="center"/>
    </xf>
    <xf numFmtId="0" fontId="12" fillId="11" borderId="0" xfId="0" applyFont="1" applyFill="1" applyAlignment="1">
      <alignment horizontal="center"/>
    </xf>
    <xf numFmtId="0" fontId="22" fillId="0" borderId="0" xfId="0" applyFont="1" applyAlignment="1">
      <alignment vertical="top" wrapText="1"/>
    </xf>
    <xf numFmtId="0" fontId="24" fillId="0" borderId="0" xfId="0" applyFont="1" applyAlignment="1">
      <alignment horizontal="left" vertical="top"/>
    </xf>
    <xf numFmtId="0" fontId="26" fillId="0" borderId="0" xfId="0" applyFont="1" applyAlignment="1">
      <alignment horizontal="left" vertical="top"/>
    </xf>
    <xf numFmtId="0" fontId="22" fillId="0" borderId="0" xfId="0" applyFont="1" applyAlignment="1">
      <alignment horizontal="left" vertical="top"/>
    </xf>
    <xf numFmtId="3" fontId="2" fillId="0" borderId="0" xfId="0" applyNumberFormat="1" applyFont="1"/>
    <xf numFmtId="164" fontId="2" fillId="0" borderId="0" xfId="1" applyNumberFormat="1" applyFont="1"/>
    <xf numFmtId="164" fontId="0" fillId="0" borderId="0" xfId="1" applyNumberFormat="1" applyFont="1"/>
    <xf numFmtId="164" fontId="0" fillId="10" borderId="10" xfId="1" applyNumberFormat="1" applyFont="1" applyFill="1" applyBorder="1"/>
    <xf numFmtId="9" fontId="13" fillId="15" borderId="16" xfId="0" applyNumberFormat="1" applyFont="1" applyFill="1" applyBorder="1" applyAlignment="1">
      <alignment horizontal="center"/>
    </xf>
    <xf numFmtId="3" fontId="2" fillId="4" borderId="1" xfId="0" applyNumberFormat="1" applyFont="1" applyFill="1" applyBorder="1"/>
    <xf numFmtId="0" fontId="15" fillId="0" borderId="0" xfId="0" applyFont="1" applyAlignment="1">
      <alignment horizontal="center" vertical="top" wrapText="1"/>
    </xf>
    <xf numFmtId="0" fontId="2" fillId="0" borderId="0" xfId="0" applyFont="1" applyAlignment="1">
      <alignment horizontal="left"/>
    </xf>
    <xf numFmtId="1" fontId="28" fillId="0" borderId="0" xfId="0" applyNumberFormat="1" applyFont="1" applyAlignment="1">
      <alignment horizontal="right" vertical="top" wrapText="1"/>
    </xf>
    <xf numFmtId="3" fontId="0" fillId="0" borderId="0" xfId="0" quotePrefix="1" applyNumberFormat="1" applyAlignment="1">
      <alignment horizontal="center"/>
    </xf>
    <xf numFmtId="164" fontId="13" fillId="15" borderId="16" xfId="0" applyNumberFormat="1" applyFont="1" applyFill="1" applyBorder="1" applyAlignment="1">
      <alignment horizontal="center"/>
    </xf>
    <xf numFmtId="3" fontId="0" fillId="3" borderId="0" xfId="0" applyNumberFormat="1" applyFill="1"/>
    <xf numFmtId="0" fontId="12" fillId="0" borderId="4" xfId="0" applyFont="1" applyBorder="1" applyAlignment="1">
      <alignment horizontal="center"/>
    </xf>
    <xf numFmtId="0" fontId="0" fillId="0" borderId="0" xfId="0" applyAlignment="1">
      <alignment vertical="center"/>
    </xf>
    <xf numFmtId="0" fontId="30" fillId="0" borderId="20" xfId="0" applyFont="1" applyBorder="1" applyAlignment="1">
      <alignment vertical="center"/>
    </xf>
    <xf numFmtId="0" fontId="30" fillId="0" borderId="0" xfId="0" applyFont="1" applyAlignment="1">
      <alignment horizontal="center" vertical="center" wrapText="1"/>
    </xf>
    <xf numFmtId="0" fontId="30" fillId="0" borderId="21" xfId="0" applyFont="1" applyBorder="1" applyAlignment="1">
      <alignment horizontal="center" vertical="center"/>
    </xf>
    <xf numFmtId="0" fontId="30" fillId="0" borderId="0" xfId="0" applyFont="1" applyAlignment="1">
      <alignment vertical="center"/>
    </xf>
    <xf numFmtId="0" fontId="30" fillId="0" borderId="22" xfId="0" applyFont="1" applyBorder="1" applyAlignment="1">
      <alignment vertical="center"/>
    </xf>
    <xf numFmtId="0" fontId="30" fillId="0" borderId="21" xfId="0" applyFont="1" applyBorder="1" applyAlignment="1">
      <alignment vertical="center"/>
    </xf>
    <xf numFmtId="0" fontId="30" fillId="0" borderId="23" xfId="0" applyFont="1" applyBorder="1" applyAlignment="1">
      <alignment vertical="center" wrapText="1"/>
    </xf>
    <xf numFmtId="0" fontId="0" fillId="0" borderId="0" xfId="0" applyAlignment="1">
      <alignment vertical="center" wrapText="1"/>
    </xf>
    <xf numFmtId="0" fontId="30" fillId="0" borderId="0" xfId="0" applyFont="1" applyAlignment="1">
      <alignment vertical="center" wrapText="1"/>
    </xf>
    <xf numFmtId="0" fontId="30" fillId="0" borderId="23" xfId="0" applyFont="1" applyBorder="1" applyAlignment="1">
      <alignment vertical="center"/>
    </xf>
    <xf numFmtId="0" fontId="30" fillId="0" borderId="24" xfId="0" applyFont="1" applyBorder="1" applyAlignment="1">
      <alignment vertical="center"/>
    </xf>
    <xf numFmtId="0" fontId="30" fillId="0" borderId="24" xfId="0" applyFont="1" applyBorder="1" applyAlignment="1">
      <alignment vertical="center" wrapText="1"/>
    </xf>
    <xf numFmtId="3" fontId="30" fillId="0" borderId="0" xfId="0" applyNumberFormat="1" applyFont="1" applyAlignment="1">
      <alignment horizontal="right" vertical="center" wrapText="1"/>
    </xf>
    <xf numFmtId="0" fontId="30" fillId="0" borderId="0" xfId="0" applyFont="1" applyAlignment="1">
      <alignment horizontal="right" vertical="center"/>
    </xf>
    <xf numFmtId="0" fontId="30" fillId="0" borderId="23" xfId="0" applyFont="1" applyBorder="1" applyAlignment="1">
      <alignment horizontal="right" vertical="center" wrapText="1"/>
    </xf>
    <xf numFmtId="10" fontId="30" fillId="0" borderId="0" xfId="0" applyNumberFormat="1" applyFont="1" applyAlignment="1">
      <alignment horizontal="right" vertical="center"/>
    </xf>
    <xf numFmtId="0" fontId="30" fillId="0" borderId="0" xfId="0" applyFont="1" applyAlignment="1">
      <alignment horizontal="right" vertical="center" wrapText="1"/>
    </xf>
    <xf numFmtId="0" fontId="30" fillId="0" borderId="24" xfId="0" applyFont="1" applyBorder="1" applyAlignment="1">
      <alignment horizontal="right" vertical="center" wrapText="1"/>
    </xf>
    <xf numFmtId="3" fontId="30" fillId="0" borderId="24" xfId="0" applyNumberFormat="1" applyFont="1" applyBorder="1" applyAlignment="1">
      <alignment horizontal="right" vertical="center" wrapText="1"/>
    </xf>
    <xf numFmtId="0" fontId="30" fillId="0" borderId="25" xfId="0" applyFont="1" applyBorder="1" applyAlignment="1">
      <alignment vertical="center" wrapText="1"/>
    </xf>
    <xf numFmtId="0" fontId="30" fillId="0" borderId="26" xfId="0" applyFont="1" applyBorder="1" applyAlignment="1">
      <alignment vertical="center"/>
    </xf>
    <xf numFmtId="0" fontId="30" fillId="0" borderId="26" xfId="0" applyFont="1" applyBorder="1" applyAlignment="1">
      <alignment vertical="center" wrapText="1"/>
    </xf>
    <xf numFmtId="0" fontId="30" fillId="0" borderId="26" xfId="0" applyFont="1" applyBorder="1" applyAlignment="1">
      <alignment horizontal="right" vertical="center"/>
    </xf>
    <xf numFmtId="0" fontId="30" fillId="0" borderId="25" xfId="0" applyFont="1" applyBorder="1" applyAlignment="1">
      <alignment horizontal="right" vertical="center" wrapText="1"/>
    </xf>
    <xf numFmtId="0" fontId="30" fillId="0" borderId="26" xfId="0" applyFont="1" applyBorder="1" applyAlignment="1">
      <alignment horizontal="right" vertical="center" wrapText="1"/>
    </xf>
    <xf numFmtId="0" fontId="30" fillId="0" borderId="27" xfId="0" applyFont="1" applyBorder="1" applyAlignment="1">
      <alignment horizontal="right" vertical="center" wrapText="1"/>
    </xf>
    <xf numFmtId="3" fontId="30" fillId="0" borderId="26" xfId="0" applyNumberFormat="1" applyFont="1" applyBorder="1" applyAlignment="1">
      <alignment horizontal="right" vertical="center" wrapText="1"/>
    </xf>
    <xf numFmtId="0" fontId="31" fillId="0" borderId="0" xfId="0" applyFont="1" applyAlignment="1">
      <alignment vertical="center"/>
    </xf>
    <xf numFmtId="0" fontId="30" fillId="0" borderId="20" xfId="0" applyFont="1" applyBorder="1" applyAlignment="1">
      <alignment vertical="center" wrapText="1"/>
    </xf>
    <xf numFmtId="0" fontId="30" fillId="0" borderId="28" xfId="0" applyFont="1" applyBorder="1" applyAlignment="1">
      <alignment vertical="center" wrapText="1"/>
    </xf>
    <xf numFmtId="0" fontId="30"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2" fillId="0" borderId="30" xfId="0" applyFont="1" applyBorder="1" applyAlignment="1">
      <alignment horizontal="center" vertical="center" wrapText="1"/>
    </xf>
    <xf numFmtId="0" fontId="30" fillId="0" borderId="21" xfId="0" applyFont="1" applyBorder="1" applyAlignment="1">
      <alignment vertical="center" wrapText="1"/>
    </xf>
    <xf numFmtId="0" fontId="33" fillId="0" borderId="20" xfId="0" applyFont="1" applyBorder="1" applyAlignment="1">
      <alignment vertical="center"/>
    </xf>
    <xf numFmtId="0" fontId="33" fillId="0" borderId="22" xfId="0" applyFont="1" applyBorder="1" applyAlignment="1">
      <alignment vertical="center"/>
    </xf>
    <xf numFmtId="0" fontId="29" fillId="0" borderId="0" xfId="0" applyFont="1" applyAlignment="1">
      <alignment vertical="center" wrapText="1"/>
    </xf>
    <xf numFmtId="0" fontId="32" fillId="0" borderId="31" xfId="0" applyFont="1" applyBorder="1" applyAlignment="1">
      <alignment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3" xfId="0" applyFont="1" applyBorder="1" applyAlignment="1">
      <alignment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3" fontId="30" fillId="0" borderId="0" xfId="0" applyNumberFormat="1" applyFont="1" applyAlignment="1">
      <alignment horizontal="center" vertical="center" wrapText="1"/>
    </xf>
    <xf numFmtId="3" fontId="30" fillId="0" borderId="23" xfId="0" applyNumberFormat="1" applyFont="1" applyBorder="1" applyAlignment="1">
      <alignment horizontal="center" vertical="center" wrapText="1"/>
    </xf>
    <xf numFmtId="9" fontId="30" fillId="0" borderId="24" xfId="0" applyNumberFormat="1" applyFont="1" applyBorder="1" applyAlignment="1">
      <alignment horizontal="right" vertical="center"/>
    </xf>
    <xf numFmtId="0" fontId="30" fillId="0" borderId="23" xfId="0" applyFont="1" applyBorder="1" applyAlignment="1">
      <alignment horizontal="center" vertical="center" wrapText="1"/>
    </xf>
    <xf numFmtId="0" fontId="33" fillId="0" borderId="23" xfId="0" applyFont="1" applyBorder="1" applyAlignment="1">
      <alignment horizontal="center" vertical="center" wrapText="1"/>
    </xf>
    <xf numFmtId="3" fontId="32" fillId="0" borderId="33" xfId="0" applyNumberFormat="1" applyFont="1" applyBorder="1" applyAlignment="1">
      <alignment horizontal="center" vertical="center" wrapText="1"/>
    </xf>
    <xf numFmtId="9" fontId="30" fillId="0" borderId="27" xfId="0" applyNumberFormat="1" applyFont="1" applyBorder="1" applyAlignment="1">
      <alignment horizontal="right" vertical="center"/>
    </xf>
    <xf numFmtId="0" fontId="33" fillId="0" borderId="36" xfId="0" applyFont="1" applyBorder="1" applyAlignment="1">
      <alignment vertical="center" wrapText="1"/>
    </xf>
    <xf numFmtId="0" fontId="33" fillId="0" borderId="37" xfId="0" applyFont="1" applyBorder="1" applyAlignment="1">
      <alignment vertical="center" wrapText="1"/>
    </xf>
    <xf numFmtId="0" fontId="33" fillId="0" borderId="38" xfId="0" applyFont="1" applyBorder="1" applyAlignment="1">
      <alignment vertical="center" wrapText="1"/>
    </xf>
    <xf numFmtId="0" fontId="37" fillId="0" borderId="23" xfId="0" applyFont="1" applyBorder="1" applyAlignment="1">
      <alignment vertical="center" wrapText="1"/>
    </xf>
    <xf numFmtId="0" fontId="38" fillId="0" borderId="0" xfId="0" applyFont="1" applyAlignment="1">
      <alignment horizontal="center" vertical="center" wrapText="1"/>
    </xf>
    <xf numFmtId="9" fontId="33" fillId="0" borderId="0" xfId="0" applyNumberFormat="1" applyFont="1" applyAlignment="1">
      <alignment horizontal="right" vertical="center"/>
    </xf>
    <xf numFmtId="0" fontId="33" fillId="0" borderId="24" xfId="0" applyFont="1" applyBorder="1" applyAlignment="1">
      <alignment horizontal="right" vertical="center"/>
    </xf>
    <xf numFmtId="0" fontId="37" fillId="0" borderId="25" xfId="0" applyFont="1" applyBorder="1" applyAlignment="1">
      <alignment vertical="center" wrapText="1"/>
    </xf>
    <xf numFmtId="3" fontId="38" fillId="0" borderId="26" xfId="0" applyNumberFormat="1" applyFont="1" applyBorder="1" applyAlignment="1">
      <alignment horizontal="center" vertical="center" wrapText="1"/>
    </xf>
    <xf numFmtId="9" fontId="33" fillId="0" borderId="26" xfId="0" applyNumberFormat="1" applyFont="1" applyBorder="1" applyAlignment="1">
      <alignment horizontal="right" vertical="center"/>
    </xf>
    <xf numFmtId="0" fontId="33" fillId="0" borderId="27" xfId="0" applyFont="1" applyBorder="1" applyAlignment="1">
      <alignment horizontal="right" vertical="center"/>
    </xf>
    <xf numFmtId="0" fontId="33" fillId="0" borderId="0" xfId="0" applyFont="1" applyAlignment="1">
      <alignment horizontal="center" vertical="center"/>
    </xf>
    <xf numFmtId="0" fontId="33" fillId="0" borderId="24" xfId="0" applyFont="1" applyBorder="1" applyAlignment="1">
      <alignment horizontal="center" vertical="center"/>
    </xf>
    <xf numFmtId="3" fontId="33" fillId="0" borderId="26" xfId="0" applyNumberFormat="1" applyFont="1" applyBorder="1" applyAlignment="1">
      <alignment horizontal="center" vertical="center"/>
    </xf>
    <xf numFmtId="0" fontId="33" fillId="0" borderId="27" xfId="0" applyFont="1" applyBorder="1" applyAlignment="1">
      <alignment horizontal="center" vertical="center"/>
    </xf>
    <xf numFmtId="3" fontId="0" fillId="0" borderId="3" xfId="0" applyNumberFormat="1" applyBorder="1"/>
    <xf numFmtId="3" fontId="0" fillId="0" borderId="8"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13" fillId="15" borderId="16" xfId="0" applyNumberFormat="1" applyFont="1" applyFill="1" applyBorder="1" applyAlignment="1">
      <alignment horizontal="center"/>
    </xf>
    <xf numFmtId="0" fontId="40" fillId="11" borderId="0" xfId="0" applyFont="1" applyFill="1"/>
    <xf numFmtId="0" fontId="2" fillId="3" borderId="4" xfId="0" applyFont="1" applyFill="1" applyBorder="1" applyAlignment="1">
      <alignment horizontal="center"/>
    </xf>
    <xf numFmtId="3" fontId="0" fillId="11" borderId="0" xfId="0" applyNumberFormat="1" applyFill="1"/>
    <xf numFmtId="0" fontId="6" fillId="11" borderId="0" xfId="0" applyFont="1" applyFill="1"/>
    <xf numFmtId="0" fontId="2" fillId="3" borderId="14" xfId="0" applyFont="1" applyFill="1" applyBorder="1"/>
    <xf numFmtId="0" fontId="2" fillId="3" borderId="16" xfId="0" applyFont="1" applyFill="1" applyBorder="1"/>
    <xf numFmtId="3" fontId="2" fillId="3" borderId="16" xfId="0" applyNumberFormat="1" applyFont="1" applyFill="1" applyBorder="1"/>
    <xf numFmtId="3" fontId="2" fillId="3" borderId="15" xfId="0" applyNumberFormat="1" applyFont="1" applyFill="1" applyBorder="1" applyAlignment="1">
      <alignment horizontal="center"/>
    </xf>
    <xf numFmtId="0" fontId="17" fillId="0" borderId="0" xfId="0" applyFont="1"/>
    <xf numFmtId="3" fontId="0" fillId="0" borderId="10" xfId="0" applyNumberFormat="1" applyBorder="1"/>
    <xf numFmtId="2" fontId="0" fillId="0" borderId="0" xfId="0" applyNumberFormat="1"/>
    <xf numFmtId="166" fontId="0" fillId="0" borderId="0" xfId="0" applyNumberFormat="1"/>
    <xf numFmtId="166" fontId="0" fillId="17" borderId="0" xfId="0" applyNumberFormat="1" applyFill="1"/>
    <xf numFmtId="2" fontId="0" fillId="17" borderId="0" xfId="0" applyNumberFormat="1" applyFill="1"/>
    <xf numFmtId="164" fontId="17" fillId="0" borderId="0" xfId="1" applyNumberFormat="1" applyFont="1"/>
    <xf numFmtId="164" fontId="12" fillId="0" borderId="0" xfId="1" applyNumberFormat="1" applyFont="1"/>
    <xf numFmtId="3" fontId="17" fillId="0" borderId="0" xfId="0" applyNumberFormat="1" applyFont="1" applyAlignment="1">
      <alignment horizontal="right"/>
    </xf>
    <xf numFmtId="9" fontId="17" fillId="0" borderId="0" xfId="1" applyFont="1" applyAlignment="1">
      <alignment horizontal="right"/>
    </xf>
    <xf numFmtId="9" fontId="12" fillId="0" borderId="0" xfId="1" applyFont="1"/>
    <xf numFmtId="2" fontId="17" fillId="0" borderId="0" xfId="0" applyNumberFormat="1" applyFont="1"/>
    <xf numFmtId="164" fontId="17" fillId="3" borderId="0" xfId="1" applyNumberFormat="1" applyFont="1" applyFill="1"/>
    <xf numFmtId="9" fontId="17" fillId="3" borderId="0" xfId="0" applyNumberFormat="1" applyFont="1" applyFill="1"/>
    <xf numFmtId="9" fontId="0" fillId="3" borderId="0" xfId="0" applyNumberFormat="1" applyFill="1"/>
    <xf numFmtId="9" fontId="0" fillId="3" borderId="0" xfId="1" applyFont="1" applyFill="1"/>
    <xf numFmtId="3" fontId="13" fillId="15" borderId="15" xfId="0" applyNumberFormat="1" applyFont="1" applyFill="1" applyBorder="1" applyAlignment="1">
      <alignment horizontal="center"/>
    </xf>
    <xf numFmtId="0" fontId="2" fillId="3" borderId="6" xfId="0" applyFont="1" applyFill="1" applyBorder="1" applyAlignment="1">
      <alignment horizontal="center"/>
    </xf>
    <xf numFmtId="0" fontId="0" fillId="0" borderId="4" xfId="0" quotePrefix="1" applyBorder="1" applyAlignment="1">
      <alignment horizontal="center"/>
    </xf>
    <xf numFmtId="9" fontId="0" fillId="0" borderId="0" xfId="0" applyNumberFormat="1" applyAlignment="1">
      <alignment horizontal="center"/>
    </xf>
    <xf numFmtId="37" fontId="0" fillId="0" borderId="0" xfId="2" applyNumberFormat="1" applyFont="1" applyAlignment="1">
      <alignment horizontal="center"/>
    </xf>
    <xf numFmtId="9" fontId="7" fillId="0" borderId="0" xfId="1" applyAlignment="1">
      <alignment horizontal="center"/>
    </xf>
    <xf numFmtId="164" fontId="0" fillId="0" borderId="0" xfId="0" applyNumberFormat="1"/>
    <xf numFmtId="0" fontId="5" fillId="18" borderId="0" xfId="0" applyFont="1" applyFill="1" applyAlignment="1">
      <alignment vertical="center"/>
    </xf>
    <xf numFmtId="0" fontId="8" fillId="18" borderId="0" xfId="0" applyFont="1" applyFill="1" applyAlignment="1">
      <alignment vertical="center"/>
    </xf>
    <xf numFmtId="0" fontId="1" fillId="18" borderId="0" xfId="0" applyFont="1" applyFill="1" applyAlignment="1">
      <alignment vertical="center"/>
    </xf>
    <xf numFmtId="0" fontId="41" fillId="18" borderId="0" xfId="0" applyFont="1" applyFill="1" applyAlignment="1">
      <alignment vertical="center"/>
    </xf>
    <xf numFmtId="0" fontId="8" fillId="18" borderId="0" xfId="0" applyFont="1" applyFill="1"/>
    <xf numFmtId="0" fontId="42" fillId="11" borderId="0" xfId="0" applyFont="1" applyFill="1"/>
    <xf numFmtId="0" fontId="39" fillId="11" borderId="14" xfId="0" applyFont="1" applyFill="1" applyBorder="1" applyAlignment="1">
      <alignment horizontal="right"/>
    </xf>
    <xf numFmtId="164" fontId="39" fillId="11" borderId="15" xfId="0" applyNumberFormat="1" applyFont="1" applyFill="1" applyBorder="1" applyAlignment="1">
      <alignment horizontal="center"/>
    </xf>
    <xf numFmtId="0" fontId="39" fillId="11" borderId="14" xfId="0" applyFont="1" applyFill="1" applyBorder="1" applyAlignment="1">
      <alignment horizontal="center"/>
    </xf>
    <xf numFmtId="0" fontId="39" fillId="0" borderId="16" xfId="0" applyFont="1" applyBorder="1" applyAlignment="1">
      <alignment horizontal="center"/>
    </xf>
    <xf numFmtId="0" fontId="42" fillId="0" borderId="0" xfId="0" applyFont="1"/>
    <xf numFmtId="0" fontId="2" fillId="19" borderId="14" xfId="0" applyFont="1" applyFill="1" applyBorder="1"/>
    <xf numFmtId="0" fontId="0" fillId="19" borderId="15" xfId="0" applyFill="1" applyBorder="1"/>
    <xf numFmtId="0" fontId="4" fillId="20" borderId="3" xfId="0" applyFont="1" applyFill="1" applyBorder="1" applyAlignment="1">
      <alignment horizontal="centerContinuous"/>
    </xf>
    <xf numFmtId="0" fontId="0" fillId="20" borderId="5" xfId="0" applyFill="1" applyBorder="1" applyAlignment="1">
      <alignment horizontal="centerContinuous"/>
    </xf>
    <xf numFmtId="0" fontId="4" fillId="20" borderId="4" xfId="0" applyFont="1" applyFill="1" applyBorder="1" applyAlignment="1">
      <alignment horizontal="centerContinuous"/>
    </xf>
    <xf numFmtId="0" fontId="2" fillId="20" borderId="4" xfId="0" applyFont="1" applyFill="1" applyBorder="1" applyAlignment="1">
      <alignment horizontal="centerContinuous"/>
    </xf>
    <xf numFmtId="0" fontId="2" fillId="20" borderId="5" xfId="0" applyFont="1" applyFill="1" applyBorder="1" applyAlignment="1">
      <alignment horizontal="centerContinuous"/>
    </xf>
    <xf numFmtId="0" fontId="2" fillId="20" borderId="2" xfId="0" applyFont="1" applyFill="1" applyBorder="1" applyAlignment="1">
      <alignment horizontal="center" vertical="center"/>
    </xf>
    <xf numFmtId="0" fontId="2" fillId="20" borderId="6" xfId="0" applyFont="1" applyFill="1" applyBorder="1" applyAlignment="1">
      <alignment horizontal="center" vertical="center"/>
    </xf>
    <xf numFmtId="0" fontId="2" fillId="20" borderId="1" xfId="0" applyFont="1" applyFill="1" applyBorder="1" applyAlignment="1">
      <alignment horizontal="center" vertical="center"/>
    </xf>
    <xf numFmtId="0" fontId="2" fillId="20" borderId="1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14" xfId="0" applyFont="1" applyFill="1" applyBorder="1" applyAlignment="1">
      <alignment horizontal="centerContinuous"/>
    </xf>
    <xf numFmtId="0" fontId="0" fillId="20" borderId="15" xfId="0" applyFill="1" applyBorder="1" applyAlignment="1">
      <alignment horizontal="centerContinuous"/>
    </xf>
    <xf numFmtId="3" fontId="2" fillId="20" borderId="14" xfId="0" applyNumberFormat="1" applyFont="1" applyFill="1" applyBorder="1" applyAlignment="1">
      <alignment horizontal="center"/>
    </xf>
    <xf numFmtId="3" fontId="2" fillId="20" borderId="15" xfId="0" applyNumberFormat="1" applyFont="1" applyFill="1" applyBorder="1" applyAlignment="1">
      <alignment horizontal="center"/>
    </xf>
    <xf numFmtId="3" fontId="2" fillId="20" borderId="16" xfId="0" applyNumberFormat="1" applyFont="1" applyFill="1" applyBorder="1"/>
    <xf numFmtId="3" fontId="2" fillId="20" borderId="15" xfId="0" applyNumberFormat="1" applyFont="1" applyFill="1" applyBorder="1"/>
    <xf numFmtId="0" fontId="2" fillId="10" borderId="3" xfId="0" applyFont="1" applyFill="1" applyBorder="1" applyAlignment="1">
      <alignment horizontal="center"/>
    </xf>
    <xf numFmtId="0" fontId="2" fillId="10" borderId="16" xfId="0" quotePrefix="1" applyFont="1" applyFill="1" applyBorder="1" applyAlignment="1">
      <alignment horizontal="centerContinuous"/>
    </xf>
    <xf numFmtId="0" fontId="2" fillId="10" borderId="16" xfId="0" applyFont="1" applyFill="1" applyBorder="1" applyAlignment="1">
      <alignment horizontal="centerContinuous"/>
    </xf>
    <xf numFmtId="0" fontId="2" fillId="10" borderId="15" xfId="0" applyFont="1" applyFill="1" applyBorder="1" applyAlignment="1">
      <alignment horizontal="centerContinuous"/>
    </xf>
    <xf numFmtId="0" fontId="2" fillId="10" borderId="8" xfId="0" applyFont="1" applyFill="1" applyBorder="1" applyAlignment="1">
      <alignment horizontal="center" vertical="center"/>
    </xf>
    <xf numFmtId="0" fontId="2" fillId="10" borderId="0" xfId="0" applyFont="1" applyFill="1" applyAlignment="1">
      <alignment horizontal="center" vertical="center"/>
    </xf>
    <xf numFmtId="0" fontId="2" fillId="10" borderId="9" xfId="0" applyFont="1" applyFill="1" applyBorder="1" applyAlignment="1">
      <alignment horizontal="center" vertical="center"/>
    </xf>
    <xf numFmtId="3" fontId="2" fillId="0" borderId="3" xfId="0" applyNumberFormat="1" applyFont="1" applyBorder="1" applyAlignment="1">
      <alignment horizontal="center"/>
    </xf>
    <xf numFmtId="3" fontId="0" fillId="0" borderId="8" xfId="0" applyNumberFormat="1" applyFont="1" applyBorder="1" applyAlignment="1">
      <alignment horizontal="center"/>
    </xf>
    <xf numFmtId="9" fontId="0" fillId="0" borderId="2" xfId="1" applyFont="1" applyBorder="1" applyAlignment="1">
      <alignment horizontal="center"/>
    </xf>
    <xf numFmtId="9" fontId="0" fillId="0" borderId="8" xfId="1" applyFont="1" applyBorder="1" applyAlignment="1">
      <alignment horizontal="center"/>
    </xf>
    <xf numFmtId="3" fontId="2" fillId="0" borderId="8" xfId="0" applyNumberFormat="1" applyFont="1" applyBorder="1" applyAlignment="1">
      <alignment horizontal="center"/>
    </xf>
    <xf numFmtId="3" fontId="0" fillId="0" borderId="0" xfId="0" applyNumberFormat="1" applyFont="1" applyAlignment="1">
      <alignment horizontal="center"/>
    </xf>
    <xf numFmtId="3" fontId="0" fillId="0" borderId="9"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9" fontId="0" fillId="0" borderId="1" xfId="1" applyFont="1" applyBorder="1" applyAlignment="1">
      <alignment horizontal="center"/>
    </xf>
    <xf numFmtId="9" fontId="0" fillId="0" borderId="6" xfId="1" applyFont="1" applyBorder="1" applyAlignment="1">
      <alignment horizontal="center"/>
    </xf>
    <xf numFmtId="3" fontId="2" fillId="0" borderId="0" xfId="0" applyNumberFormat="1" applyFont="1" applyAlignment="1">
      <alignment horizontal="center"/>
    </xf>
    <xf numFmtId="3" fontId="2" fillId="0" borderId="9" xfId="0" applyNumberFormat="1" applyFont="1" applyBorder="1" applyAlignment="1">
      <alignment horizontal="center"/>
    </xf>
    <xf numFmtId="3" fontId="0" fillId="3" borderId="10" xfId="0" applyNumberFormat="1" applyFill="1" applyBorder="1"/>
    <xf numFmtId="3" fontId="39" fillId="11" borderId="16" xfId="0" applyNumberFormat="1" applyFont="1" applyFill="1" applyBorder="1" applyAlignment="1">
      <alignment horizontal="center"/>
    </xf>
    <xf numFmtId="3" fontId="0" fillId="0" borderId="15" xfId="0" applyNumberFormat="1" applyBorder="1" applyAlignment="1">
      <alignment horizontal="center"/>
    </xf>
    <xf numFmtId="3" fontId="0" fillId="0" borderId="9" xfId="0" quotePrefix="1" applyNumberForma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27" fillId="0" borderId="0" xfId="0" quotePrefix="1" applyFont="1" applyAlignment="1">
      <alignment horizontal="center" vertical="center"/>
    </xf>
    <xf numFmtId="0" fontId="0" fillId="0" borderId="0" xfId="0" applyAlignment="1">
      <alignment horizontal="center" vertical="center"/>
    </xf>
    <xf numFmtId="0" fontId="20"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3"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3" fontId="0" fillId="0" borderId="9" xfId="0" applyNumberFormat="1" applyBorder="1" applyAlignment="1">
      <alignment horizontal="center" vertical="center"/>
    </xf>
    <xf numFmtId="0" fontId="2" fillId="21" borderId="3" xfId="0" applyFont="1" applyFill="1" applyBorder="1" applyAlignment="1">
      <alignment horizontal="center" vertical="center"/>
    </xf>
    <xf numFmtId="0" fontId="0" fillId="21" borderId="5" xfId="0" applyFill="1" applyBorder="1" applyAlignment="1">
      <alignment horizontal="center" vertical="center"/>
    </xf>
    <xf numFmtId="0" fontId="0" fillId="21" borderId="2" xfId="0" applyFill="1" applyBorder="1" applyAlignment="1">
      <alignment horizontal="center" vertical="center"/>
    </xf>
    <xf numFmtId="0" fontId="0" fillId="21" borderId="6" xfId="0" applyFill="1" applyBorder="1" applyAlignment="1">
      <alignment horizontal="center" vertical="center"/>
    </xf>
    <xf numFmtId="0" fontId="0" fillId="0" borderId="0" xfId="0" applyAlignment="1">
      <alignment vertical="center"/>
    </xf>
    <xf numFmtId="3" fontId="0" fillId="0" borderId="0" xfId="0" applyNumberFormat="1" applyAlignment="1">
      <alignment horizontal="right" vertical="center"/>
    </xf>
    <xf numFmtId="0" fontId="0" fillId="0" borderId="0" xfId="0" applyAlignment="1">
      <alignment horizontal="right" vertical="center"/>
    </xf>
    <xf numFmtId="0" fontId="36" fillId="0" borderId="23" xfId="0" applyFont="1" applyBorder="1" applyAlignment="1">
      <alignment vertical="center" wrapText="1"/>
    </xf>
    <xf numFmtId="0" fontId="36" fillId="0" borderId="0" xfId="0" applyFont="1" applyAlignment="1">
      <alignment vertical="center" wrapText="1"/>
    </xf>
    <xf numFmtId="0" fontId="36" fillId="0" borderId="3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35" xfId="0" applyFont="1" applyBorder="1" applyAlignment="1">
      <alignment vertical="center" wrapText="1"/>
    </xf>
    <xf numFmtId="0" fontId="30" fillId="0" borderId="21" xfId="0" applyFont="1" applyBorder="1" applyAlignment="1">
      <alignment horizontal="center" vertical="center" wrapText="1"/>
    </xf>
    <xf numFmtId="0" fontId="30" fillId="0" borderId="20" xfId="0" applyFont="1" applyBorder="1" applyAlignment="1">
      <alignment vertical="center"/>
    </xf>
    <xf numFmtId="0" fontId="30" fillId="0" borderId="21" xfId="0" applyFont="1" applyBorder="1" applyAlignment="1">
      <alignment vertical="center"/>
    </xf>
    <xf numFmtId="0" fontId="30" fillId="0" borderId="23" xfId="0" applyFont="1" applyBorder="1" applyAlignment="1">
      <alignment vertical="center" wrapText="1"/>
    </xf>
    <xf numFmtId="0" fontId="30" fillId="0" borderId="0" xfId="0" applyFont="1" applyAlignment="1">
      <alignment vertical="center" wrapText="1"/>
    </xf>
    <xf numFmtId="0" fontId="30" fillId="0" borderId="34" xfId="0" applyFont="1" applyBorder="1" applyAlignment="1">
      <alignmen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1CFD0"/>
      <color rgb="FFE29EA0"/>
      <color rgb="FFBA383B"/>
      <color rgb="FF8D2B2E"/>
      <color rgb="FF5E1C1E"/>
      <color rgb="FF98B1CC"/>
      <color rgb="FFFFCCFF"/>
      <color rgb="FFFF99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u="none">
                <a:solidFill>
                  <a:schemeClr val="tx1"/>
                </a:solidFill>
              </a:rPr>
              <a:t>Current Fishery Distribution</a:t>
            </a:r>
            <a:r>
              <a:rPr lang="en-US" sz="1400" b="1" u="none" baseline="0">
                <a:solidFill>
                  <a:schemeClr val="tx1"/>
                </a:solidFill>
              </a:rPr>
              <a:t> </a:t>
            </a:r>
          </a:p>
          <a:p>
            <a:pPr>
              <a:defRPr b="1">
                <a:solidFill>
                  <a:schemeClr val="tx1"/>
                </a:solidFill>
              </a:defRPr>
            </a:pPr>
            <a:r>
              <a:rPr lang="en-US" sz="1400" b="1" u="none" baseline="0">
                <a:solidFill>
                  <a:schemeClr val="tx1"/>
                </a:solidFill>
              </a:rPr>
              <a:t>Wild/Natl. Exploitation Rate)</a:t>
            </a:r>
            <a:endParaRPr lang="en-US" sz="1400" b="1" u="none">
              <a:solidFill>
                <a:schemeClr val="tx1"/>
              </a:solidFill>
            </a:endParaRPr>
          </a:p>
        </c:rich>
      </c:tx>
      <c:layout>
        <c:manualLayout>
          <c:xMode val="edge"/>
          <c:yMode val="edge"/>
          <c:x val="0.24297968785100355"/>
          <c:y val="1.990100226583801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0830317815830296"/>
          <c:y val="0.21702656558625"/>
          <c:w val="0.52861572084149822"/>
          <c:h val="0.74068090363319639"/>
        </c:manualLayout>
      </c:layout>
      <c:pieChart>
        <c:varyColors val="1"/>
        <c:ser>
          <c:idx val="0"/>
          <c:order val="0"/>
          <c:spPr>
            <a:ln w="3175"/>
          </c:spPr>
          <c:dPt>
            <c:idx val="0"/>
            <c:bubble3D val="0"/>
            <c:spPr>
              <a:solidFill>
                <a:srgbClr val="8D2B2E"/>
              </a:solidFill>
              <a:ln w="3175">
                <a:solidFill>
                  <a:schemeClr val="lt1"/>
                </a:solidFill>
              </a:ln>
              <a:effectLst/>
            </c:spPr>
            <c:extLst>
              <c:ext xmlns:c16="http://schemas.microsoft.com/office/drawing/2014/chart" uri="{C3380CC4-5D6E-409C-BE32-E72D297353CC}">
                <c16:uniqueId val="{00000001-76FB-4DD4-B259-DACF89218386}"/>
              </c:ext>
            </c:extLst>
          </c:dPt>
          <c:dPt>
            <c:idx val="1"/>
            <c:bubble3D val="0"/>
            <c:spPr>
              <a:solidFill>
                <a:srgbClr val="5E1C1E"/>
              </a:solidFill>
              <a:ln w="3175">
                <a:solidFill>
                  <a:schemeClr val="lt1"/>
                </a:solidFill>
              </a:ln>
              <a:effectLst/>
            </c:spPr>
            <c:extLst>
              <c:ext xmlns:c16="http://schemas.microsoft.com/office/drawing/2014/chart" uri="{C3380CC4-5D6E-409C-BE32-E72D297353CC}">
                <c16:uniqueId val="{00000003-76FB-4DD4-B259-DACF89218386}"/>
              </c:ext>
            </c:extLst>
          </c:dPt>
          <c:dPt>
            <c:idx val="2"/>
            <c:bubble3D val="0"/>
            <c:spPr>
              <a:solidFill>
                <a:srgbClr val="BA383B"/>
              </a:solidFill>
              <a:ln w="3175">
                <a:solidFill>
                  <a:schemeClr val="lt1"/>
                </a:solidFill>
              </a:ln>
              <a:effectLst/>
            </c:spPr>
            <c:extLst>
              <c:ext xmlns:c16="http://schemas.microsoft.com/office/drawing/2014/chart" uri="{C3380CC4-5D6E-409C-BE32-E72D297353CC}">
                <c16:uniqueId val="{00000005-76FB-4DD4-B259-DACF89218386}"/>
              </c:ext>
            </c:extLst>
          </c:dPt>
          <c:dLbls>
            <c:dLbl>
              <c:idx val="0"/>
              <c:layout>
                <c:manualLayout>
                  <c:x val="8.710618533542035E-3"/>
                  <c:y val="-3.051699077157359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FB-4DD4-B259-DACF89218386}"/>
                </c:ext>
              </c:extLst>
            </c:dLbl>
            <c:dLbl>
              <c:idx val="1"/>
              <c:layout>
                <c:manualLayout>
                  <c:x val="1.7702462161290254E-2"/>
                  <c:y val="-8.780080447796827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FB-4DD4-B259-DACF89218386}"/>
                </c:ext>
              </c:extLst>
            </c:dLbl>
            <c:dLbl>
              <c:idx val="2"/>
              <c:layout>
                <c:manualLayout>
                  <c:x val="3.5332054328200184E-2"/>
                  <c:y val="2.938524369226792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FB-4DD4-B259-DACF8921838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Summary!$AB$6:$AB$8</c:f>
              <c:strCache>
                <c:ptCount val="3"/>
                <c:pt idx="0">
                  <c:v>Mainstem Non-treaty</c:v>
                </c:pt>
                <c:pt idx="1">
                  <c:v>Mainstem Treaty</c:v>
                </c:pt>
                <c:pt idx="2">
                  <c:v>Terminal</c:v>
                </c:pt>
              </c:strCache>
            </c:strRef>
          </c:cat>
          <c:val>
            <c:numRef>
              <c:f>Summary!$AC$6:$AC$8</c:f>
              <c:numCache>
                <c:formatCode>0.0%</c:formatCode>
                <c:ptCount val="3"/>
                <c:pt idx="0">
                  <c:v>1.2E-2</c:v>
                </c:pt>
                <c:pt idx="1">
                  <c:v>6.3E-2</c:v>
                </c:pt>
                <c:pt idx="2" formatCode="0%">
                  <c:v>0.02</c:v>
                </c:pt>
              </c:numCache>
            </c:numRef>
          </c:val>
          <c:extLst>
            <c:ext xmlns:c16="http://schemas.microsoft.com/office/drawing/2014/chart" uri="{C3380CC4-5D6E-409C-BE32-E72D297353CC}">
              <c16:uniqueId val="{0000000E-76FB-4DD4-B259-DACF89218386}"/>
            </c:ext>
          </c:extLst>
        </c:ser>
        <c:dLbls>
          <c:showLegendKey val="0"/>
          <c:showVal val="1"/>
          <c:showCatName val="0"/>
          <c:showSerName val="0"/>
          <c:showPercent val="0"/>
          <c:showBubbleSize val="0"/>
          <c:showLeaderLines val="0"/>
        </c:dLbls>
        <c:firstSliceAng val="278"/>
      </c:pieChart>
      <c:spPr>
        <a:noFill/>
        <a:ln w="63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320" b="1" i="0" u="none" strike="noStrike" kern="1200" spc="0" baseline="0">
                <a:solidFill>
                  <a:schemeClr val="tx1"/>
                </a:solidFill>
                <a:latin typeface="+mn-lt"/>
                <a:ea typeface="+mn-ea"/>
                <a:cs typeface="+mn-cs"/>
              </a:defRPr>
            </a:pPr>
            <a:r>
              <a:rPr lang="en-US"/>
              <a:t>Current Hatchery</a:t>
            </a:r>
          </a:p>
          <a:p>
            <a:pPr>
              <a:defRPr/>
            </a:pPr>
            <a:r>
              <a:rPr lang="en-US"/>
              <a:t>Production (Smolts)</a:t>
            </a:r>
          </a:p>
        </c:rich>
      </c:tx>
      <c:layout>
        <c:manualLayout>
          <c:xMode val="edge"/>
          <c:yMode val="edge"/>
          <c:x val="0.41455420752315214"/>
          <c:y val="2.2042183237453532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32388997975042277"/>
          <c:y val="0.18866162450034951"/>
          <c:w val="0.47272721154972458"/>
          <c:h val="0.72580443620449664"/>
        </c:manualLayout>
      </c:layout>
      <c:pieChart>
        <c:varyColors val="1"/>
        <c:ser>
          <c:idx val="0"/>
          <c:order val="0"/>
          <c:spPr>
            <a:ln w="3175">
              <a:solidFill>
                <a:schemeClr val="bg1"/>
              </a:solidFill>
            </a:ln>
          </c:spPr>
          <c:dPt>
            <c:idx val="0"/>
            <c:bubble3D val="0"/>
            <c:spPr>
              <a:solidFill>
                <a:schemeClr val="accent2">
                  <a:shade val="47000"/>
                </a:schemeClr>
              </a:solidFill>
              <a:ln w="3175">
                <a:solidFill>
                  <a:schemeClr val="bg1"/>
                </a:solidFill>
              </a:ln>
              <a:effectLst/>
            </c:spPr>
            <c:extLst>
              <c:ext xmlns:c16="http://schemas.microsoft.com/office/drawing/2014/chart" uri="{C3380CC4-5D6E-409C-BE32-E72D297353CC}">
                <c16:uniqueId val="{00000001-76FB-4DD4-B259-DACF89218386}"/>
              </c:ext>
            </c:extLst>
          </c:dPt>
          <c:dPt>
            <c:idx val="1"/>
            <c:bubble3D val="0"/>
            <c:spPr>
              <a:solidFill>
                <a:schemeClr val="accent2">
                  <a:shade val="65000"/>
                </a:schemeClr>
              </a:solidFill>
              <a:ln w="3175">
                <a:solidFill>
                  <a:schemeClr val="bg1"/>
                </a:solidFill>
              </a:ln>
              <a:effectLst/>
            </c:spPr>
            <c:extLst>
              <c:ext xmlns:c16="http://schemas.microsoft.com/office/drawing/2014/chart" uri="{C3380CC4-5D6E-409C-BE32-E72D297353CC}">
                <c16:uniqueId val="{00000003-76FB-4DD4-B259-DACF89218386}"/>
              </c:ext>
            </c:extLst>
          </c:dPt>
          <c:dPt>
            <c:idx val="2"/>
            <c:bubble3D val="0"/>
            <c:spPr>
              <a:solidFill>
                <a:schemeClr val="accent2">
                  <a:shade val="82000"/>
                </a:schemeClr>
              </a:solidFill>
              <a:ln w="3175">
                <a:solidFill>
                  <a:schemeClr val="bg1"/>
                </a:solidFill>
              </a:ln>
              <a:effectLst/>
            </c:spPr>
            <c:extLst>
              <c:ext xmlns:c16="http://schemas.microsoft.com/office/drawing/2014/chart" uri="{C3380CC4-5D6E-409C-BE32-E72D297353CC}">
                <c16:uniqueId val="{00000005-76FB-4DD4-B259-DACF89218386}"/>
              </c:ext>
            </c:extLst>
          </c:dPt>
          <c:dPt>
            <c:idx val="3"/>
            <c:bubble3D val="0"/>
            <c:spPr>
              <a:solidFill>
                <a:schemeClr val="accent2">
                  <a:tint val="83000"/>
                </a:schemeClr>
              </a:solidFill>
              <a:ln w="3175">
                <a:solidFill>
                  <a:schemeClr val="bg1"/>
                </a:solidFill>
              </a:ln>
              <a:effectLst/>
            </c:spPr>
            <c:extLst>
              <c:ext xmlns:c16="http://schemas.microsoft.com/office/drawing/2014/chart" uri="{C3380CC4-5D6E-409C-BE32-E72D297353CC}">
                <c16:uniqueId val="{00000007-76FB-4DD4-B259-DACF89218386}"/>
              </c:ext>
            </c:extLst>
          </c:dPt>
          <c:dPt>
            <c:idx val="4"/>
            <c:bubble3D val="0"/>
            <c:spPr>
              <a:solidFill>
                <a:schemeClr val="accent2">
                  <a:tint val="65000"/>
                </a:schemeClr>
              </a:solidFill>
              <a:ln w="3175">
                <a:solidFill>
                  <a:schemeClr val="bg1"/>
                </a:solidFill>
              </a:ln>
              <a:effectLst/>
            </c:spPr>
            <c:extLst>
              <c:ext xmlns:c16="http://schemas.microsoft.com/office/drawing/2014/chart" uri="{C3380CC4-5D6E-409C-BE32-E72D297353CC}">
                <c16:uniqueId val="{00000009-76FB-4DD4-B259-DACF89218386}"/>
              </c:ext>
            </c:extLst>
          </c:dPt>
          <c:dPt>
            <c:idx val="5"/>
            <c:bubble3D val="0"/>
            <c:spPr>
              <a:solidFill>
                <a:schemeClr val="accent2">
                  <a:tint val="48000"/>
                </a:schemeClr>
              </a:solidFill>
              <a:ln w="3175">
                <a:solidFill>
                  <a:schemeClr val="bg1"/>
                </a:solidFill>
              </a:ln>
              <a:effectLst/>
            </c:spPr>
            <c:extLst>
              <c:ext xmlns:c16="http://schemas.microsoft.com/office/drawing/2014/chart" uri="{C3380CC4-5D6E-409C-BE32-E72D297353CC}">
                <c16:uniqueId val="{0000000B-76FB-4DD4-B259-DACF89218386}"/>
              </c:ext>
            </c:extLst>
          </c:dPt>
          <c:dLbls>
            <c:dLbl>
              <c:idx val="0"/>
              <c:layout>
                <c:manualLayout>
                  <c:x val="1.0165796699628047E-3"/>
                  <c:y val="1.127180946605977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FB-4DD4-B259-DACF89218386}"/>
                </c:ext>
              </c:extLst>
            </c:dLbl>
            <c:dLbl>
              <c:idx val="1"/>
              <c:layout>
                <c:manualLayout>
                  <c:x val="0.15858075047301237"/>
                  <c:y val="0.15991052294932012"/>
                </c:manualLayout>
              </c:layout>
              <c:showLegendKey val="0"/>
              <c:showVal val="1"/>
              <c:showCatName val="1"/>
              <c:showSerName val="0"/>
              <c:showPercent val="0"/>
              <c:showBubbleSize val="0"/>
              <c:extLst>
                <c:ext xmlns:c15="http://schemas.microsoft.com/office/drawing/2012/chart" uri="{CE6537A1-D6FC-4f65-9D91-7224C49458BB}">
                  <c15:layout>
                    <c:manualLayout>
                      <c:w val="0.27037654455863852"/>
                      <c:h val="0.17751501643307771"/>
                    </c:manualLayout>
                  </c15:layout>
                </c:ext>
                <c:ext xmlns:c16="http://schemas.microsoft.com/office/drawing/2014/chart" uri="{C3380CC4-5D6E-409C-BE32-E72D297353CC}">
                  <c16:uniqueId val="{00000003-76FB-4DD4-B259-DACF89218386}"/>
                </c:ext>
              </c:extLst>
            </c:dLbl>
            <c:dLbl>
              <c:idx val="2"/>
              <c:layout>
                <c:manualLayout>
                  <c:x val="8.7593248682852169E-3"/>
                  <c:y val="6.062044353004271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FB-4DD4-B259-DACF89218386}"/>
                </c:ext>
              </c:extLst>
            </c:dLbl>
            <c:dLbl>
              <c:idx val="3"/>
              <c:layout>
                <c:manualLayout>
                  <c:x val="2.46062120714735E-2"/>
                  <c:y val="-1.5035363237619469E-16"/>
                </c:manualLayout>
              </c:layout>
              <c:showLegendKey val="0"/>
              <c:showVal val="1"/>
              <c:showCatName val="1"/>
              <c:showSerName val="0"/>
              <c:showPercent val="0"/>
              <c:showBubbleSize val="0"/>
              <c:extLst>
                <c:ext xmlns:c15="http://schemas.microsoft.com/office/drawing/2012/chart" uri="{CE6537A1-D6FC-4f65-9D91-7224C49458BB}">
                  <c15:layout>
                    <c:manualLayout>
                      <c:w val="0.53378255752013437"/>
                      <c:h val="0.10370419878938636"/>
                    </c:manualLayout>
                  </c15:layout>
                </c:ext>
                <c:ext xmlns:c16="http://schemas.microsoft.com/office/drawing/2014/chart" uri="{C3380CC4-5D6E-409C-BE32-E72D297353CC}">
                  <c16:uniqueId val="{00000007-76FB-4DD4-B259-DACF89218386}"/>
                </c:ext>
              </c:extLst>
            </c:dLbl>
            <c:dLbl>
              <c:idx val="4"/>
              <c:layout>
                <c:manualLayout>
                  <c:x val="1.6199872096864808E-2"/>
                  <c:y val="-2.958115428365891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FB-4DD4-B259-DACF89218386}"/>
                </c:ext>
              </c:extLst>
            </c:dLbl>
            <c:dLbl>
              <c:idx val="5"/>
              <c:delete val="1"/>
              <c:extLst>
                <c:ext xmlns:c15="http://schemas.microsoft.com/office/drawing/2012/chart" uri="{CE6537A1-D6FC-4f65-9D91-7224C49458BB}"/>
                <c:ext xmlns:c16="http://schemas.microsoft.com/office/drawing/2014/chart" uri="{C3380CC4-5D6E-409C-BE32-E72D297353CC}">
                  <c16:uniqueId val="{0000000B-76FB-4DD4-B259-DACF89218386}"/>
                </c:ext>
              </c:extLst>
            </c:dLbl>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Summary!$S$31:$S$36</c:f>
              <c:strCache>
                <c:ptCount val="6"/>
                <c:pt idx="0">
                  <c:v>Klickitat (Skamania)</c:v>
                </c:pt>
                <c:pt idx="1">
                  <c:v>Deschutes (Round Butte)</c:v>
                </c:pt>
                <c:pt idx="2">
                  <c:v>Umatilla (Umatilla)</c:v>
                </c:pt>
                <c:pt idx="3">
                  <c:v>Walla Walla (Lyons Ferry)</c:v>
                </c:pt>
                <c:pt idx="4">
                  <c:v>Touchet (Lyons Ferry)</c:v>
                </c:pt>
                <c:pt idx="5">
                  <c:v>Yakima    </c:v>
                </c:pt>
              </c:strCache>
            </c:strRef>
          </c:cat>
          <c:val>
            <c:numRef>
              <c:f>Summary!$V$31:$V$36</c:f>
              <c:numCache>
                <c:formatCode>#,##0</c:formatCode>
                <c:ptCount val="6"/>
                <c:pt idx="0">
                  <c:v>90000</c:v>
                </c:pt>
                <c:pt idx="1">
                  <c:v>220000</c:v>
                </c:pt>
                <c:pt idx="2">
                  <c:v>150000</c:v>
                </c:pt>
                <c:pt idx="3">
                  <c:v>100000</c:v>
                </c:pt>
                <c:pt idx="4">
                  <c:v>50000</c:v>
                </c:pt>
                <c:pt idx="5">
                  <c:v>0</c:v>
                </c:pt>
              </c:numCache>
            </c:numRef>
          </c:val>
          <c:extLst>
            <c:ext xmlns:c16="http://schemas.microsoft.com/office/drawing/2014/chart" uri="{C3380CC4-5D6E-409C-BE32-E72D297353CC}">
              <c16:uniqueId val="{0000000E-76FB-4DD4-B259-DACF89218386}"/>
            </c:ext>
          </c:extLst>
        </c:ser>
        <c:dLbls>
          <c:showLegendKey val="0"/>
          <c:showVal val="1"/>
          <c:showCatName val="0"/>
          <c:showSerName val="0"/>
          <c:showPercent val="0"/>
          <c:showBubbleSize val="0"/>
          <c:showLeaderLines val="0"/>
        </c:dLbls>
        <c:firstSliceAng val="253"/>
      </c:pieChart>
      <c:spPr>
        <a:noFill/>
        <a:ln w="63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1">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0150536406558"/>
          <c:y val="3.8302696212420898E-2"/>
          <c:w val="0.87062751976531683"/>
          <c:h val="0.78987376713990631"/>
        </c:manualLayout>
      </c:layout>
      <c:barChart>
        <c:barDir val="col"/>
        <c:grouping val="stacked"/>
        <c:varyColors val="0"/>
        <c:ser>
          <c:idx val="0"/>
          <c:order val="0"/>
          <c:tx>
            <c:v>Mid-Col destination</c:v>
          </c:tx>
          <c:spPr>
            <a:solidFill>
              <a:srgbClr val="5E1C1E"/>
            </a:solidFill>
            <a:ln>
              <a:solidFill>
                <a:schemeClr val="tx1"/>
              </a:solidFill>
            </a:ln>
            <a:effectLst/>
          </c:spPr>
          <c:invertIfNegative val="0"/>
          <c:cat>
            <c:numRef>
              <c:f>Runs!$A$6:$A$84</c:f>
              <c:numCache>
                <c:formatCode>General</c:formatCode>
                <c:ptCount val="5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numCache>
            </c:numRef>
          </c:cat>
          <c:val>
            <c:numRef>
              <c:f>Runs!$T$6:$T$84</c:f>
              <c:numCache>
                <c:formatCode>#,##0</c:formatCode>
                <c:ptCount val="55"/>
                <c:pt idx="0">
                  <c:v>38395</c:v>
                </c:pt>
                <c:pt idx="1">
                  <c:v>39639.069426741051</c:v>
                </c:pt>
                <c:pt idx="2">
                  <c:v>48500.404406975904</c:v>
                </c:pt>
                <c:pt idx="3">
                  <c:v>88336.574080720413</c:v>
                </c:pt>
                <c:pt idx="4">
                  <c:v>43173.15199581044</c:v>
                </c:pt>
                <c:pt idx="5">
                  <c:v>62633.007164944567</c:v>
                </c:pt>
                <c:pt idx="6">
                  <c:v>5117.7017648143974</c:v>
                </c:pt>
                <c:pt idx="7">
                  <c:v>63453.335834338432</c:v>
                </c:pt>
                <c:pt idx="8">
                  <c:v>46241.378127803808</c:v>
                </c:pt>
                <c:pt idx="9">
                  <c:v>103902.86436951018</c:v>
                </c:pt>
                <c:pt idx="10">
                  <c:v>102973.45052425057</c:v>
                </c:pt>
                <c:pt idx="11">
                  <c:v>103245.10047090969</c:v>
                </c:pt>
                <c:pt idx="12">
                  <c:v>119772.58544738159</c:v>
                </c:pt>
                <c:pt idx="13">
                  <c:v>64985.752508361198</c:v>
                </c:pt>
                <c:pt idx="14">
                  <c:v>87564.912642266645</c:v>
                </c:pt>
                <c:pt idx="15">
                  <c:v>114026.05985251244</c:v>
                </c:pt>
                <c:pt idx="16">
                  <c:v>65651.364263866592</c:v>
                </c:pt>
                <c:pt idx="17">
                  <c:v>79811.516521259298</c:v>
                </c:pt>
                <c:pt idx="18">
                  <c:v>65529.523859878813</c:v>
                </c:pt>
                <c:pt idx="19">
                  <c:v>105607.73624974878</c:v>
                </c:pt>
                <c:pt idx="20">
                  <c:v>67955.736275565127</c:v>
                </c:pt>
                <c:pt idx="21">
                  <c:v>81953.78546640079</c:v>
                </c:pt>
                <c:pt idx="22">
                  <c:v>154895.10590490571</c:v>
                </c:pt>
                <c:pt idx="23">
                  <c:v>121717.27749435013</c:v>
                </c:pt>
                <c:pt idx="24">
                  <c:v>173418.45594751718</c:v>
                </c:pt>
                <c:pt idx="25">
                  <c:v>179162.93606994624</c:v>
                </c:pt>
                <c:pt idx="26">
                  <c:v>123570.19343850116</c:v>
                </c:pt>
                <c:pt idx="27">
                  <c:v>78082.115784826892</c:v>
                </c:pt>
                <c:pt idx="28">
                  <c:v>104687.88426897906</c:v>
                </c:pt>
                <c:pt idx="29">
                  <c:v>107043.92180477761</c:v>
                </c:pt>
                <c:pt idx="30">
                  <c:v>105755.27878845604</c:v>
                </c:pt>
                <c:pt idx="31">
                  <c:v>92899.06194342165</c:v>
                </c:pt>
                <c:pt idx="32">
                  <c:v>95897.338459819235</c:v>
                </c:pt>
                <c:pt idx="33">
                  <c:v>93832.565461346632</c:v>
                </c:pt>
                <c:pt idx="34">
                  <c:v>86125.642932489442</c:v>
                </c:pt>
                <c:pt idx="35">
                  <c:v>131351.26445779213</c:v>
                </c:pt>
                <c:pt idx="36">
                  <c:v>93224.89519245633</c:v>
                </c:pt>
                <c:pt idx="37">
                  <c:v>99318.854949119268</c:v>
                </c:pt>
                <c:pt idx="38">
                  <c:v>111228.0109831954</c:v>
                </c:pt>
                <c:pt idx="39">
                  <c:v>286035.73922510573</c:v>
                </c:pt>
                <c:pt idx="40">
                  <c:v>226017.74939785484</c:v>
                </c:pt>
                <c:pt idx="41">
                  <c:v>112883.10481173516</c:v>
                </c:pt>
                <c:pt idx="42">
                  <c:v>87805.04367866728</c:v>
                </c:pt>
                <c:pt idx="43">
                  <c:v>108970.40377421824</c:v>
                </c:pt>
                <c:pt idx="44">
                  <c:v>157820.38765065436</c:v>
                </c:pt>
                <c:pt idx="45">
                  <c:v>101501.33414877951</c:v>
                </c:pt>
                <c:pt idx="46">
                  <c:v>122751.24659674923</c:v>
                </c:pt>
                <c:pt idx="47">
                  <c:v>153319.13934475023</c:v>
                </c:pt>
                <c:pt idx="48">
                  <c:v>115468.14823648067</c:v>
                </c:pt>
                <c:pt idx="49">
                  <c:v>93668.48369617053</c:v>
                </c:pt>
                <c:pt idx="50">
                  <c:v>79137.153427618337</c:v>
                </c:pt>
                <c:pt idx="51">
                  <c:v>65553.141041078765</c:v>
                </c:pt>
                <c:pt idx="52">
                  <c:v>102483.08612510096</c:v>
                </c:pt>
                <c:pt idx="53">
                  <c:v>80916.764927813696</c:v>
                </c:pt>
                <c:pt idx="54">
                  <c:v>57179.553798261186</c:v>
                </c:pt>
              </c:numCache>
            </c:numRef>
          </c:val>
          <c:extLst>
            <c:ext xmlns:c16="http://schemas.microsoft.com/office/drawing/2014/chart" uri="{C3380CC4-5D6E-409C-BE32-E72D297353CC}">
              <c16:uniqueId val="{00000000-8485-4310-9C46-B22F42B80B1F}"/>
            </c:ext>
          </c:extLst>
        </c:ser>
        <c:ser>
          <c:idx val="1"/>
          <c:order val="1"/>
          <c:tx>
            <c:v>U Col &amp; Snake R destination</c:v>
          </c:tx>
          <c:spPr>
            <a:solidFill>
              <a:srgbClr val="BA383B"/>
            </a:solidFill>
            <a:ln>
              <a:solidFill>
                <a:schemeClr val="tx1"/>
              </a:solidFill>
            </a:ln>
            <a:effectLst/>
          </c:spPr>
          <c:invertIfNegative val="0"/>
          <c:cat>
            <c:numRef>
              <c:f>Runs!$A$6:$A$84</c:f>
              <c:numCache>
                <c:formatCode>General</c:formatCode>
                <c:ptCount val="5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numCache>
            </c:numRef>
          </c:cat>
          <c:val>
            <c:numRef>
              <c:f>Runs!$U$6:$U$84</c:f>
              <c:numCache>
                <c:formatCode>#,##0</c:formatCode>
                <c:ptCount val="55"/>
                <c:pt idx="0">
                  <c:v>125630</c:v>
                </c:pt>
                <c:pt idx="1">
                  <c:v>89778.930573258956</c:v>
                </c:pt>
                <c:pt idx="2">
                  <c:v>68751.595593024103</c:v>
                </c:pt>
                <c:pt idx="3">
                  <c:v>78108.425919279587</c:v>
                </c:pt>
                <c:pt idx="4">
                  <c:v>100487.84800418955</c:v>
                </c:pt>
                <c:pt idx="5">
                  <c:v>59238.992835055433</c:v>
                </c:pt>
                <c:pt idx="6">
                  <c:v>101856.2982351856</c:v>
                </c:pt>
                <c:pt idx="7">
                  <c:v>78328.664165661568</c:v>
                </c:pt>
                <c:pt idx="8">
                  <c:v>67268.621872196192</c:v>
                </c:pt>
                <c:pt idx="9">
                  <c:v>90063.135630489822</c:v>
                </c:pt>
                <c:pt idx="10">
                  <c:v>82912.549475749431</c:v>
                </c:pt>
                <c:pt idx="11">
                  <c:v>54577.899529090311</c:v>
                </c:pt>
                <c:pt idx="12">
                  <c:v>17281.414552618415</c:v>
                </c:pt>
                <c:pt idx="13">
                  <c:v>20554.247491638802</c:v>
                </c:pt>
                <c:pt idx="14">
                  <c:v>36612.087357733355</c:v>
                </c:pt>
                <c:pt idx="15">
                  <c:v>79410.940147487563</c:v>
                </c:pt>
                <c:pt idx="16">
                  <c:v>38779.635736133408</c:v>
                </c:pt>
                <c:pt idx="17">
                  <c:v>34195.483478740702</c:v>
                </c:pt>
                <c:pt idx="18">
                  <c:v>63724.476140121187</c:v>
                </c:pt>
                <c:pt idx="19">
                  <c:v>53662.263750251223</c:v>
                </c:pt>
                <c:pt idx="20">
                  <c:v>89684.263724434873</c:v>
                </c:pt>
                <c:pt idx="21">
                  <c:v>131825.21453359921</c:v>
                </c:pt>
                <c:pt idx="22">
                  <c:v>160691.89409509429</c:v>
                </c:pt>
                <c:pt idx="23">
                  <c:v>222243.72250564987</c:v>
                </c:pt>
                <c:pt idx="24">
                  <c:v>206472.54405248282</c:v>
                </c:pt>
                <c:pt idx="25">
                  <c:v>123918.06393005376</c:v>
                </c:pt>
                <c:pt idx="26">
                  <c:v>155501.80656149884</c:v>
                </c:pt>
                <c:pt idx="27">
                  <c:v>209715.88421517311</c:v>
                </c:pt>
                <c:pt idx="28">
                  <c:v>78339.115731020938</c:v>
                </c:pt>
                <c:pt idx="29">
                  <c:v>167501.07819522239</c:v>
                </c:pt>
                <c:pt idx="30">
                  <c:v>209219.72121154395</c:v>
                </c:pt>
                <c:pt idx="31">
                  <c:v>95477.93805657835</c:v>
                </c:pt>
                <c:pt idx="32">
                  <c:v>66080.661540180765</c:v>
                </c:pt>
                <c:pt idx="33">
                  <c:v>108615.43453865337</c:v>
                </c:pt>
                <c:pt idx="34">
                  <c:v>119090.35706751056</c:v>
                </c:pt>
                <c:pt idx="35">
                  <c:v>127033.73554220787</c:v>
                </c:pt>
                <c:pt idx="36">
                  <c:v>91869.10480754367</c:v>
                </c:pt>
                <c:pt idx="37">
                  <c:v>107169.14505088073</c:v>
                </c:pt>
                <c:pt idx="38">
                  <c:v>163949.98901680461</c:v>
                </c:pt>
                <c:pt idx="39">
                  <c:v>347037.26077489427</c:v>
                </c:pt>
                <c:pt idx="40">
                  <c:v>254291.25060214516</c:v>
                </c:pt>
                <c:pt idx="41">
                  <c:v>252937.89518826484</c:v>
                </c:pt>
                <c:pt idx="42">
                  <c:v>225565.95632133272</c:v>
                </c:pt>
                <c:pt idx="43">
                  <c:v>206679.59622578177</c:v>
                </c:pt>
                <c:pt idx="44">
                  <c:v>181480.61234934564</c:v>
                </c:pt>
                <c:pt idx="45">
                  <c:v>223773.66585122049</c:v>
                </c:pt>
                <c:pt idx="46">
                  <c:v>235064.75340325077</c:v>
                </c:pt>
                <c:pt idx="47">
                  <c:v>451650.86065524979</c:v>
                </c:pt>
                <c:pt idx="48">
                  <c:v>301134.85176351934</c:v>
                </c:pt>
                <c:pt idx="49">
                  <c:v>275696.5163038295</c:v>
                </c:pt>
                <c:pt idx="50">
                  <c:v>156138.84657238168</c:v>
                </c:pt>
                <c:pt idx="51">
                  <c:v>168493.85895892122</c:v>
                </c:pt>
                <c:pt idx="52">
                  <c:v>223517.91387489904</c:v>
                </c:pt>
                <c:pt idx="53">
                  <c:v>187743.2350721863</c:v>
                </c:pt>
                <c:pt idx="54">
                  <c:v>130952.44620173881</c:v>
                </c:pt>
              </c:numCache>
            </c:numRef>
          </c:val>
          <c:extLst>
            <c:ext xmlns:c16="http://schemas.microsoft.com/office/drawing/2014/chart" uri="{C3380CC4-5D6E-409C-BE32-E72D297353CC}">
              <c16:uniqueId val="{00000001-8485-4310-9C46-B22F42B80B1F}"/>
            </c:ext>
          </c:extLst>
        </c:ser>
        <c:dLbls>
          <c:showLegendKey val="0"/>
          <c:showVal val="0"/>
          <c:showCatName val="0"/>
          <c:showSerName val="0"/>
          <c:showPercent val="0"/>
          <c:showBubbleSize val="0"/>
        </c:dLbls>
        <c:gapWidth val="10"/>
        <c:overlap val="100"/>
        <c:axId val="235430488"/>
        <c:axId val="235430880"/>
        <c:extLst>
          <c:ext xmlns:c15="http://schemas.microsoft.com/office/drawing/2012/chart" uri="{02D57815-91ED-43cb-92C2-25804820EDAC}">
            <c15:filteredBarSeries>
              <c15:ser>
                <c:idx val="2"/>
                <c:order val="2"/>
                <c:tx>
                  <c:v>Upriver total</c:v>
                </c:tx>
                <c:spPr>
                  <a:solidFill>
                    <a:schemeClr val="accent5">
                      <a:lumMod val="50000"/>
                    </a:schemeClr>
                  </a:solidFill>
                  <a:ln>
                    <a:solidFill>
                      <a:schemeClr val="tx1"/>
                    </a:solidFill>
                  </a:ln>
                  <a:effectLst/>
                </c:spPr>
                <c:invertIfNegative val="0"/>
                <c:val>
                  <c:numRef>
                    <c:extLst>
                      <c:ext uri="{02D57815-91ED-43cb-92C2-25804820EDAC}">
                        <c15:formulaRef>
                          <c15:sqref>Runs!$V$6:$V$84</c15:sqref>
                        </c15:formulaRef>
                      </c:ext>
                    </c:extLst>
                    <c:numCache>
                      <c:formatCode>#,##0</c:formatCode>
                      <c:ptCount val="55"/>
                    </c:numCache>
                  </c:numRef>
                </c:val>
                <c:extLst>
                  <c:ext xmlns:c16="http://schemas.microsoft.com/office/drawing/2014/chart" uri="{C3380CC4-5D6E-409C-BE32-E72D297353CC}">
                    <c16:uniqueId val="{00000000-0347-4BE2-992A-B323341C5D46}"/>
                  </c:ext>
                </c:extLst>
              </c15:ser>
            </c15:filteredBarSeries>
          </c:ext>
        </c:extLst>
      </c:barChart>
      <c:catAx>
        <c:axId val="2354304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crossAx val="235430880"/>
        <c:crosses val="autoZero"/>
        <c:auto val="1"/>
        <c:lblAlgn val="ctr"/>
        <c:lblOffset val="100"/>
        <c:tickMarkSkip val="5"/>
        <c:noMultiLvlLbl val="0"/>
      </c:catAx>
      <c:valAx>
        <c:axId val="23543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a:t>Steelhead @ Bonneville Dam</a:t>
                </a:r>
              </a:p>
            </c:rich>
          </c:tx>
          <c:layout>
            <c:manualLayout>
              <c:xMode val="edge"/>
              <c:yMode val="edge"/>
              <c:x val="3.5917866764792481E-3"/>
              <c:y val="0.1193354510491736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235430488"/>
        <c:crosses val="autoZero"/>
        <c:crossBetween val="between"/>
      </c:valAx>
      <c:spPr>
        <a:noFill/>
        <a:ln>
          <a:solidFill>
            <a:schemeClr val="tx1"/>
          </a:solidFill>
        </a:ln>
        <a:effectLst/>
      </c:spPr>
    </c:plotArea>
    <c:legend>
      <c:legendPos val="r"/>
      <c:layout>
        <c:manualLayout>
          <c:xMode val="edge"/>
          <c:yMode val="edge"/>
          <c:x val="0.13360438685603016"/>
          <c:y val="7.0578258233576455E-2"/>
          <c:w val="0.25967292665132286"/>
          <c:h val="0.1720234501091514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mn-lt"/>
                <a:ea typeface="+mn-ea"/>
                <a:cs typeface="+mn-cs"/>
              </a:defRPr>
            </a:pPr>
            <a:r>
              <a:rPr lang="en-US" sz="1800"/>
              <a:t>Natural</a:t>
            </a:r>
          </a:p>
          <a:p>
            <a:pPr>
              <a:defRPr sz="1800"/>
            </a:pPr>
            <a:r>
              <a:rPr lang="en-US" sz="1800"/>
              <a:t>Production</a:t>
            </a:r>
          </a:p>
        </c:rich>
      </c:tx>
      <c:layout>
        <c:manualLayout>
          <c:xMode val="edge"/>
          <c:yMode val="edge"/>
          <c:x val="0.6022500909266959"/>
          <c:y val="9.7534582786481111E-2"/>
        </c:manualLayout>
      </c:layout>
      <c:overlay val="0"/>
      <c:spPr>
        <a:solidFill>
          <a:schemeClr val="bg1"/>
        </a:solidFill>
        <a:ln>
          <a:noFill/>
        </a:ln>
        <a:effectLst/>
      </c:spPr>
      <c:txPr>
        <a:bodyPr rot="0" spcFirstLastPara="1" vertOverflow="ellipsis" vert="horz" wrap="square" anchor="ctr" anchorCtr="1"/>
        <a:lstStyle/>
        <a:p>
          <a:pPr>
            <a:defRPr sz="1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3026120761539878"/>
          <c:y val="4.5670740625599511E-2"/>
          <c:w val="0.68421797911961002"/>
          <c:h val="0.82133443418655772"/>
        </c:manualLayout>
      </c:layout>
      <c:barChart>
        <c:barDir val="bar"/>
        <c:grouping val="clustered"/>
        <c:varyColors val="0"/>
        <c:ser>
          <c:idx val="0"/>
          <c:order val="0"/>
          <c:spPr>
            <a:solidFill>
              <a:srgbClr val="8D2B2E"/>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Summary!$D$20:$D$24</c:f>
              <c:strCache>
                <c:ptCount val="5"/>
                <c:pt idx="0">
                  <c:v>Current</c:v>
                </c:pt>
                <c:pt idx="1">
                  <c:v>Low goal</c:v>
                </c:pt>
                <c:pt idx="2">
                  <c:v>Med goal</c:v>
                </c:pt>
                <c:pt idx="3">
                  <c:v>High goal</c:v>
                </c:pt>
                <c:pt idx="4">
                  <c:v>Historical</c:v>
                </c:pt>
              </c:strCache>
            </c:strRef>
          </c:cat>
          <c:val>
            <c:numRef>
              <c:f>Summary!$E$20:$E$24</c:f>
              <c:numCache>
                <c:formatCode>#,##0</c:formatCode>
                <c:ptCount val="5"/>
                <c:pt idx="0">
                  <c:v>18155</c:v>
                </c:pt>
                <c:pt idx="1">
                  <c:v>21500</c:v>
                </c:pt>
                <c:pt idx="2">
                  <c:v>43850</c:v>
                </c:pt>
                <c:pt idx="3">
                  <c:v>69150</c:v>
                </c:pt>
                <c:pt idx="4">
                  <c:v>132800</c:v>
                </c:pt>
              </c:numCache>
            </c:numRef>
          </c:val>
          <c:extLst>
            <c:ext xmlns:c16="http://schemas.microsoft.com/office/drawing/2014/chart" uri="{C3380CC4-5D6E-409C-BE32-E72D297353CC}">
              <c16:uniqueId val="{00000000-AC41-4C09-A96F-6661335FC7C6}"/>
            </c:ext>
          </c:extLst>
        </c:ser>
        <c:dLbls>
          <c:showLegendKey val="0"/>
          <c:showVal val="0"/>
          <c:showCatName val="0"/>
          <c:showSerName val="0"/>
          <c:showPercent val="0"/>
          <c:showBubbleSize val="0"/>
        </c:dLbls>
        <c:gapWidth val="20"/>
        <c:axId val="238829128"/>
        <c:axId val="238829520"/>
      </c:barChart>
      <c:catAx>
        <c:axId val="23882912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38829520"/>
        <c:crosses val="autoZero"/>
        <c:auto val="1"/>
        <c:lblAlgn val="ctr"/>
        <c:lblOffset val="100"/>
        <c:noMultiLvlLbl val="0"/>
      </c:catAx>
      <c:valAx>
        <c:axId val="238829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3882912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1">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Current Fishery Distribution</a:t>
            </a:r>
            <a:r>
              <a:rPr lang="en-US" b="1" baseline="0"/>
              <a:t> </a:t>
            </a:r>
          </a:p>
          <a:p>
            <a:pPr>
              <a:defRPr b="1"/>
            </a:pPr>
            <a:r>
              <a:rPr lang="en-US" b="1" baseline="0"/>
              <a:t>of Wild/Natural Impacts</a:t>
            </a:r>
            <a:endParaRPr lang="en-US" b="1"/>
          </a:p>
        </c:rich>
      </c:tx>
      <c:layout>
        <c:manualLayout>
          <c:xMode val="edge"/>
          <c:yMode val="edge"/>
          <c:x val="0.21070711749266635"/>
          <c:y val="3.703703703703703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29130549857739"/>
          <c:y val="0.24734981044036161"/>
          <c:w val="0.51611664350779674"/>
          <c:h val="0.68242089530475347"/>
        </c:manualLayout>
      </c:layout>
      <c:pieChart>
        <c:varyColors val="1"/>
        <c:ser>
          <c:idx val="0"/>
          <c:order val="0"/>
          <c:spPr>
            <a:ln w="6350">
              <a:solidFill>
                <a:schemeClr val="tx1"/>
              </a:solidFill>
            </a:ln>
          </c:spPr>
          <c:dPt>
            <c:idx val="0"/>
            <c:bubble3D val="0"/>
            <c:spPr>
              <a:solidFill>
                <a:schemeClr val="accent1"/>
              </a:solidFill>
              <a:ln w="6350">
                <a:solidFill>
                  <a:schemeClr val="tx1"/>
                </a:solidFill>
              </a:ln>
              <a:effectLst/>
            </c:spPr>
            <c:extLst>
              <c:ext xmlns:c16="http://schemas.microsoft.com/office/drawing/2014/chart" uri="{C3380CC4-5D6E-409C-BE32-E72D297353CC}">
                <c16:uniqueId val="{00000001-87B2-482B-A269-20ED3BC5E850}"/>
              </c:ext>
            </c:extLst>
          </c:dPt>
          <c:dPt>
            <c:idx val="1"/>
            <c:bubble3D val="0"/>
            <c:spPr>
              <a:solidFill>
                <a:schemeClr val="accent2"/>
              </a:solidFill>
              <a:ln w="6350">
                <a:solidFill>
                  <a:schemeClr val="tx1"/>
                </a:solidFill>
              </a:ln>
              <a:effectLst/>
            </c:spPr>
            <c:extLst>
              <c:ext xmlns:c16="http://schemas.microsoft.com/office/drawing/2014/chart" uri="{C3380CC4-5D6E-409C-BE32-E72D297353CC}">
                <c16:uniqueId val="{00000003-87B2-482B-A269-20ED3BC5E850}"/>
              </c:ext>
            </c:extLst>
          </c:dPt>
          <c:dPt>
            <c:idx val="2"/>
            <c:bubble3D val="0"/>
            <c:spPr>
              <a:solidFill>
                <a:schemeClr val="accent3"/>
              </a:solidFill>
              <a:ln w="6350">
                <a:solidFill>
                  <a:schemeClr val="tx1"/>
                </a:solidFill>
              </a:ln>
              <a:effectLst/>
            </c:spPr>
            <c:extLst>
              <c:ext xmlns:c16="http://schemas.microsoft.com/office/drawing/2014/chart" uri="{C3380CC4-5D6E-409C-BE32-E72D297353CC}">
                <c16:uniqueId val="{00000005-87B2-482B-A269-20ED3BC5E850}"/>
              </c:ext>
            </c:extLst>
          </c:dPt>
          <c:dPt>
            <c:idx val="3"/>
            <c:bubble3D val="0"/>
            <c:spPr>
              <a:solidFill>
                <a:schemeClr val="accent4"/>
              </a:solidFill>
              <a:ln w="6350">
                <a:solidFill>
                  <a:schemeClr val="tx1"/>
                </a:solidFill>
              </a:ln>
              <a:effectLst/>
            </c:spPr>
            <c:extLst>
              <c:ext xmlns:c16="http://schemas.microsoft.com/office/drawing/2014/chart" uri="{C3380CC4-5D6E-409C-BE32-E72D297353CC}">
                <c16:uniqueId val="{00000007-87B2-482B-A269-20ED3BC5E850}"/>
              </c:ext>
            </c:extLst>
          </c:dPt>
          <c:dPt>
            <c:idx val="4"/>
            <c:bubble3D val="0"/>
            <c:spPr>
              <a:solidFill>
                <a:schemeClr val="accent5"/>
              </a:solidFill>
              <a:ln w="6350">
                <a:solidFill>
                  <a:schemeClr val="tx1"/>
                </a:solidFill>
              </a:ln>
              <a:effectLst/>
            </c:spPr>
            <c:extLst>
              <c:ext xmlns:c16="http://schemas.microsoft.com/office/drawing/2014/chart" uri="{C3380CC4-5D6E-409C-BE32-E72D297353CC}">
                <c16:uniqueId val="{00000009-87B2-482B-A269-20ED3BC5E850}"/>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B-87B2-482B-A269-20ED3BC5E850}"/>
              </c:ext>
            </c:extLst>
          </c:dPt>
          <c:dPt>
            <c:idx val="6"/>
            <c:bubble3D val="0"/>
            <c:spPr>
              <a:solidFill>
                <a:schemeClr val="accent1">
                  <a:lumMod val="60000"/>
                </a:schemeClr>
              </a:solidFill>
              <a:ln w="6350">
                <a:solidFill>
                  <a:schemeClr val="tx1"/>
                </a:solidFill>
              </a:ln>
              <a:effectLst/>
            </c:spPr>
            <c:extLst>
              <c:ext xmlns:c16="http://schemas.microsoft.com/office/drawing/2014/chart" uri="{C3380CC4-5D6E-409C-BE32-E72D297353CC}">
                <c16:uniqueId val="{0000000D-87B2-482B-A269-20ED3BC5E850}"/>
              </c:ext>
            </c:extLst>
          </c:dPt>
          <c:dLbls>
            <c:dLbl>
              <c:idx val="1"/>
              <c:layout>
                <c:manualLayout>
                  <c:x val="-3.4264099340523629E-2"/>
                  <c:y val="-4.870771361913094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B2-482B-A269-20ED3BC5E850}"/>
                </c:ext>
              </c:extLst>
            </c:dLbl>
            <c:dLbl>
              <c:idx val="2"/>
              <c:layout>
                <c:manualLayout>
                  <c:x val="1.5578475484682061E-2"/>
                  <c:y val="-3.459317585301837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B2-482B-A269-20ED3BC5E850}"/>
                </c:ext>
              </c:extLst>
            </c:dLbl>
            <c:dLbl>
              <c:idx val="3"/>
              <c:layout>
                <c:manualLayout>
                  <c:x val="1.9526235691126846E-2"/>
                  <c:y val="-1.043307086614173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B2-482B-A269-20ED3BC5E850}"/>
                </c:ext>
              </c:extLst>
            </c:dLbl>
            <c:dLbl>
              <c:idx val="4"/>
              <c:layout>
                <c:manualLayout>
                  <c:x val="2.5865976311784555E-2"/>
                  <c:y val="-2.0090040828229804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B2-482B-A269-20ED3BC5E850}"/>
                </c:ext>
              </c:extLst>
            </c:dLbl>
            <c:dLbl>
              <c:idx val="5"/>
              <c:layout>
                <c:manualLayout>
                  <c:x val="4.5972700103663514E-2"/>
                  <c:y val="-2.339603382910461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B2-482B-A269-20ED3BC5E850}"/>
                </c:ext>
              </c:extLst>
            </c:dLbl>
            <c:dLbl>
              <c:idx val="6"/>
              <c:layout>
                <c:manualLayout>
                  <c:x val="5.1001621120889302E-2"/>
                  <c:y val="9.3502114319043456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B2-482B-A269-20ED3BC5E85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Fishery!$U$7:$U$13</c:f>
              <c:strCache>
                <c:ptCount val="7"/>
                <c:pt idx="0">
                  <c:v>Terminal</c:v>
                </c:pt>
                <c:pt idx="1">
                  <c:v>Zone 6 tribal</c:v>
                </c:pt>
                <c:pt idx="2">
                  <c:v>UpR. sport</c:v>
                </c:pt>
                <c:pt idx="3">
                  <c:v>LCR comm.</c:v>
                </c:pt>
                <c:pt idx="4">
                  <c:v>LCR sport</c:v>
                </c:pt>
                <c:pt idx="5">
                  <c:v>US Ocean</c:v>
                </c:pt>
                <c:pt idx="6">
                  <c:v>AK/CAN</c:v>
                </c:pt>
              </c:strCache>
            </c:strRef>
          </c:cat>
          <c:val>
            <c:numRef>
              <c:f>Fishery!$V$7:$V$13</c:f>
              <c:numCache>
                <c:formatCode>General</c:formatCode>
                <c:ptCount val="7"/>
                <c:pt idx="1">
                  <c:v>5.8000000000000003E-2</c:v>
                </c:pt>
                <c:pt idx="2">
                  <c:v>5.0000000000000001E-3</c:v>
                </c:pt>
                <c:pt idx="3">
                  <c:v>1E-3</c:v>
                </c:pt>
                <c:pt idx="4">
                  <c:v>5.0000000000000001E-3</c:v>
                </c:pt>
                <c:pt idx="5">
                  <c:v>0</c:v>
                </c:pt>
                <c:pt idx="6">
                  <c:v>0</c:v>
                </c:pt>
              </c:numCache>
            </c:numRef>
          </c:val>
          <c:extLst>
            <c:ext xmlns:c16="http://schemas.microsoft.com/office/drawing/2014/chart" uri="{C3380CC4-5D6E-409C-BE32-E72D297353CC}">
              <c16:uniqueId val="{00000000-F2FD-4027-8F19-8CE5E795C3BC}"/>
            </c:ext>
          </c:extLst>
        </c:ser>
        <c:dLbls>
          <c:showLegendKey val="0"/>
          <c:showVal val="0"/>
          <c:showCatName val="0"/>
          <c:showSerName val="0"/>
          <c:showPercent val="0"/>
          <c:showBubbleSize val="0"/>
          <c:showLeaderLines val="1"/>
        </c:dLbls>
        <c:firstSliceAng val="118"/>
      </c:pieChart>
      <c:spPr>
        <a:noFill/>
        <a:ln w="63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5870516185477"/>
          <c:y val="5.0925925925925923E-2"/>
          <c:w val="0.80105249343832019"/>
          <c:h val="0.80808690580344122"/>
        </c:manualLayout>
      </c:layout>
      <c:barChart>
        <c:barDir val="col"/>
        <c:grouping val="stacked"/>
        <c:varyColors val="0"/>
        <c:ser>
          <c:idx val="0"/>
          <c:order val="0"/>
          <c:tx>
            <c:v>Mid-Col origin</c:v>
          </c:tx>
          <c:spPr>
            <a:solidFill>
              <a:schemeClr val="tx2">
                <a:lumMod val="50000"/>
              </a:schemeClr>
            </a:solidFill>
            <a:ln>
              <a:solidFill>
                <a:schemeClr val="tx1"/>
              </a:solidFill>
            </a:ln>
            <a:effectLst/>
          </c:spPr>
          <c:invertIfNegative val="0"/>
          <c:cat>
            <c:numRef>
              <c:f>Runs!$A$30:$A$84</c:f>
              <c:numCache>
                <c:formatCode>General</c:formatCode>
                <c:ptCount val="5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numCache>
            </c:numRef>
          </c:cat>
          <c:val>
            <c:numRef>
              <c:f>Runs!$T$30:$T$84</c:f>
              <c:numCache>
                <c:formatCode>#,##0</c:formatCode>
                <c:ptCount val="55"/>
                <c:pt idx="0">
                  <c:v>38395</c:v>
                </c:pt>
                <c:pt idx="1">
                  <c:v>39639.069426741051</c:v>
                </c:pt>
                <c:pt idx="2">
                  <c:v>48500.404406975904</c:v>
                </c:pt>
                <c:pt idx="3">
                  <c:v>88336.574080720413</c:v>
                </c:pt>
                <c:pt idx="4">
                  <c:v>43173.15199581044</c:v>
                </c:pt>
                <c:pt idx="5">
                  <c:v>62633.007164944567</c:v>
                </c:pt>
                <c:pt idx="6">
                  <c:v>5117.7017648143974</c:v>
                </c:pt>
                <c:pt idx="7">
                  <c:v>63453.335834338432</c:v>
                </c:pt>
                <c:pt idx="8">
                  <c:v>46241.378127803808</c:v>
                </c:pt>
                <c:pt idx="9">
                  <c:v>103902.86436951018</c:v>
                </c:pt>
                <c:pt idx="10">
                  <c:v>102973.45052425057</c:v>
                </c:pt>
                <c:pt idx="11">
                  <c:v>103245.10047090969</c:v>
                </c:pt>
                <c:pt idx="12">
                  <c:v>119772.58544738159</c:v>
                </c:pt>
                <c:pt idx="13">
                  <c:v>64985.752508361198</c:v>
                </c:pt>
                <c:pt idx="14">
                  <c:v>87564.912642266645</c:v>
                </c:pt>
                <c:pt idx="15">
                  <c:v>114026.05985251244</c:v>
                </c:pt>
                <c:pt idx="16">
                  <c:v>65651.364263866592</c:v>
                </c:pt>
                <c:pt idx="17">
                  <c:v>79811.516521259298</c:v>
                </c:pt>
                <c:pt idx="18">
                  <c:v>65529.523859878813</c:v>
                </c:pt>
                <c:pt idx="19">
                  <c:v>105607.73624974878</c:v>
                </c:pt>
                <c:pt idx="20">
                  <c:v>67955.736275565127</c:v>
                </c:pt>
                <c:pt idx="21">
                  <c:v>81953.78546640079</c:v>
                </c:pt>
                <c:pt idx="22">
                  <c:v>154895.10590490571</c:v>
                </c:pt>
                <c:pt idx="23">
                  <c:v>121717.27749435013</c:v>
                </c:pt>
                <c:pt idx="24">
                  <c:v>173418.45594751718</c:v>
                </c:pt>
                <c:pt idx="25">
                  <c:v>179162.93606994624</c:v>
                </c:pt>
                <c:pt idx="26">
                  <c:v>123570.19343850116</c:v>
                </c:pt>
                <c:pt idx="27">
                  <c:v>78082.115784826892</c:v>
                </c:pt>
                <c:pt idx="28">
                  <c:v>104687.88426897906</c:v>
                </c:pt>
                <c:pt idx="29">
                  <c:v>107043.92180477761</c:v>
                </c:pt>
                <c:pt idx="30">
                  <c:v>105755.27878845604</c:v>
                </c:pt>
                <c:pt idx="31">
                  <c:v>92899.06194342165</c:v>
                </c:pt>
                <c:pt idx="32">
                  <c:v>95897.338459819235</c:v>
                </c:pt>
                <c:pt idx="33">
                  <c:v>93832.565461346632</c:v>
                </c:pt>
                <c:pt idx="34">
                  <c:v>86125.642932489442</c:v>
                </c:pt>
                <c:pt idx="35">
                  <c:v>131351.26445779213</c:v>
                </c:pt>
                <c:pt idx="36">
                  <c:v>93224.89519245633</c:v>
                </c:pt>
                <c:pt idx="37">
                  <c:v>99318.854949119268</c:v>
                </c:pt>
                <c:pt idx="38">
                  <c:v>111228.0109831954</c:v>
                </c:pt>
                <c:pt idx="39">
                  <c:v>286035.73922510573</c:v>
                </c:pt>
                <c:pt idx="40">
                  <c:v>226017.74939785484</c:v>
                </c:pt>
                <c:pt idx="41">
                  <c:v>112883.10481173516</c:v>
                </c:pt>
                <c:pt idx="42">
                  <c:v>87805.04367866728</c:v>
                </c:pt>
                <c:pt idx="43">
                  <c:v>108970.40377421824</c:v>
                </c:pt>
                <c:pt idx="44">
                  <c:v>157820.38765065436</c:v>
                </c:pt>
                <c:pt idx="45">
                  <c:v>101501.33414877951</c:v>
                </c:pt>
                <c:pt idx="46">
                  <c:v>122751.24659674923</c:v>
                </c:pt>
                <c:pt idx="47">
                  <c:v>153319.13934475023</c:v>
                </c:pt>
                <c:pt idx="48">
                  <c:v>115468.14823648067</c:v>
                </c:pt>
                <c:pt idx="49">
                  <c:v>93668.48369617053</c:v>
                </c:pt>
                <c:pt idx="50">
                  <c:v>79137.153427618337</c:v>
                </c:pt>
                <c:pt idx="51">
                  <c:v>65553.141041078765</c:v>
                </c:pt>
                <c:pt idx="52">
                  <c:v>102483.08612510096</c:v>
                </c:pt>
                <c:pt idx="53">
                  <c:v>80916.764927813696</c:v>
                </c:pt>
                <c:pt idx="54">
                  <c:v>57179.553798261186</c:v>
                </c:pt>
              </c:numCache>
            </c:numRef>
          </c:val>
          <c:extLst>
            <c:ext xmlns:c16="http://schemas.microsoft.com/office/drawing/2014/chart" uri="{C3380CC4-5D6E-409C-BE32-E72D297353CC}">
              <c16:uniqueId val="{00000000-72D5-427C-B39D-F8B95CD1B590}"/>
            </c:ext>
          </c:extLst>
        </c:ser>
        <c:ser>
          <c:idx val="1"/>
          <c:order val="1"/>
          <c:tx>
            <c:v>U Col &amp; Snake R origin</c:v>
          </c:tx>
          <c:spPr>
            <a:solidFill>
              <a:schemeClr val="accent1">
                <a:lumMod val="75000"/>
              </a:schemeClr>
            </a:solidFill>
            <a:ln>
              <a:solidFill>
                <a:schemeClr val="tx1"/>
              </a:solidFill>
            </a:ln>
            <a:effectLst/>
          </c:spPr>
          <c:invertIfNegative val="0"/>
          <c:cat>
            <c:numRef>
              <c:f>Runs!$A$30:$A$84</c:f>
              <c:numCache>
                <c:formatCode>General</c:formatCode>
                <c:ptCount val="5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numCache>
            </c:numRef>
          </c:cat>
          <c:val>
            <c:numRef>
              <c:f>Runs!$U$30:$U$84</c:f>
              <c:numCache>
                <c:formatCode>#,##0</c:formatCode>
                <c:ptCount val="55"/>
                <c:pt idx="0">
                  <c:v>125630</c:v>
                </c:pt>
                <c:pt idx="1">
                  <c:v>89778.930573258956</c:v>
                </c:pt>
                <c:pt idx="2">
                  <c:v>68751.595593024103</c:v>
                </c:pt>
                <c:pt idx="3">
                  <c:v>78108.425919279587</c:v>
                </c:pt>
                <c:pt idx="4">
                  <c:v>100487.84800418955</c:v>
                </c:pt>
                <c:pt idx="5">
                  <c:v>59238.992835055433</c:v>
                </c:pt>
                <c:pt idx="6">
                  <c:v>101856.2982351856</c:v>
                </c:pt>
                <c:pt idx="7">
                  <c:v>78328.664165661568</c:v>
                </c:pt>
                <c:pt idx="8">
                  <c:v>67268.621872196192</c:v>
                </c:pt>
                <c:pt idx="9">
                  <c:v>90063.135630489822</c:v>
                </c:pt>
                <c:pt idx="10">
                  <c:v>82912.549475749431</c:v>
                </c:pt>
                <c:pt idx="11">
                  <c:v>54577.899529090311</c:v>
                </c:pt>
                <c:pt idx="12">
                  <c:v>17281.414552618415</c:v>
                </c:pt>
                <c:pt idx="13">
                  <c:v>20554.247491638802</c:v>
                </c:pt>
                <c:pt idx="14">
                  <c:v>36612.087357733355</c:v>
                </c:pt>
                <c:pt idx="15">
                  <c:v>79410.940147487563</c:v>
                </c:pt>
                <c:pt idx="16">
                  <c:v>38779.635736133408</c:v>
                </c:pt>
                <c:pt idx="17">
                  <c:v>34195.483478740702</c:v>
                </c:pt>
                <c:pt idx="18">
                  <c:v>63724.476140121187</c:v>
                </c:pt>
                <c:pt idx="19">
                  <c:v>53662.263750251223</c:v>
                </c:pt>
                <c:pt idx="20">
                  <c:v>89684.263724434873</c:v>
                </c:pt>
                <c:pt idx="21">
                  <c:v>131825.21453359921</c:v>
                </c:pt>
                <c:pt idx="22">
                  <c:v>160691.89409509429</c:v>
                </c:pt>
                <c:pt idx="23">
                  <c:v>222243.72250564987</c:v>
                </c:pt>
                <c:pt idx="24">
                  <c:v>206472.54405248282</c:v>
                </c:pt>
                <c:pt idx="25">
                  <c:v>123918.06393005376</c:v>
                </c:pt>
                <c:pt idx="26">
                  <c:v>155501.80656149884</c:v>
                </c:pt>
                <c:pt idx="27">
                  <c:v>209715.88421517311</c:v>
                </c:pt>
                <c:pt idx="28">
                  <c:v>78339.115731020938</c:v>
                </c:pt>
                <c:pt idx="29">
                  <c:v>167501.07819522239</c:v>
                </c:pt>
                <c:pt idx="30">
                  <c:v>209219.72121154395</c:v>
                </c:pt>
                <c:pt idx="31">
                  <c:v>95477.93805657835</c:v>
                </c:pt>
                <c:pt idx="32">
                  <c:v>66080.661540180765</c:v>
                </c:pt>
                <c:pt idx="33">
                  <c:v>108615.43453865337</c:v>
                </c:pt>
                <c:pt idx="34">
                  <c:v>119090.35706751056</c:v>
                </c:pt>
                <c:pt idx="35">
                  <c:v>127033.73554220787</c:v>
                </c:pt>
                <c:pt idx="36">
                  <c:v>91869.10480754367</c:v>
                </c:pt>
                <c:pt idx="37">
                  <c:v>107169.14505088073</c:v>
                </c:pt>
                <c:pt idx="38">
                  <c:v>163949.98901680461</c:v>
                </c:pt>
                <c:pt idx="39">
                  <c:v>347037.26077489427</c:v>
                </c:pt>
                <c:pt idx="40">
                  <c:v>254291.25060214516</c:v>
                </c:pt>
                <c:pt idx="41">
                  <c:v>252937.89518826484</c:v>
                </c:pt>
                <c:pt idx="42">
                  <c:v>225565.95632133272</c:v>
                </c:pt>
                <c:pt idx="43">
                  <c:v>206679.59622578177</c:v>
                </c:pt>
                <c:pt idx="44">
                  <c:v>181480.61234934564</c:v>
                </c:pt>
                <c:pt idx="45">
                  <c:v>223773.66585122049</c:v>
                </c:pt>
                <c:pt idx="46">
                  <c:v>235064.75340325077</c:v>
                </c:pt>
                <c:pt idx="47">
                  <c:v>451650.86065524979</c:v>
                </c:pt>
                <c:pt idx="48">
                  <c:v>301134.85176351934</c:v>
                </c:pt>
                <c:pt idx="49">
                  <c:v>275696.5163038295</c:v>
                </c:pt>
                <c:pt idx="50">
                  <c:v>156138.84657238168</c:v>
                </c:pt>
                <c:pt idx="51">
                  <c:v>168493.85895892122</c:v>
                </c:pt>
                <c:pt idx="52">
                  <c:v>223517.91387489904</c:v>
                </c:pt>
                <c:pt idx="53">
                  <c:v>187743.2350721863</c:v>
                </c:pt>
                <c:pt idx="54">
                  <c:v>130952.44620173881</c:v>
                </c:pt>
              </c:numCache>
            </c:numRef>
          </c:val>
          <c:extLst>
            <c:ext xmlns:c16="http://schemas.microsoft.com/office/drawing/2014/chart" uri="{C3380CC4-5D6E-409C-BE32-E72D297353CC}">
              <c16:uniqueId val="{00000001-72D5-427C-B39D-F8B95CD1B590}"/>
            </c:ext>
          </c:extLst>
        </c:ser>
        <c:dLbls>
          <c:showLegendKey val="0"/>
          <c:showVal val="0"/>
          <c:showCatName val="0"/>
          <c:showSerName val="0"/>
          <c:showPercent val="0"/>
          <c:showBubbleSize val="0"/>
        </c:dLbls>
        <c:gapWidth val="10"/>
        <c:overlap val="100"/>
        <c:axId val="235432056"/>
        <c:axId val="235431664"/>
      </c:barChart>
      <c:catAx>
        <c:axId val="2354320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35431664"/>
        <c:crosses val="autoZero"/>
        <c:auto val="1"/>
        <c:lblAlgn val="ctr"/>
        <c:lblOffset val="100"/>
        <c:tickMarkSkip val="5"/>
        <c:noMultiLvlLbl val="0"/>
      </c:catAx>
      <c:valAx>
        <c:axId val="23543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Steelhead @ Bonneville Dam</a:t>
                </a:r>
              </a:p>
            </c:rich>
          </c:tx>
          <c:layout>
            <c:manualLayout>
              <c:xMode val="edge"/>
              <c:yMode val="edge"/>
              <c:x val="4.9860017497812773E-3"/>
              <c:y val="0.1623071595217264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3543205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plotArea>
    <c:legend>
      <c:legendPos val="r"/>
      <c:layout>
        <c:manualLayout>
          <c:xMode val="edge"/>
          <c:yMode val="edge"/>
          <c:x val="0.19418897637795274"/>
          <c:y val="8.8541119860017503E-2"/>
          <c:w val="0.2752554680664917"/>
          <c:h val="0.15625109361329836"/>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b="1">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5.xml"/><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odfwrecoverytracker.org/explorer/species/Steelhead/run/summer/esu/208/213/"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8.png"/><Relationship Id="rId7" Type="http://schemas.openxmlformats.org/officeDocument/2006/relationships/image" Target="../media/image12.emf"/><Relationship Id="rId2" Type="http://schemas.openxmlformats.org/officeDocument/2006/relationships/image" Target="../media/image1.png"/><Relationship Id="rId1" Type="http://schemas.openxmlformats.org/officeDocument/2006/relationships/image" Target="../media/image7.png"/><Relationship Id="rId6" Type="http://schemas.openxmlformats.org/officeDocument/2006/relationships/image" Target="../media/image11.png"/><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26577</xdr:colOff>
      <xdr:row>1</xdr:row>
      <xdr:rowOff>129319</xdr:rowOff>
    </xdr:from>
    <xdr:to>
      <xdr:col>6</xdr:col>
      <xdr:colOff>539751</xdr:colOff>
      <xdr:row>18</xdr:row>
      <xdr:rowOff>61595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1827" y="393902"/>
          <a:ext cx="3529424" cy="3043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71450" indent="-171450">
            <a:spcAft>
              <a:spcPts val="300"/>
            </a:spcAft>
            <a:buFont typeface="Arial" panose="020B0604020202020204" pitchFamily="34" charset="0"/>
            <a:buChar char="•"/>
          </a:pPr>
          <a:r>
            <a:rPr lang="en-US" sz="1600" i="0" baseline="0"/>
            <a:t>Inhabitats low to mid-elevation streams draining the eastern Cascades and west Blue Mountains. </a:t>
          </a:r>
        </a:p>
        <a:p>
          <a:pPr marL="171450" indent="-171450">
            <a:spcAft>
              <a:spcPts val="300"/>
            </a:spcAft>
            <a:buFont typeface="Arial" panose="020B0604020202020204" pitchFamily="34" charset="0"/>
            <a:buChar char="•"/>
          </a:pPr>
          <a:r>
            <a:rPr lang="en-US" sz="1600" i="0" baseline="0"/>
            <a:t>Includes viable and moderately viable populations and is among the listed species that are closest to recovery. </a:t>
          </a:r>
        </a:p>
        <a:p>
          <a:pPr marL="171450" indent="-171450">
            <a:spcAft>
              <a:spcPts val="300"/>
            </a:spcAft>
            <a:buFont typeface="Arial" panose="020B0604020202020204" pitchFamily="34" charset="0"/>
            <a:buChar char="•"/>
          </a:pPr>
          <a:r>
            <a:rPr lang="en-US" sz="1600" i="0" baseline="0"/>
            <a:t>Hatchery production is limited to a few systems. </a:t>
          </a:r>
        </a:p>
        <a:p>
          <a:pPr marL="171450" indent="-171450">
            <a:spcAft>
              <a:spcPts val="300"/>
            </a:spcAft>
            <a:buFont typeface="Arial" panose="020B0604020202020204" pitchFamily="34" charset="0"/>
            <a:buChar char="•"/>
          </a:pPr>
          <a:r>
            <a:rPr lang="en-US" sz="1600" i="0" baseline="0"/>
            <a:t>Several populations that were historically extirpated by tributary dams are being reintroduced.</a:t>
          </a:r>
          <a:endParaRPr lang="en-US" sz="1600" i="0"/>
        </a:p>
      </xdr:txBody>
    </xdr:sp>
    <xdr:clientData/>
  </xdr:twoCellAnchor>
  <xdr:twoCellAnchor editAs="oneCell">
    <xdr:from>
      <xdr:col>7</xdr:col>
      <xdr:colOff>21168</xdr:colOff>
      <xdr:row>1</xdr:row>
      <xdr:rowOff>35721</xdr:rowOff>
    </xdr:from>
    <xdr:to>
      <xdr:col>15</xdr:col>
      <xdr:colOff>550394</xdr:colOff>
      <xdr:row>37</xdr:row>
      <xdr:rowOff>74840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6388" r="1281" b="4642"/>
        <a:stretch/>
      </xdr:blipFill>
      <xdr:spPr>
        <a:xfrm>
          <a:off x="3735918" y="300304"/>
          <a:ext cx="5351416" cy="6569036"/>
        </a:xfrm>
        <a:prstGeom prst="rect">
          <a:avLst/>
        </a:prstGeom>
      </xdr:spPr>
    </xdr:pic>
    <xdr:clientData/>
  </xdr:twoCellAnchor>
  <xdr:twoCellAnchor>
    <xdr:from>
      <xdr:col>1</xdr:col>
      <xdr:colOff>14551</xdr:colOff>
      <xdr:row>53</xdr:row>
      <xdr:rowOff>166181</xdr:rowOff>
    </xdr:from>
    <xdr:to>
      <xdr:col>7</xdr:col>
      <xdr:colOff>539418</xdr:colOff>
      <xdr:row>70</xdr:row>
      <xdr:rowOff>94131</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53</xdr:row>
      <xdr:rowOff>91440</xdr:rowOff>
    </xdr:from>
    <xdr:to>
      <xdr:col>15</xdr:col>
      <xdr:colOff>532411</xdr:colOff>
      <xdr:row>70</xdr:row>
      <xdr:rowOff>137584</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59641</xdr:colOff>
      <xdr:row>37</xdr:row>
      <xdr:rowOff>88477</xdr:rowOff>
    </xdr:from>
    <xdr:to>
      <xdr:col>16</xdr:col>
      <xdr:colOff>84666</xdr:colOff>
      <xdr:row>53</xdr:row>
      <xdr:rowOff>173143</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65467</xdr:colOff>
      <xdr:row>18</xdr:row>
      <xdr:rowOff>78740</xdr:rowOff>
    </xdr:from>
    <xdr:to>
      <xdr:col>6</xdr:col>
      <xdr:colOff>567691</xdr:colOff>
      <xdr:row>36</xdr:row>
      <xdr:rowOff>137584</xdr:rowOff>
    </xdr:to>
    <xdr:graphicFrame macro="">
      <xdr:nvGraphicFramePr>
        <xdr:cNvPr id="4" name="Chart 3">
          <a:extLst>
            <a:ext uri="{FF2B5EF4-FFF2-40B4-BE49-F238E27FC236}">
              <a16:creationId xmlns:a16="http://schemas.microsoft.com/office/drawing/2014/main" id="{27CD423F-C2B7-4FBE-B9ED-CC19725621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240030</xdr:colOff>
      <xdr:row>4</xdr:row>
      <xdr:rowOff>66675</xdr:rowOff>
    </xdr:from>
    <xdr:to>
      <xdr:col>29</xdr:col>
      <xdr:colOff>215265</xdr:colOff>
      <xdr:row>19</xdr:row>
      <xdr:rowOff>66675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283028</xdr:colOff>
      <xdr:row>23</xdr:row>
      <xdr:rowOff>152398</xdr:rowOff>
    </xdr:from>
    <xdr:to>
      <xdr:col>16</xdr:col>
      <xdr:colOff>193635</xdr:colOff>
      <xdr:row>37</xdr:row>
      <xdr:rowOff>174169</xdr:rowOff>
    </xdr:to>
    <xdr:pic>
      <xdr:nvPicPr>
        <xdr:cNvPr id="3" name="Picture 2">
          <a:extLst>
            <a:ext uri="{FF2B5EF4-FFF2-40B4-BE49-F238E27FC236}">
              <a16:creationId xmlns:a16="http://schemas.microsoft.com/office/drawing/2014/main" id="{48F0652B-48CC-49BD-98B2-CB8DAFDCAC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2828" y="4702627"/>
          <a:ext cx="8281721" cy="2612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155121</xdr:colOff>
      <xdr:row>19</xdr:row>
      <xdr:rowOff>19050</xdr:rowOff>
    </xdr:from>
    <xdr:to>
      <xdr:col>25</xdr:col>
      <xdr:colOff>534646</xdr:colOff>
      <xdr:row>47</xdr:row>
      <xdr:rowOff>123825</xdr:rowOff>
    </xdr:to>
    <xdr:pic>
      <xdr:nvPicPr>
        <xdr:cNvPr id="4" name="Picture 3">
          <a:extLst>
            <a:ext uri="{FF2B5EF4-FFF2-40B4-BE49-F238E27FC236}">
              <a16:creationId xmlns:a16="http://schemas.microsoft.com/office/drawing/2014/main" id="{9846FFF2-A2B1-4F80-B72E-DA1C02F384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4546" y="3762375"/>
          <a:ext cx="6361225" cy="517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371475</xdr:colOff>
      <xdr:row>21</xdr:row>
      <xdr:rowOff>177142</xdr:rowOff>
    </xdr:from>
    <xdr:to>
      <xdr:col>32</xdr:col>
      <xdr:colOff>338457</xdr:colOff>
      <xdr:row>46</xdr:row>
      <xdr:rowOff>142874</xdr:rowOff>
    </xdr:to>
    <xdr:pic>
      <xdr:nvPicPr>
        <xdr:cNvPr id="5" name="Picture 4">
          <a:extLst>
            <a:ext uri="{FF2B5EF4-FFF2-40B4-BE49-F238E27FC236}">
              <a16:creationId xmlns:a16="http://schemas.microsoft.com/office/drawing/2014/main" id="{9DD1C65B-6EAB-47DD-91BA-AD3E1129D36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73400" y="4282417"/>
          <a:ext cx="5453382" cy="4490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495300</xdr:colOff>
      <xdr:row>35</xdr:row>
      <xdr:rowOff>152400</xdr:rowOff>
    </xdr:from>
    <xdr:to>
      <xdr:col>14</xdr:col>
      <xdr:colOff>381000</xdr:colOff>
      <xdr:row>62</xdr:row>
      <xdr:rowOff>161925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6867525"/>
          <a:ext cx="9763125" cy="51530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152400</xdr:colOff>
      <xdr:row>1</xdr:row>
      <xdr:rowOff>152400</xdr:rowOff>
    </xdr:to>
    <xdr:pic>
      <xdr:nvPicPr>
        <xdr:cNvPr id="2" name="Picture 1" descr="mini_meta">
          <a:hlinkClick xmlns:r="http://schemas.openxmlformats.org/officeDocument/2006/relationships" r:id="rId1" tooltip="Field Metadat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152400</xdr:colOff>
      <xdr:row>1</xdr:row>
      <xdr:rowOff>152400</xdr:rowOff>
    </xdr:to>
    <xdr:pic>
      <xdr:nvPicPr>
        <xdr:cNvPr id="3" name="Picture 2" descr="mini_meta">
          <a:hlinkClick xmlns:r="http://schemas.openxmlformats.org/officeDocument/2006/relationships" r:id="rId1" tooltip="Field Metadat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152400</xdr:colOff>
      <xdr:row>1</xdr:row>
      <xdr:rowOff>152400</xdr:rowOff>
    </xdr:to>
    <xdr:pic>
      <xdr:nvPicPr>
        <xdr:cNvPr id="4" name="Picture 3" descr="mini_meta">
          <a:hlinkClick xmlns:r="http://schemas.openxmlformats.org/officeDocument/2006/relationships" r:id="rId1" tooltip="Field Metadata"/>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56</xdr:row>
      <xdr:rowOff>0</xdr:rowOff>
    </xdr:from>
    <xdr:to>
      <xdr:col>1</xdr:col>
      <xdr:colOff>152400</xdr:colOff>
      <xdr:row>56</xdr:row>
      <xdr:rowOff>152400</xdr:rowOff>
    </xdr:to>
    <xdr:pic>
      <xdr:nvPicPr>
        <xdr:cNvPr id="5" name="Picture 4" descr="mini_meta">
          <a:hlinkClick xmlns:r="http://schemas.openxmlformats.org/officeDocument/2006/relationships" r:id="rId1" tooltip="Field Metadata"/>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191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56</xdr:row>
      <xdr:rowOff>0</xdr:rowOff>
    </xdr:from>
    <xdr:to>
      <xdr:col>1</xdr:col>
      <xdr:colOff>152400</xdr:colOff>
      <xdr:row>56</xdr:row>
      <xdr:rowOff>152400</xdr:rowOff>
    </xdr:to>
    <xdr:pic>
      <xdr:nvPicPr>
        <xdr:cNvPr id="6" name="Picture 5" descr="mini_meta">
          <a:hlinkClick xmlns:r="http://schemas.openxmlformats.org/officeDocument/2006/relationships" r:id="rId1" tooltip="Field Metadat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191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56</xdr:row>
      <xdr:rowOff>0</xdr:rowOff>
    </xdr:from>
    <xdr:to>
      <xdr:col>1</xdr:col>
      <xdr:colOff>152400</xdr:colOff>
      <xdr:row>56</xdr:row>
      <xdr:rowOff>152400</xdr:rowOff>
    </xdr:to>
    <xdr:pic>
      <xdr:nvPicPr>
        <xdr:cNvPr id="7" name="Picture 6" descr="mini_meta">
          <a:hlinkClick xmlns:r="http://schemas.openxmlformats.org/officeDocument/2006/relationships" r:id="rId1" tooltip="Field Metadata"/>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1918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242887</xdr:colOff>
      <xdr:row>32</xdr:row>
      <xdr:rowOff>19050</xdr:rowOff>
    </xdr:from>
    <xdr:to>
      <xdr:col>18</xdr:col>
      <xdr:colOff>547687</xdr:colOff>
      <xdr:row>46</xdr:row>
      <xdr:rowOff>95250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495300</xdr:colOff>
      <xdr:row>1</xdr:row>
      <xdr:rowOff>133350</xdr:rowOff>
    </xdr:from>
    <xdr:to>
      <xdr:col>17</xdr:col>
      <xdr:colOff>570881</xdr:colOff>
      <xdr:row>21</xdr:row>
      <xdr:rowOff>37636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5981700" y="323850"/>
          <a:ext cx="4952381" cy="3714286"/>
        </a:xfrm>
        <a:prstGeom prst="rect">
          <a:avLst/>
        </a:prstGeom>
      </xdr:spPr>
    </xdr:pic>
    <xdr:clientData/>
  </xdr:twoCellAnchor>
  <xdr:twoCellAnchor editAs="oneCell">
    <xdr:from>
      <xdr:col>0</xdr:col>
      <xdr:colOff>400050</xdr:colOff>
      <xdr:row>1</xdr:row>
      <xdr:rowOff>19050</xdr:rowOff>
    </xdr:from>
    <xdr:to>
      <xdr:col>9</xdr:col>
      <xdr:colOff>266031</xdr:colOff>
      <xdr:row>42</xdr:row>
      <xdr:rowOff>65693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400050" y="209550"/>
          <a:ext cx="5352381" cy="7857143"/>
        </a:xfrm>
        <a:prstGeom prst="rect">
          <a:avLst/>
        </a:prstGeom>
      </xdr:spPr>
    </xdr:pic>
    <xdr:clientData/>
  </xdr:twoCellAnchor>
  <xdr:twoCellAnchor editAs="oneCell">
    <xdr:from>
      <xdr:col>11</xdr:col>
      <xdr:colOff>180763</xdr:colOff>
      <xdr:row>21</xdr:row>
      <xdr:rowOff>84879</xdr:rowOff>
    </xdr:from>
    <xdr:to>
      <xdr:col>25</xdr:col>
      <xdr:colOff>408268</xdr:colOff>
      <xdr:row>50</xdr:row>
      <xdr:rowOff>148527</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6886363" y="3996479"/>
          <a:ext cx="8761905" cy="5465381"/>
        </a:xfrm>
        <a:prstGeom prst="rect">
          <a:avLst/>
        </a:prstGeom>
      </xdr:spPr>
    </xdr:pic>
    <xdr:clientData/>
  </xdr:twoCellAnchor>
  <xdr:twoCellAnchor editAs="oneCell">
    <xdr:from>
      <xdr:col>18</xdr:col>
      <xdr:colOff>262255</xdr:colOff>
      <xdr:row>0</xdr:row>
      <xdr:rowOff>11430</xdr:rowOff>
    </xdr:from>
    <xdr:to>
      <xdr:col>28</xdr:col>
      <xdr:colOff>405130</xdr:colOff>
      <xdr:row>20</xdr:row>
      <xdr:rowOff>87630</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35055" y="11430"/>
          <a:ext cx="6238875" cy="3801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68580</xdr:colOff>
      <xdr:row>3</xdr:row>
      <xdr:rowOff>38100</xdr:rowOff>
    </xdr:from>
    <xdr:to>
      <xdr:col>37</xdr:col>
      <xdr:colOff>304800</xdr:colOff>
      <xdr:row>14</xdr:row>
      <xdr:rowOff>106680</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966180" y="586740"/>
          <a:ext cx="3893820" cy="2080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38100</xdr:colOff>
      <xdr:row>15</xdr:row>
      <xdr:rowOff>28575</xdr:rowOff>
    </xdr:from>
    <xdr:to>
      <xdr:col>37</xdr:col>
      <xdr:colOff>219075</xdr:colOff>
      <xdr:row>32</xdr:row>
      <xdr:rowOff>78574</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935700" y="2886075"/>
          <a:ext cx="3838575" cy="3288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0</xdr:colOff>
      <xdr:row>3</xdr:row>
      <xdr:rowOff>0</xdr:rowOff>
    </xdr:from>
    <xdr:to>
      <xdr:col>48</xdr:col>
      <xdr:colOff>257175</xdr:colOff>
      <xdr:row>26</xdr:row>
      <xdr:rowOff>9525</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0" y="571500"/>
          <a:ext cx="5133975"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190501</xdr:colOff>
      <xdr:row>8</xdr:row>
      <xdr:rowOff>95250</xdr:rowOff>
    </xdr:from>
    <xdr:to>
      <xdr:col>50</xdr:col>
      <xdr:colOff>485775</xdr:colOff>
      <xdr:row>38</xdr:row>
      <xdr:rowOff>0</xdr:rowOff>
    </xdr:to>
    <xdr:pic>
      <xdr:nvPicPr>
        <xdr:cNvPr id="10" name="Picture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971501" y="1619250"/>
          <a:ext cx="5205941" cy="561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01"/>
  <sheetViews>
    <sheetView tabSelected="1" topLeftCell="H1" zoomScale="90" zoomScaleNormal="90" workbookViewId="0">
      <selection activeCell="AA16" sqref="AA16:AF33"/>
    </sheetView>
  </sheetViews>
  <sheetFormatPr defaultColWidth="9.109375" defaultRowHeight="14.4"/>
  <cols>
    <col min="1" max="1" width="1.33203125" customWidth="1"/>
    <col min="2" max="16" width="8.77734375" customWidth="1"/>
    <col min="17" max="17" width="1.5546875" customWidth="1"/>
    <col min="18" max="18" width="6.6640625" style="87" customWidth="1"/>
    <col min="19" max="19" width="7.109375" customWidth="1"/>
    <col min="20" max="20" width="21.5546875" customWidth="1"/>
    <col min="22" max="22" width="12.44140625" customWidth="1"/>
    <col min="23" max="23" width="10.6640625" customWidth="1"/>
    <col min="24" max="24" width="9.44140625" customWidth="1"/>
    <col min="25" max="25" width="12.44140625" customWidth="1"/>
    <col min="26" max="26" width="2.33203125" customWidth="1"/>
    <col min="27" max="27" width="4.33203125" customWidth="1"/>
    <col min="28" max="28" width="22.88671875" customWidth="1"/>
    <col min="29" max="29" width="12.33203125" customWidth="1"/>
    <col min="30" max="30" width="10.109375" customWidth="1"/>
    <col min="31" max="31" width="11.109375" customWidth="1"/>
    <col min="32" max="32" width="11.5546875" customWidth="1"/>
    <col min="33" max="33" width="10.6640625" customWidth="1"/>
    <col min="34" max="34" width="1" style="87" customWidth="1"/>
  </cols>
  <sheetData>
    <row r="1" spans="1:35" ht="21" customHeight="1">
      <c r="A1" s="285" t="s">
        <v>121</v>
      </c>
      <c r="B1" s="285"/>
      <c r="C1" s="286"/>
      <c r="D1" s="286"/>
      <c r="E1" s="287"/>
      <c r="F1" s="288" t="s">
        <v>137</v>
      </c>
      <c r="G1" s="288"/>
      <c r="H1" s="288"/>
      <c r="I1" s="288"/>
      <c r="J1" s="288" t="s">
        <v>401</v>
      </c>
      <c r="K1" s="285"/>
      <c r="L1" s="285"/>
      <c r="M1" s="285"/>
      <c r="N1" s="287"/>
      <c r="O1" s="289"/>
      <c r="P1" s="289"/>
      <c r="Q1" s="289"/>
    </row>
    <row r="2" spans="1:35" ht="18">
      <c r="A2" s="88"/>
      <c r="B2" s="88"/>
      <c r="C2" s="89"/>
      <c r="D2" s="89"/>
      <c r="E2" s="90"/>
      <c r="F2" s="254"/>
      <c r="G2" s="254"/>
      <c r="H2" s="254"/>
      <c r="I2" s="254"/>
      <c r="J2" s="254"/>
      <c r="K2" s="91"/>
      <c r="L2" s="91"/>
      <c r="M2" s="91"/>
      <c r="N2" s="91"/>
      <c r="O2" s="91"/>
      <c r="P2" s="91"/>
      <c r="Q2" s="91"/>
      <c r="R2" s="91"/>
      <c r="S2" s="91"/>
      <c r="T2" s="91"/>
      <c r="U2" s="91"/>
      <c r="V2" s="91"/>
      <c r="W2" s="91"/>
      <c r="X2" s="91"/>
      <c r="Y2" s="87"/>
      <c r="Z2" s="87"/>
      <c r="AA2" s="87"/>
      <c r="AB2" s="87"/>
      <c r="AC2" s="87"/>
      <c r="AD2" s="87"/>
      <c r="AE2" s="87"/>
      <c r="AF2" s="87"/>
      <c r="AG2" s="87"/>
      <c r="AI2" s="87"/>
    </row>
    <row r="3" spans="1:35">
      <c r="A3" s="87"/>
      <c r="B3" s="87"/>
      <c r="C3" s="87"/>
      <c r="D3" s="87"/>
      <c r="E3" s="87"/>
      <c r="F3" s="87"/>
      <c r="G3" s="87"/>
      <c r="H3" s="87"/>
      <c r="I3" s="87"/>
      <c r="J3" s="87"/>
      <c r="K3" s="87"/>
      <c r="L3" s="87"/>
      <c r="M3" s="87"/>
      <c r="N3" s="87"/>
      <c r="O3" s="87"/>
      <c r="P3" s="87"/>
      <c r="Q3" s="87"/>
      <c r="S3" s="296" t="s">
        <v>155</v>
      </c>
      <c r="T3" s="297"/>
      <c r="U3" s="298" t="s">
        <v>6</v>
      </c>
      <c r="V3" s="299"/>
      <c r="W3" s="300" t="s">
        <v>120</v>
      </c>
      <c r="X3" s="301"/>
      <c r="Y3" s="302"/>
      <c r="Z3" s="87"/>
      <c r="AA3" s="135" t="s">
        <v>185</v>
      </c>
      <c r="AB3" s="136"/>
      <c r="AC3" s="129" t="s">
        <v>215</v>
      </c>
      <c r="AD3" s="129"/>
      <c r="AE3" s="130"/>
      <c r="AF3" s="129" t="s">
        <v>158</v>
      </c>
      <c r="AG3" s="143"/>
    </row>
    <row r="4" spans="1:35">
      <c r="A4" s="87"/>
      <c r="B4" s="87"/>
      <c r="C4" s="87"/>
      <c r="D4" s="87"/>
      <c r="E4" s="87"/>
      <c r="F4" s="87"/>
      <c r="G4" s="87"/>
      <c r="H4" s="87"/>
      <c r="I4" s="87"/>
      <c r="J4" s="87"/>
      <c r="K4" s="87"/>
      <c r="L4" s="87"/>
      <c r="M4" s="87"/>
      <c r="N4" s="87"/>
      <c r="O4" s="87"/>
      <c r="P4" s="87"/>
      <c r="Q4" s="87"/>
      <c r="S4" s="306" t="s">
        <v>119</v>
      </c>
      <c r="T4" s="307" t="s">
        <v>2</v>
      </c>
      <c r="U4" s="303" t="s">
        <v>367</v>
      </c>
      <c r="V4" s="304" t="s">
        <v>5</v>
      </c>
      <c r="W4" s="305" t="s">
        <v>38</v>
      </c>
      <c r="X4" s="305" t="s">
        <v>39</v>
      </c>
      <c r="Y4" s="304" t="s">
        <v>40</v>
      </c>
      <c r="Z4" s="87"/>
      <c r="AA4" s="131"/>
      <c r="AB4" s="132" t="s">
        <v>99</v>
      </c>
      <c r="AC4" s="133" t="s">
        <v>216</v>
      </c>
      <c r="AD4" s="133" t="s">
        <v>372</v>
      </c>
      <c r="AE4" s="133" t="s">
        <v>11</v>
      </c>
      <c r="AF4" s="133" t="s">
        <v>217</v>
      </c>
      <c r="AG4" s="134" t="s">
        <v>11</v>
      </c>
    </row>
    <row r="5" spans="1:35">
      <c r="A5" s="87"/>
      <c r="B5" s="87"/>
      <c r="C5" s="87"/>
      <c r="D5" s="87"/>
      <c r="E5" s="87"/>
      <c r="F5" s="87"/>
      <c r="G5" s="87"/>
      <c r="H5" s="87"/>
      <c r="I5" s="87"/>
      <c r="J5" s="87"/>
      <c r="K5" s="87"/>
      <c r="L5" s="87"/>
      <c r="M5" s="87"/>
      <c r="N5" s="87"/>
      <c r="O5" s="87"/>
      <c r="P5" s="87"/>
      <c r="Q5" s="87"/>
      <c r="S5" s="345" t="s">
        <v>287</v>
      </c>
      <c r="T5" s="77" t="s">
        <v>17</v>
      </c>
      <c r="U5" s="252">
        <f>Spawners!D6</f>
        <v>200</v>
      </c>
      <c r="V5" s="153">
        <f>Spawners!H6</f>
        <v>1100</v>
      </c>
      <c r="W5" s="75">
        <f>Spawners!AA6</f>
        <v>500</v>
      </c>
      <c r="X5" s="83">
        <f>Spawners!AB6</f>
        <v>750</v>
      </c>
      <c r="Y5" s="84">
        <f>Spawners!AC6</f>
        <v>1100</v>
      </c>
      <c r="Z5" s="87"/>
      <c r="AA5" s="346" t="s">
        <v>184</v>
      </c>
      <c r="AB5" s="80" t="s">
        <v>212</v>
      </c>
      <c r="AC5" s="9">
        <v>0</v>
      </c>
      <c r="AD5" s="24" t="s">
        <v>69</v>
      </c>
      <c r="AE5" s="24" t="s">
        <v>69</v>
      </c>
      <c r="AF5" s="280" t="s">
        <v>69</v>
      </c>
      <c r="AG5" s="137" t="s">
        <v>69</v>
      </c>
    </row>
    <row r="6" spans="1:35">
      <c r="A6" s="87"/>
      <c r="B6" s="87"/>
      <c r="C6" s="87"/>
      <c r="D6" s="87"/>
      <c r="E6" s="87"/>
      <c r="F6" s="87"/>
      <c r="G6" s="87"/>
      <c r="H6" s="87"/>
      <c r="I6" s="87"/>
      <c r="J6" s="87"/>
      <c r="K6" s="87"/>
      <c r="L6" s="87"/>
      <c r="M6" s="87"/>
      <c r="N6" s="87"/>
      <c r="O6" s="87"/>
      <c r="P6" s="87"/>
      <c r="Q6" s="87"/>
      <c r="S6" s="345"/>
      <c r="T6" s="78" t="s">
        <v>18</v>
      </c>
      <c r="U6" s="250">
        <f>Spawners!D7</f>
        <v>1500</v>
      </c>
      <c r="V6" s="154">
        <f>Spawners!H7</f>
        <v>3500</v>
      </c>
      <c r="W6" s="93">
        <f>Spawners!AA7</f>
        <v>1000</v>
      </c>
      <c r="X6" s="12">
        <f>Spawners!AB7</f>
        <v>2000</v>
      </c>
      <c r="Y6" s="85">
        <f>Spawners!AC7</f>
        <v>3000</v>
      </c>
      <c r="Z6" s="87"/>
      <c r="AA6" s="346"/>
      <c r="AB6" s="80" t="s">
        <v>213</v>
      </c>
      <c r="AC6" s="38">
        <v>1.2E-2</v>
      </c>
      <c r="AD6" s="343" t="s">
        <v>222</v>
      </c>
      <c r="AE6" s="343" t="s">
        <v>374</v>
      </c>
      <c r="AF6" s="178">
        <v>700</v>
      </c>
      <c r="AG6" s="337">
        <f>AG9</f>
        <v>80400</v>
      </c>
    </row>
    <row r="7" spans="1:35">
      <c r="A7" s="87"/>
      <c r="B7" s="87"/>
      <c r="C7" s="87"/>
      <c r="D7" s="87"/>
      <c r="E7" s="87"/>
      <c r="F7" s="87"/>
      <c r="G7" s="87"/>
      <c r="H7" s="87"/>
      <c r="I7" s="87"/>
      <c r="J7" s="87"/>
      <c r="K7" s="87"/>
      <c r="L7" s="87"/>
      <c r="M7" s="87"/>
      <c r="N7" s="87"/>
      <c r="O7" s="87"/>
      <c r="P7" s="87"/>
      <c r="Q7" s="87"/>
      <c r="S7" s="345"/>
      <c r="T7" s="78" t="s">
        <v>42</v>
      </c>
      <c r="U7" s="250">
        <f>ROUND(Spawners!D8,-2)</f>
        <v>400</v>
      </c>
      <c r="V7" s="154">
        <f>ROUND(AVERAGE(439,3726),-3)</f>
        <v>2000</v>
      </c>
      <c r="W7" s="93">
        <f>Spawners!AA8</f>
        <v>500</v>
      </c>
      <c r="X7" s="12">
        <f>Spawners!AB8</f>
        <v>1000</v>
      </c>
      <c r="Y7" s="85">
        <f>Spawners!AC8</f>
        <v>1500</v>
      </c>
      <c r="Z7" s="87"/>
      <c r="AA7" s="346"/>
      <c r="AB7" s="80" t="s">
        <v>214</v>
      </c>
      <c r="AC7" s="38">
        <v>6.3E-2</v>
      </c>
      <c r="AD7" s="343"/>
      <c r="AE7" s="343"/>
      <c r="AF7" s="178">
        <v>2800</v>
      </c>
      <c r="AG7" s="338"/>
    </row>
    <row r="8" spans="1:35">
      <c r="A8" s="87"/>
      <c r="B8" s="87"/>
      <c r="C8" s="87"/>
      <c r="D8" s="87"/>
      <c r="E8" s="87"/>
      <c r="F8" s="87"/>
      <c r="G8" s="87"/>
      <c r="H8" s="87"/>
      <c r="I8" s="87"/>
      <c r="J8" s="87"/>
      <c r="K8" s="87"/>
      <c r="L8" s="87"/>
      <c r="M8" s="87"/>
      <c r="N8" s="87"/>
      <c r="O8" s="87"/>
      <c r="P8" s="87"/>
      <c r="Q8" s="87"/>
      <c r="S8" s="345"/>
      <c r="T8" s="78" t="s">
        <v>43</v>
      </c>
      <c r="U8" s="250">
        <f>ROUND(Spawners!D9,-2)</f>
        <v>1700</v>
      </c>
      <c r="V8" s="154">
        <f>ROUND(Spawners!H9,-2)</f>
        <v>14700</v>
      </c>
      <c r="W8" s="93">
        <f>Spawners!AA9</f>
        <v>1000</v>
      </c>
      <c r="X8" s="12">
        <f>Spawners!AB9</f>
        <v>2000</v>
      </c>
      <c r="Y8" s="85">
        <f>Spawners!AC9</f>
        <v>3400</v>
      </c>
      <c r="Z8" s="87"/>
      <c r="AA8" s="346"/>
      <c r="AB8" s="80" t="s">
        <v>163</v>
      </c>
      <c r="AC8" s="283">
        <v>0.02</v>
      </c>
      <c r="AE8" s="24"/>
      <c r="AF8" s="24">
        <f>ROUND(AC8*AC27,-2)</f>
        <v>800</v>
      </c>
      <c r="AG8" s="339"/>
    </row>
    <row r="9" spans="1:35">
      <c r="A9" s="87"/>
      <c r="B9" s="87"/>
      <c r="C9" s="87"/>
      <c r="D9" s="87"/>
      <c r="E9" s="87"/>
      <c r="F9" s="87"/>
      <c r="G9" s="87"/>
      <c r="H9" s="87"/>
      <c r="I9" s="87"/>
      <c r="J9" s="87"/>
      <c r="K9" s="87"/>
      <c r="L9" s="87"/>
      <c r="M9" s="87"/>
      <c r="N9" s="87"/>
      <c r="O9" s="87"/>
      <c r="P9" s="87"/>
      <c r="Q9" s="87"/>
      <c r="S9" s="345"/>
      <c r="T9" s="78" t="s">
        <v>44</v>
      </c>
      <c r="U9" s="250">
        <f>ROUND(Spawners!D10,-2)</f>
        <v>600</v>
      </c>
      <c r="V9" s="154">
        <f>ROUND(Spawners!H10,-2)</f>
        <v>6900</v>
      </c>
      <c r="W9" s="93">
        <f>Spawners!AA10</f>
        <v>1500</v>
      </c>
      <c r="X9" s="12">
        <f>Spawners!AB10</f>
        <v>3000</v>
      </c>
      <c r="Y9" s="85">
        <f>Spawners!AC10</f>
        <v>2800</v>
      </c>
      <c r="Z9" s="87"/>
      <c r="AA9" s="346"/>
      <c r="AB9" s="150" t="s">
        <v>68</v>
      </c>
      <c r="AC9" s="159">
        <f>SUM(AC5:AC8)</f>
        <v>9.5000000000000001E-2</v>
      </c>
      <c r="AD9" s="152"/>
      <c r="AE9" s="151"/>
      <c r="AF9" s="253">
        <f>SUM(AF5:AF8)</f>
        <v>4300</v>
      </c>
      <c r="AG9" s="278">
        <f>AF31</f>
        <v>80400</v>
      </c>
    </row>
    <row r="10" spans="1:35">
      <c r="A10" s="87"/>
      <c r="B10" s="87"/>
      <c r="C10" s="87"/>
      <c r="D10" s="87"/>
      <c r="E10" s="87"/>
      <c r="F10" s="87"/>
      <c r="G10" s="87"/>
      <c r="H10" s="87"/>
      <c r="I10" s="87"/>
      <c r="J10" s="87"/>
      <c r="K10" s="87"/>
      <c r="L10" s="87"/>
      <c r="M10" s="87"/>
      <c r="N10" s="87"/>
      <c r="O10" s="87"/>
      <c r="P10" s="87"/>
      <c r="Q10" s="87"/>
      <c r="S10" s="345"/>
      <c r="T10" s="78" t="s">
        <v>20</v>
      </c>
      <c r="U10" s="250">
        <f>ROUND(Spawners!D11,-2)</f>
        <v>0</v>
      </c>
      <c r="V10" s="154">
        <f>ROUND(Spawners!H11,-2)</f>
        <v>14800</v>
      </c>
      <c r="W10" s="93">
        <f>Spawners!AA11</f>
        <v>2250</v>
      </c>
      <c r="X10" s="12">
        <f>Spawners!AB11</f>
        <v>4500</v>
      </c>
      <c r="Y10" s="85">
        <f>Spawners!AC11</f>
        <v>4900</v>
      </c>
      <c r="Z10" s="87"/>
      <c r="AA10" s="347" t="s">
        <v>84</v>
      </c>
      <c r="AB10" s="80" t="s">
        <v>212</v>
      </c>
      <c r="AC10" s="9">
        <v>0</v>
      </c>
      <c r="AD10" s="24" t="s">
        <v>69</v>
      </c>
      <c r="AE10" s="24" t="s">
        <v>69</v>
      </c>
      <c r="AF10" s="280" t="s">
        <v>69</v>
      </c>
      <c r="AG10" s="137" t="s">
        <v>69</v>
      </c>
    </row>
    <row r="11" spans="1:35">
      <c r="A11" s="87"/>
      <c r="B11" s="87"/>
      <c r="C11" s="87"/>
      <c r="D11" s="87"/>
      <c r="E11" s="87"/>
      <c r="F11" s="87"/>
      <c r="G11" s="87"/>
      <c r="H11" s="87"/>
      <c r="I11" s="87"/>
      <c r="J11" s="87"/>
      <c r="K11" s="87"/>
      <c r="L11" s="87"/>
      <c r="M11" s="87"/>
      <c r="N11" s="87"/>
      <c r="O11" s="87"/>
      <c r="P11" s="87"/>
      <c r="Q11" s="87"/>
      <c r="S11" s="345"/>
      <c r="T11" s="79" t="s">
        <v>19</v>
      </c>
      <c r="U11" s="251">
        <f>Spawners!D12</f>
        <v>455</v>
      </c>
      <c r="V11" s="155">
        <f>Spawners!H12</f>
        <v>600</v>
      </c>
      <c r="W11" s="94">
        <f>Spawners!AA12</f>
        <v>500</v>
      </c>
      <c r="X11" s="45">
        <f>Spawners!AB12</f>
        <v>550</v>
      </c>
      <c r="Y11" s="86">
        <f>Spawners!AC12</f>
        <v>600</v>
      </c>
      <c r="Z11" s="87"/>
      <c r="AA11" s="348"/>
      <c r="AB11" s="80" t="s">
        <v>213</v>
      </c>
      <c r="AC11" s="281">
        <v>0.13</v>
      </c>
      <c r="AD11" s="342" t="s">
        <v>398</v>
      </c>
      <c r="AE11" s="342" t="s">
        <v>398</v>
      </c>
      <c r="AF11" s="178">
        <v>7100</v>
      </c>
      <c r="AG11" s="337">
        <f>AG14</f>
        <v>29700</v>
      </c>
    </row>
    <row r="12" spans="1:35">
      <c r="A12" s="87"/>
      <c r="B12" s="87"/>
      <c r="C12" s="87"/>
      <c r="D12" s="87"/>
      <c r="E12" s="87"/>
      <c r="F12" s="87"/>
      <c r="G12" s="87"/>
      <c r="H12" s="87"/>
      <c r="I12" s="87"/>
      <c r="J12" s="87"/>
      <c r="K12" s="87"/>
      <c r="L12" s="87"/>
      <c r="M12" s="87"/>
      <c r="N12" s="87"/>
      <c r="O12" s="87"/>
      <c r="P12" s="87"/>
      <c r="Q12" s="87"/>
      <c r="S12" s="345" t="s">
        <v>21</v>
      </c>
      <c r="T12" s="75" t="s">
        <v>45</v>
      </c>
      <c r="U12" s="252">
        <f>ROUND(Spawners!D13,-2)</f>
        <v>1600</v>
      </c>
      <c r="V12" s="156">
        <f>ROUND(Spawners!H13,-2)</f>
        <v>10100</v>
      </c>
      <c r="W12" s="83">
        <f>Spawners!AA13</f>
        <v>2250</v>
      </c>
      <c r="X12" s="83">
        <f>Spawners!AB13</f>
        <v>4500</v>
      </c>
      <c r="Y12" s="84">
        <f>Spawners!AC13</f>
        <v>6750</v>
      </c>
      <c r="Z12" s="87"/>
      <c r="AA12" s="348"/>
      <c r="AB12" s="80" t="s">
        <v>214</v>
      </c>
      <c r="AC12" s="281">
        <v>0.06</v>
      </c>
      <c r="AD12" s="343"/>
      <c r="AE12" s="343"/>
      <c r="AF12" s="178">
        <v>3300</v>
      </c>
      <c r="AG12" s="340"/>
    </row>
    <row r="13" spans="1:35">
      <c r="A13" s="87"/>
      <c r="B13" s="87"/>
      <c r="C13" s="87"/>
      <c r="D13" s="87"/>
      <c r="E13" s="87"/>
      <c r="F13" s="87"/>
      <c r="G13" s="87"/>
      <c r="H13" s="87"/>
      <c r="I13" s="87"/>
      <c r="J13" s="87"/>
      <c r="K13" s="87"/>
      <c r="L13" s="87"/>
      <c r="M13" s="87"/>
      <c r="N13" s="87"/>
      <c r="O13" s="87"/>
      <c r="P13" s="87"/>
      <c r="Q13" s="87"/>
      <c r="S13" s="345"/>
      <c r="T13" s="80" t="s">
        <v>24</v>
      </c>
      <c r="U13" s="250">
        <f>ROUND(Spawners!D14,-2)</f>
        <v>2000</v>
      </c>
      <c r="V13" s="157">
        <f>ROUND(Spawners!H14,-2)</f>
        <v>14700</v>
      </c>
      <c r="W13" s="12">
        <f>Spawners!AA14</f>
        <v>1500</v>
      </c>
      <c r="X13" s="12">
        <f>Spawners!AB14</f>
        <v>3000</v>
      </c>
      <c r="Y13" s="85">
        <f>Spawners!AC14</f>
        <v>4500</v>
      </c>
      <c r="Z13" s="87"/>
      <c r="AA13" s="348"/>
      <c r="AB13" s="80" t="s">
        <v>163</v>
      </c>
      <c r="AC13" s="283">
        <v>0.2</v>
      </c>
      <c r="AD13" s="24"/>
      <c r="AE13" s="24"/>
      <c r="AF13" s="282">
        <f>ROUND(AF14-AF12-AF11,-2)</f>
        <v>12100</v>
      </c>
      <c r="AG13" s="341"/>
    </row>
    <row r="14" spans="1:35">
      <c r="A14" s="87"/>
      <c r="B14" s="87"/>
      <c r="C14" s="87"/>
      <c r="D14" s="87"/>
      <c r="E14" s="87"/>
      <c r="F14" s="87"/>
      <c r="G14" s="87"/>
      <c r="H14" s="87"/>
      <c r="I14" s="87"/>
      <c r="J14" s="87"/>
      <c r="K14" s="87"/>
      <c r="L14" s="87"/>
      <c r="M14" s="87"/>
      <c r="N14" s="87"/>
      <c r="O14" s="87"/>
      <c r="P14" s="87"/>
      <c r="Q14" s="87"/>
      <c r="S14" s="345"/>
      <c r="T14" s="80" t="s">
        <v>23</v>
      </c>
      <c r="U14" s="250">
        <f>ROUND(Spawners!D15,-2)</f>
        <v>1700</v>
      </c>
      <c r="V14" s="157">
        <f>ROUND(Spawners!H15,-2)</f>
        <v>5900</v>
      </c>
      <c r="W14" s="12">
        <f>Spawners!AA15</f>
        <v>1000</v>
      </c>
      <c r="X14" s="12">
        <f>Spawners!AB15</f>
        <v>2100</v>
      </c>
      <c r="Y14" s="85">
        <f>Spawners!AC15</f>
        <v>3900</v>
      </c>
      <c r="Z14" s="87"/>
      <c r="AA14" s="349"/>
      <c r="AB14" s="150" t="s">
        <v>68</v>
      </c>
      <c r="AC14" s="173">
        <f>AC11+AC12+AC13</f>
        <v>0.39</v>
      </c>
      <c r="AD14" s="179" t="str">
        <f>AD11</f>
        <v>~70%</v>
      </c>
      <c r="AE14" s="179" t="str">
        <f>AE11</f>
        <v>~70%</v>
      </c>
      <c r="AF14" s="253">
        <f>ROUND(Conv!F41,-2)</f>
        <v>22500</v>
      </c>
      <c r="AG14" s="278">
        <f>AF32</f>
        <v>29700</v>
      </c>
    </row>
    <row r="15" spans="1:35">
      <c r="A15" s="87"/>
      <c r="B15" s="87"/>
      <c r="C15" s="87"/>
      <c r="D15" s="87"/>
      <c r="E15" s="87"/>
      <c r="F15" s="87"/>
      <c r="G15" s="87"/>
      <c r="H15" s="87"/>
      <c r="I15" s="87"/>
      <c r="J15" s="87"/>
      <c r="K15" s="87"/>
      <c r="L15" s="87"/>
      <c r="M15" s="87"/>
      <c r="N15" s="87"/>
      <c r="O15" s="87"/>
      <c r="P15" s="87"/>
      <c r="Q15" s="87"/>
      <c r="S15" s="345"/>
      <c r="T15" s="80" t="s">
        <v>25</v>
      </c>
      <c r="U15" s="250">
        <f>ROUND(Spawners!D16,-2)</f>
        <v>800</v>
      </c>
      <c r="V15" s="157">
        <f>ROUND(Spawners!H16,-2)</f>
        <v>2900</v>
      </c>
      <c r="W15">
        <f>Spawners!AA16</f>
        <v>500</v>
      </c>
      <c r="X15">
        <f>Spawners!AB16</f>
        <v>1000</v>
      </c>
      <c r="Y15" s="81">
        <f>Spawners!AC16</f>
        <v>1500</v>
      </c>
      <c r="Z15" s="87"/>
      <c r="AA15" s="87"/>
      <c r="AB15" s="87"/>
      <c r="AC15" s="87"/>
      <c r="AD15" s="87"/>
      <c r="AE15" s="87"/>
      <c r="AF15" s="87"/>
      <c r="AG15" s="87"/>
      <c r="AI15" s="87"/>
    </row>
    <row r="16" spans="1:35">
      <c r="A16" s="87"/>
      <c r="B16" s="87"/>
      <c r="C16" s="87"/>
      <c r="D16" s="87"/>
      <c r="E16" s="87"/>
      <c r="F16" s="87"/>
      <c r="G16" s="87"/>
      <c r="H16" s="87"/>
      <c r="I16" s="87"/>
      <c r="J16" s="87"/>
      <c r="K16" s="87"/>
      <c r="L16" s="87"/>
      <c r="M16" s="87"/>
      <c r="N16" s="87"/>
      <c r="O16" s="87"/>
      <c r="P16" s="87"/>
      <c r="Q16" s="87"/>
      <c r="S16" s="345"/>
      <c r="T16" s="82" t="s">
        <v>22</v>
      </c>
      <c r="U16" s="251">
        <f>ROUND(Spawners!D17,-2)</f>
        <v>700</v>
      </c>
      <c r="V16" s="158">
        <f>ROUND(Spawners!H17,-2)</f>
        <v>5900</v>
      </c>
      <c r="W16" s="45">
        <f>Spawners!AA17</f>
        <v>1000</v>
      </c>
      <c r="X16" s="45">
        <f>Spawners!AB17</f>
        <v>2000</v>
      </c>
      <c r="Y16" s="86">
        <f>Spawners!AC17</f>
        <v>3000</v>
      </c>
      <c r="Z16" s="87"/>
      <c r="AA16" s="351" t="s">
        <v>208</v>
      </c>
      <c r="AB16" s="352"/>
      <c r="AC16" s="314" t="s">
        <v>6</v>
      </c>
      <c r="AD16" s="315" t="s">
        <v>209</v>
      </c>
      <c r="AE16" s="316"/>
      <c r="AF16" s="317"/>
      <c r="AG16" s="87"/>
    </row>
    <row r="17" spans="1:37">
      <c r="A17" s="87"/>
      <c r="B17" s="87"/>
      <c r="C17" s="87"/>
      <c r="D17" s="87"/>
      <c r="E17" s="87"/>
      <c r="F17" s="87"/>
      <c r="G17" s="87"/>
      <c r="H17" s="87"/>
      <c r="I17" s="87"/>
      <c r="J17" s="87"/>
      <c r="K17" s="87"/>
      <c r="L17" s="87"/>
      <c r="M17" s="87"/>
      <c r="N17" s="87"/>
      <c r="O17" s="87"/>
      <c r="P17" s="87"/>
      <c r="Q17" s="87"/>
      <c r="S17" s="344" t="s">
        <v>118</v>
      </c>
      <c r="T17" s="77" t="s">
        <v>27</v>
      </c>
      <c r="U17" s="252">
        <f>Spawners!D19</f>
        <v>0</v>
      </c>
      <c r="V17" s="178" t="s">
        <v>69</v>
      </c>
      <c r="W17" s="249">
        <f>Spawners!AA19</f>
        <v>1000</v>
      </c>
      <c r="X17" s="83">
        <f>Spawners!AB19</f>
        <v>2000</v>
      </c>
      <c r="Y17" s="84">
        <f>Spawners!AC19</f>
        <v>3000</v>
      </c>
      <c r="Z17" s="87"/>
      <c r="AA17" s="353"/>
      <c r="AB17" s="354"/>
      <c r="AC17" s="318" t="s">
        <v>373</v>
      </c>
      <c r="AD17" s="319" t="s">
        <v>38</v>
      </c>
      <c r="AE17" s="319" t="s">
        <v>39</v>
      </c>
      <c r="AF17" s="320" t="s">
        <v>40</v>
      </c>
      <c r="AG17" s="87"/>
    </row>
    <row r="18" spans="1:37">
      <c r="A18" s="87"/>
      <c r="B18" s="87"/>
      <c r="C18" s="87"/>
      <c r="D18" s="87"/>
      <c r="E18" s="87"/>
      <c r="F18" s="87"/>
      <c r="G18" s="87"/>
      <c r="H18" s="87"/>
      <c r="I18" s="87"/>
      <c r="J18" s="87"/>
      <c r="K18" s="87"/>
      <c r="L18" s="87"/>
      <c r="M18" s="87"/>
      <c r="N18" s="87"/>
      <c r="O18" s="87"/>
      <c r="P18" s="87"/>
      <c r="Q18" s="87"/>
      <c r="S18" s="344"/>
      <c r="T18" s="78" t="s">
        <v>28</v>
      </c>
      <c r="U18" s="250">
        <f>ROUND(Spawners!D20,-2)</f>
        <v>2400</v>
      </c>
      <c r="V18" s="154">
        <f>Y18</f>
        <v>7000</v>
      </c>
      <c r="W18" s="93">
        <f>Spawners!AA20</f>
        <v>1500</v>
      </c>
      <c r="X18" s="12">
        <f>Spawners!AB20</f>
        <v>4000</v>
      </c>
      <c r="Y18" s="85">
        <f>Spawners!AC20</f>
        <v>7000</v>
      </c>
      <c r="Z18" s="87"/>
      <c r="AA18" s="140" t="s">
        <v>210</v>
      </c>
      <c r="AC18" s="321">
        <f>Runs!J88</f>
        <v>101000</v>
      </c>
      <c r="AD18" s="328">
        <f>AD19+AD20</f>
        <v>110000</v>
      </c>
      <c r="AE18" s="328">
        <f t="shared" ref="AE18:AF18" si="0">AE19+AE20</f>
        <v>173400</v>
      </c>
      <c r="AF18" s="329">
        <f t="shared" si="0"/>
        <v>273900</v>
      </c>
      <c r="AG18" s="87"/>
    </row>
    <row r="19" spans="1:37">
      <c r="A19" s="87"/>
      <c r="B19" s="87"/>
      <c r="C19" s="87"/>
      <c r="D19" s="87"/>
      <c r="E19" s="87"/>
      <c r="F19" s="87"/>
      <c r="G19" s="87"/>
      <c r="H19" s="87"/>
      <c r="I19" s="87"/>
      <c r="J19" s="87"/>
      <c r="K19" s="87"/>
      <c r="L19" s="87"/>
      <c r="M19" s="87"/>
      <c r="N19" s="87"/>
      <c r="O19" s="87"/>
      <c r="P19" s="87"/>
      <c r="Q19" s="87"/>
      <c r="S19" s="344"/>
      <c r="T19" s="78" t="s">
        <v>29</v>
      </c>
      <c r="U19" s="250">
        <f>ROUND(Spawners!D21,-2)</f>
        <v>900</v>
      </c>
      <c r="V19" s="350">
        <f>ROUND(Spawners!H21,-2)</f>
        <v>16500</v>
      </c>
      <c r="W19" s="93">
        <f>Spawners!AA21</f>
        <v>1000</v>
      </c>
      <c r="X19" s="12">
        <f>Spawners!AB21</f>
        <v>2000</v>
      </c>
      <c r="Y19" s="85">
        <f>Spawners!AC21</f>
        <v>3400</v>
      </c>
      <c r="Z19" s="87"/>
      <c r="AA19" s="80"/>
      <c r="AB19" t="s">
        <v>184</v>
      </c>
      <c r="AC19" s="322">
        <f>Runs!H88</f>
        <v>43000</v>
      </c>
      <c r="AD19" s="326">
        <f>ROUND(Conv!I16,-3)</f>
        <v>52000</v>
      </c>
      <c r="AE19" s="326">
        <f>ROUND(Conv!M16,-3)</f>
        <v>123000</v>
      </c>
      <c r="AF19" s="327">
        <f>ROUND(Conv!Q16,-3)</f>
        <v>231000</v>
      </c>
      <c r="AG19" s="87"/>
    </row>
    <row r="20" spans="1:37">
      <c r="A20" s="87"/>
      <c r="B20" s="87"/>
      <c r="C20" s="87"/>
      <c r="D20" s="87" t="s">
        <v>4</v>
      </c>
      <c r="E20" s="256">
        <f>U25</f>
        <v>18155</v>
      </c>
      <c r="F20" s="87"/>
      <c r="G20" s="87"/>
      <c r="H20" s="87"/>
      <c r="I20" s="87"/>
      <c r="J20" s="87"/>
      <c r="K20" s="87"/>
      <c r="L20" s="87"/>
      <c r="M20" s="87"/>
      <c r="N20" s="87"/>
      <c r="O20" s="87"/>
      <c r="P20" s="87"/>
      <c r="Q20" s="87"/>
      <c r="S20" s="344"/>
      <c r="T20" s="79" t="s">
        <v>30</v>
      </c>
      <c r="U20" s="251">
        <f>Spawners!D22</f>
        <v>200</v>
      </c>
      <c r="V20" s="339"/>
      <c r="W20" s="94">
        <f>Spawners!AA22</f>
        <v>1000</v>
      </c>
      <c r="X20" s="45">
        <f>Spawners!AB22</f>
        <v>2000</v>
      </c>
      <c r="Y20" s="86">
        <f>Spawners!AC22</f>
        <v>2200</v>
      </c>
      <c r="Z20" s="87"/>
      <c r="AA20" s="80"/>
      <c r="AB20" t="s">
        <v>84</v>
      </c>
      <c r="AC20" s="322">
        <f>Runs!I88</f>
        <v>58000</v>
      </c>
      <c r="AD20" s="326">
        <f>ROUND(Conv!I28,-2)</f>
        <v>58000</v>
      </c>
      <c r="AE20" s="326">
        <f>ROUND(Conv!M28,-2)</f>
        <v>50400</v>
      </c>
      <c r="AF20" s="327">
        <f>ROUND(Conv!Q28,-2)</f>
        <v>42900</v>
      </c>
      <c r="AG20" s="87"/>
    </row>
    <row r="21" spans="1:37">
      <c r="A21" s="87"/>
      <c r="B21" s="87"/>
      <c r="C21" s="87"/>
      <c r="D21" s="87" t="s">
        <v>369</v>
      </c>
      <c r="E21" s="256">
        <f>W25</f>
        <v>21500</v>
      </c>
      <c r="F21" s="87"/>
      <c r="G21" s="87"/>
      <c r="H21" s="87"/>
      <c r="I21" s="87"/>
      <c r="J21" s="87"/>
      <c r="K21" s="87"/>
      <c r="L21" s="87"/>
      <c r="M21" s="87"/>
      <c r="N21" s="87"/>
      <c r="O21" s="87"/>
      <c r="P21" s="87"/>
      <c r="Q21" s="87"/>
      <c r="S21" s="345" t="s">
        <v>31</v>
      </c>
      <c r="T21" s="75" t="s">
        <v>32</v>
      </c>
      <c r="U21" s="252">
        <f>ROUND(Spawners!D24,-2)</f>
        <v>1100</v>
      </c>
      <c r="V21" s="156">
        <f>ROUND(Spawners!H24,-2)</f>
        <v>4000</v>
      </c>
      <c r="W21" s="83">
        <f>Spawners!AA24</f>
        <v>1000</v>
      </c>
      <c r="X21" s="83">
        <f>Spawners!AB24</f>
        <v>1500</v>
      </c>
      <c r="Y21" s="84">
        <f>Spawners!AC24</f>
        <v>2000</v>
      </c>
      <c r="Z21" s="87"/>
      <c r="AA21" s="82"/>
      <c r="AB21" s="43" t="s">
        <v>211</v>
      </c>
      <c r="AC21" s="323">
        <f>AC20/AC18</f>
        <v>0.57425742574257421</v>
      </c>
      <c r="AD21" s="330">
        <f>AD20/AD18</f>
        <v>0.52727272727272723</v>
      </c>
      <c r="AE21" s="330">
        <f t="shared" ref="AE21:AF21" si="1">AE20/AE18</f>
        <v>0.29065743944636679</v>
      </c>
      <c r="AF21" s="331">
        <f t="shared" si="1"/>
        <v>0.15662650602409639</v>
      </c>
      <c r="AG21" s="87"/>
    </row>
    <row r="22" spans="1:37">
      <c r="A22" s="87"/>
      <c r="B22" s="87"/>
      <c r="C22" s="87"/>
      <c r="D22" s="87" t="s">
        <v>370</v>
      </c>
      <c r="E22" s="256">
        <f>X25</f>
        <v>43850</v>
      </c>
      <c r="F22" s="87"/>
      <c r="G22" s="87"/>
      <c r="H22" s="87"/>
      <c r="I22" s="87"/>
      <c r="J22" s="87"/>
      <c r="K22" s="87"/>
      <c r="L22" s="87"/>
      <c r="M22" s="87"/>
      <c r="N22" s="87"/>
      <c r="O22" s="87"/>
      <c r="P22" s="87"/>
      <c r="Q22" s="87"/>
      <c r="S22" s="345"/>
      <c r="T22" s="80" t="s">
        <v>33</v>
      </c>
      <c r="U22" s="250">
        <f>ROUND(Spawners!D25,-2)</f>
        <v>500</v>
      </c>
      <c r="V22" s="157">
        <f>ROUND(Spawners!H25,-2)</f>
        <v>3400</v>
      </c>
      <c r="W22" s="12">
        <v>500</v>
      </c>
      <c r="X22" s="12">
        <v>1000</v>
      </c>
      <c r="Y22" s="85">
        <f>Spawners!AC25</f>
        <v>1500</v>
      </c>
      <c r="Z22" s="87"/>
      <c r="AA22" s="141" t="s">
        <v>221</v>
      </c>
      <c r="AC22" s="321">
        <f>Runs!T88</f>
        <v>97000</v>
      </c>
      <c r="AD22" s="328">
        <f>AD23+AD24</f>
        <v>105000.32000000001</v>
      </c>
      <c r="AE22" s="328">
        <f t="shared" ref="AE22" si="2">AE23+AE24</f>
        <v>159900</v>
      </c>
      <c r="AF22" s="329">
        <f t="shared" ref="AF22" si="3">AF23+AF24</f>
        <v>242300</v>
      </c>
      <c r="AG22" s="87"/>
    </row>
    <row r="23" spans="1:37">
      <c r="A23" s="87"/>
      <c r="B23" s="87"/>
      <c r="C23" s="87"/>
      <c r="D23" s="87" t="s">
        <v>371</v>
      </c>
      <c r="E23" s="256">
        <f>Y25</f>
        <v>69150</v>
      </c>
      <c r="F23" s="87"/>
      <c r="G23" s="87"/>
      <c r="H23" s="87"/>
      <c r="I23" s="87"/>
      <c r="J23" s="87"/>
      <c r="K23" s="87"/>
      <c r="L23" s="87"/>
      <c r="M23" s="87"/>
      <c r="N23" s="87"/>
      <c r="O23" s="87"/>
      <c r="P23" s="87"/>
      <c r="Q23" s="87"/>
      <c r="S23" s="345"/>
      <c r="T23" s="80" t="s">
        <v>34</v>
      </c>
      <c r="U23" s="250">
        <f>ROUND(Spawners!D26,-2)</f>
        <v>1200</v>
      </c>
      <c r="V23" s="157">
        <f>ROUND(Spawners!H26,-2)</f>
        <v>8400</v>
      </c>
      <c r="W23" s="12">
        <f>Spawners!AA26</f>
        <v>1500</v>
      </c>
      <c r="X23" s="12">
        <f>Spawners!AB26</f>
        <v>3450</v>
      </c>
      <c r="Y23" s="85">
        <f>Spawners!AC26</f>
        <v>5400</v>
      </c>
      <c r="Z23" s="87"/>
      <c r="AA23" s="80"/>
      <c r="AB23" t="s">
        <v>184</v>
      </c>
      <c r="AC23" s="322">
        <f>Runs!R88</f>
        <v>43000</v>
      </c>
      <c r="AD23" s="326">
        <f>ROUND(Conv!I13,-3)</f>
        <v>51000</v>
      </c>
      <c r="AE23" s="326">
        <f>ROUND(Conv!M13,-3)</f>
        <v>116000</v>
      </c>
      <c r="AF23" s="327">
        <f>ROUND(Conv!Q13,-3)</f>
        <v>208000</v>
      </c>
      <c r="AG23" s="87"/>
    </row>
    <row r="24" spans="1:37">
      <c r="A24" s="87"/>
      <c r="B24" s="87"/>
      <c r="C24" s="87"/>
      <c r="D24" s="87" t="s">
        <v>5</v>
      </c>
      <c r="E24" s="256">
        <f>V25</f>
        <v>132800</v>
      </c>
      <c r="F24" s="87"/>
      <c r="G24" s="87"/>
      <c r="H24" s="87"/>
      <c r="I24" s="87"/>
      <c r="J24" s="87"/>
      <c r="K24" s="87"/>
      <c r="L24" s="87"/>
      <c r="M24" s="87"/>
      <c r="N24" s="87"/>
      <c r="O24" s="87"/>
      <c r="P24" s="87"/>
      <c r="Q24" s="87"/>
      <c r="S24" s="345"/>
      <c r="T24" s="82" t="s">
        <v>22</v>
      </c>
      <c r="U24" s="251">
        <f>ROUND(Spawners!D27,-2)</f>
        <v>200</v>
      </c>
      <c r="V24" s="158">
        <f>ROUND(Spawners!H27,-2)</f>
        <v>10400</v>
      </c>
      <c r="W24" s="45">
        <f>Spawners!AA27</f>
        <v>500</v>
      </c>
      <c r="X24" s="45">
        <f>Spawners!AB27</f>
        <v>1500</v>
      </c>
      <c r="Y24" s="86">
        <f>Spawners!AC27</f>
        <v>7700</v>
      </c>
      <c r="Z24" s="87"/>
      <c r="AA24" s="80"/>
      <c r="AB24" t="s">
        <v>84</v>
      </c>
      <c r="AC24" s="322">
        <f>Runs!S88</f>
        <v>54000</v>
      </c>
      <c r="AD24" s="326">
        <f>Conv!I31</f>
        <v>54000.32</v>
      </c>
      <c r="AE24" s="326">
        <f>ROUND(Conv!M31,-2)</f>
        <v>43900</v>
      </c>
      <c r="AF24" s="327">
        <f>ROUND(Conv!Q31,-2)</f>
        <v>34300</v>
      </c>
      <c r="AG24" s="87"/>
    </row>
    <row r="25" spans="1:37">
      <c r="A25" s="87"/>
      <c r="B25" s="87"/>
      <c r="C25" s="87"/>
      <c r="D25" s="87"/>
      <c r="E25" s="87"/>
      <c r="F25" s="87"/>
      <c r="G25" s="87"/>
      <c r="H25" s="87"/>
      <c r="I25" s="87"/>
      <c r="J25" s="87"/>
      <c r="K25" s="87"/>
      <c r="L25" s="87"/>
      <c r="M25" s="87"/>
      <c r="N25" s="87"/>
      <c r="O25" s="87"/>
      <c r="P25" s="87"/>
      <c r="Q25" s="87"/>
      <c r="S25" s="308" t="s">
        <v>36</v>
      </c>
      <c r="T25" s="309"/>
      <c r="U25" s="310">
        <f>SUM(U5:U24)</f>
        <v>18155</v>
      </c>
      <c r="V25" s="311">
        <f>SUM(V5:V24)</f>
        <v>132800</v>
      </c>
      <c r="W25" s="312">
        <f t="shared" ref="W25:Y25" si="4">SUM(W5:W24)</f>
        <v>21500</v>
      </c>
      <c r="X25" s="312">
        <f t="shared" si="4"/>
        <v>43850</v>
      </c>
      <c r="Y25" s="313">
        <f t="shared" si="4"/>
        <v>69150</v>
      </c>
      <c r="Z25" s="87"/>
      <c r="AA25" s="82"/>
      <c r="AB25" s="43" t="s">
        <v>211</v>
      </c>
      <c r="AC25" s="324">
        <f>AC24/AC22</f>
        <v>0.55670103092783507</v>
      </c>
      <c r="AD25" s="330">
        <f>AD24/AD22</f>
        <v>0.51428719455331184</v>
      </c>
      <c r="AE25" s="330">
        <f t="shared" ref="AE25" si="5">AE24/AE22</f>
        <v>0.27454659161976236</v>
      </c>
      <c r="AF25" s="331">
        <f t="shared" ref="AF25" si="6">AF24/AF22</f>
        <v>0.14156004952538176</v>
      </c>
      <c r="AG25" s="87"/>
    </row>
    <row r="26" spans="1:37">
      <c r="A26" s="87"/>
      <c r="B26" s="87"/>
      <c r="C26" s="87"/>
      <c r="D26" s="87"/>
      <c r="E26" s="87"/>
      <c r="F26" s="87"/>
      <c r="G26" s="87"/>
      <c r="H26" s="87"/>
      <c r="I26" s="87"/>
      <c r="J26" s="87"/>
      <c r="K26" s="87"/>
      <c r="L26" s="87"/>
      <c r="M26" s="87"/>
      <c r="N26" s="87"/>
      <c r="O26" s="87"/>
      <c r="P26" s="87"/>
      <c r="Q26" s="87"/>
      <c r="S26" s="87"/>
      <c r="T26" s="87"/>
      <c r="U26" s="87"/>
      <c r="V26" s="87"/>
      <c r="W26" s="87"/>
      <c r="X26" s="87"/>
      <c r="Y26" s="87"/>
      <c r="Z26" s="87"/>
      <c r="AA26" s="142" t="s">
        <v>243</v>
      </c>
      <c r="AB26" s="76"/>
      <c r="AC26" s="321">
        <f>Runs!AF88</f>
        <v>83000</v>
      </c>
      <c r="AD26" s="328">
        <f>AD27+AD28</f>
        <v>89999.999999999665</v>
      </c>
      <c r="AE26" s="328">
        <f t="shared" ref="AE26" si="7">AE27+AE28</f>
        <v>126100</v>
      </c>
      <c r="AF26" s="329">
        <f t="shared" ref="AF26" si="8">AF27+AF28</f>
        <v>171800</v>
      </c>
      <c r="AG26" s="87"/>
    </row>
    <row r="27" spans="1:37">
      <c r="A27" s="87"/>
      <c r="B27" s="87"/>
      <c r="C27" s="87"/>
      <c r="D27" s="87"/>
      <c r="E27" s="87"/>
      <c r="F27" s="87"/>
      <c r="G27" s="87"/>
      <c r="H27" s="87"/>
      <c r="I27" s="87"/>
      <c r="J27" s="87"/>
      <c r="K27" s="87"/>
      <c r="L27" s="87"/>
      <c r="M27" s="87"/>
      <c r="N27" s="87"/>
      <c r="O27" s="87"/>
      <c r="P27" s="87"/>
      <c r="Q27" s="87"/>
      <c r="S27" s="113" t="s">
        <v>220</v>
      </c>
      <c r="T27" s="114"/>
      <c r="U27" s="144" t="s">
        <v>218</v>
      </c>
      <c r="V27" s="145"/>
      <c r="W27" s="145"/>
      <c r="X27" s="255" t="s">
        <v>71</v>
      </c>
      <c r="Y27" s="146" t="s">
        <v>397</v>
      </c>
      <c r="Z27" s="87"/>
      <c r="AA27" s="80"/>
      <c r="AB27" t="s">
        <v>184</v>
      </c>
      <c r="AC27" s="322">
        <f>Runs!AD88</f>
        <v>38000</v>
      </c>
      <c r="AD27" s="326">
        <f>ROUND(Conv!I9,-3)</f>
        <v>45000</v>
      </c>
      <c r="AE27" s="326">
        <f>ROUND(Conv!M9,-3)</f>
        <v>95000</v>
      </c>
      <c r="AF27" s="327">
        <f>ROUND(Conv!Q9,-3)</f>
        <v>149000</v>
      </c>
      <c r="AG27" s="87"/>
    </row>
    <row r="28" spans="1:37">
      <c r="A28" s="87"/>
      <c r="B28" s="87"/>
      <c r="C28" s="87"/>
      <c r="D28" s="87"/>
      <c r="E28" s="87"/>
      <c r="F28" s="87"/>
      <c r="G28" s="87"/>
      <c r="H28" s="87"/>
      <c r="I28" s="87"/>
      <c r="J28" s="87"/>
      <c r="K28" s="87"/>
      <c r="L28" s="87"/>
      <c r="M28" s="87"/>
      <c r="N28" s="87"/>
      <c r="O28" s="87"/>
      <c r="P28" s="87"/>
      <c r="Q28" s="87"/>
      <c r="S28" s="147" t="s">
        <v>148</v>
      </c>
      <c r="T28" s="148"/>
      <c r="U28" s="149" t="s">
        <v>152</v>
      </c>
      <c r="V28" s="149" t="s">
        <v>144</v>
      </c>
      <c r="W28" s="149" t="s">
        <v>143</v>
      </c>
      <c r="X28" s="149" t="s">
        <v>368</v>
      </c>
      <c r="Y28" s="279" t="s">
        <v>219</v>
      </c>
      <c r="Z28" s="161"/>
      <c r="AA28" s="80"/>
      <c r="AB28" t="s">
        <v>84</v>
      </c>
      <c r="AC28" s="322">
        <f>Runs!AE88</f>
        <v>45000</v>
      </c>
      <c r="AD28" s="326">
        <f>Conv!I35</f>
        <v>44999.999999999665</v>
      </c>
      <c r="AE28" s="326">
        <f>ROUND(Conv!M35,-2)</f>
        <v>31100</v>
      </c>
      <c r="AF28" s="327">
        <f>ROUND(Conv!Q35,-2)</f>
        <v>22800</v>
      </c>
      <c r="AG28" s="87"/>
    </row>
    <row r="29" spans="1:37">
      <c r="A29" s="87"/>
      <c r="B29" s="87"/>
      <c r="C29" s="87"/>
      <c r="D29" s="87"/>
      <c r="E29" s="87"/>
      <c r="F29" s="87"/>
      <c r="G29" s="87"/>
      <c r="H29" s="87"/>
      <c r="I29" s="87"/>
      <c r="J29" s="87"/>
      <c r="K29" s="87"/>
      <c r="L29" s="87"/>
      <c r="M29" s="87"/>
      <c r="N29" s="87"/>
      <c r="O29" s="87"/>
      <c r="P29" s="87"/>
      <c r="Q29" s="87"/>
      <c r="S29" s="75" t="s">
        <v>295</v>
      </c>
      <c r="T29" s="76"/>
      <c r="U29" s="181"/>
      <c r="V29" s="83">
        <v>0</v>
      </c>
      <c r="W29" s="76">
        <v>0</v>
      </c>
      <c r="X29" s="181"/>
      <c r="Y29" s="157">
        <f>V29</f>
        <v>0</v>
      </c>
      <c r="Z29" s="163"/>
      <c r="AA29" s="82"/>
      <c r="AB29" s="43" t="s">
        <v>211</v>
      </c>
      <c r="AC29" s="323">
        <f>AC28/AC26</f>
        <v>0.54216867469879515</v>
      </c>
      <c r="AD29" s="330">
        <f>AD28/AD26</f>
        <v>0.49999999999999817</v>
      </c>
      <c r="AE29" s="330">
        <f t="shared" ref="AE29" si="9">AE28/AE26</f>
        <v>0.24662965900079303</v>
      </c>
      <c r="AF29" s="331">
        <f t="shared" ref="AF29" si="10">AF28/AF26</f>
        <v>0.13271245634458673</v>
      </c>
      <c r="AG29" s="87"/>
    </row>
    <row r="30" spans="1:37">
      <c r="A30" s="87"/>
      <c r="B30" s="87"/>
      <c r="C30" s="87"/>
      <c r="D30" s="87"/>
      <c r="E30" s="87"/>
      <c r="F30" s="87"/>
      <c r="G30" s="87"/>
      <c r="H30" s="87"/>
      <c r="I30" s="87"/>
      <c r="J30" s="87"/>
      <c r="K30" s="87"/>
      <c r="L30" s="87"/>
      <c r="M30" s="87"/>
      <c r="N30" s="87"/>
      <c r="O30" s="87"/>
      <c r="P30" s="87"/>
      <c r="Q30" s="87"/>
      <c r="S30" s="80" t="s">
        <v>294</v>
      </c>
      <c r="U30" s="39"/>
      <c r="V30" s="12">
        <v>0</v>
      </c>
      <c r="W30">
        <v>0</v>
      </c>
      <c r="X30" s="39"/>
      <c r="Y30" s="157">
        <f>V30</f>
        <v>0</v>
      </c>
      <c r="Z30" s="161"/>
      <c r="AA30" s="142" t="s">
        <v>399</v>
      </c>
      <c r="AB30" s="76"/>
      <c r="AC30" s="325">
        <f>AC31+AC32</f>
        <v>26800</v>
      </c>
      <c r="AD30" s="332">
        <f>AD31+AD32</f>
        <v>27400</v>
      </c>
      <c r="AE30" s="332">
        <f>AE31+AE32</f>
        <v>55000</v>
      </c>
      <c r="AF30" s="333">
        <f>AF31+AF32</f>
        <v>110100</v>
      </c>
      <c r="AG30" s="87"/>
      <c r="AK30" t="s">
        <v>400</v>
      </c>
    </row>
    <row r="31" spans="1:37">
      <c r="A31" s="87"/>
      <c r="B31" s="87"/>
      <c r="C31" s="87"/>
      <c r="D31" s="87"/>
      <c r="E31" s="87"/>
      <c r="F31" s="87"/>
      <c r="G31" s="87"/>
      <c r="H31" s="87"/>
      <c r="I31" s="87"/>
      <c r="J31" s="87"/>
      <c r="K31" s="87"/>
      <c r="L31" s="87"/>
      <c r="M31" s="87"/>
      <c r="N31" s="87"/>
      <c r="O31" s="87"/>
      <c r="P31" s="87"/>
      <c r="Q31" s="87"/>
      <c r="S31" s="80" t="s">
        <v>149</v>
      </c>
      <c r="U31" s="12">
        <f>Hatchery!E24</f>
        <v>144</v>
      </c>
      <c r="V31" s="12">
        <v>90000</v>
      </c>
      <c r="W31" s="12">
        <v>0</v>
      </c>
      <c r="X31" s="12">
        <f>ROUND(Hatchery!M7,-2)</f>
        <v>4000</v>
      </c>
      <c r="Y31" s="157">
        <f>V31</f>
        <v>90000</v>
      </c>
      <c r="Z31" s="164"/>
      <c r="AA31" s="80"/>
      <c r="AB31" t="s">
        <v>184</v>
      </c>
      <c r="AC31" s="322">
        <f>AF9</f>
        <v>4300</v>
      </c>
      <c r="AD31" s="326">
        <f>ROUND(Conv!J18,-2)</f>
        <v>4900</v>
      </c>
      <c r="AE31" s="326">
        <f>ROUND(Conv!N18,-2)</f>
        <v>27200</v>
      </c>
      <c r="AF31" s="327">
        <f>ROUND(Conv!R18,-2)</f>
        <v>80400</v>
      </c>
      <c r="AG31" s="87"/>
    </row>
    <row r="32" spans="1:37">
      <c r="A32" s="87"/>
      <c r="B32" s="87"/>
      <c r="C32" s="87"/>
      <c r="D32" s="87"/>
      <c r="E32" s="87"/>
      <c r="F32" s="87"/>
      <c r="G32" s="87"/>
      <c r="H32" s="87"/>
      <c r="I32" s="87"/>
      <c r="J32" s="87"/>
      <c r="K32" s="87"/>
      <c r="L32" s="87"/>
      <c r="M32" s="87"/>
      <c r="N32" s="87"/>
      <c r="O32" s="87"/>
      <c r="P32" s="87"/>
      <c r="Q32" s="87"/>
      <c r="S32" s="80" t="s">
        <v>150</v>
      </c>
      <c r="U32" s="12">
        <f>Hatchery!E26</f>
        <v>1100</v>
      </c>
      <c r="V32" s="12">
        <v>220000</v>
      </c>
      <c r="W32" s="12">
        <v>350000</v>
      </c>
      <c r="X32" s="12">
        <f>ROUND(Hatchery!M9,-2)</f>
        <v>4300</v>
      </c>
      <c r="Y32" s="157">
        <f t="shared" ref="Y32:Y33" si="11">V32</f>
        <v>220000</v>
      </c>
      <c r="Z32" s="163"/>
      <c r="AA32" s="80"/>
      <c r="AB32" t="s">
        <v>84</v>
      </c>
      <c r="AC32" s="322">
        <f>AF14</f>
        <v>22500</v>
      </c>
      <c r="AD32" s="326">
        <f>ROUND(Conv!J41,-2)</f>
        <v>22500</v>
      </c>
      <c r="AE32" s="326">
        <f>ROUND(Conv!N41,-2)</f>
        <v>27800</v>
      </c>
      <c r="AF32" s="327">
        <f>ROUND(Conv!R41,-2)</f>
        <v>29700</v>
      </c>
      <c r="AG32" s="87"/>
    </row>
    <row r="33" spans="1:35">
      <c r="A33" s="87"/>
      <c r="B33" s="87"/>
      <c r="C33" s="87"/>
      <c r="D33" s="87"/>
      <c r="E33" s="87"/>
      <c r="F33" s="87"/>
      <c r="G33" s="87"/>
      <c r="H33" s="87"/>
      <c r="I33" s="87"/>
      <c r="J33" s="87"/>
      <c r="K33" s="87"/>
      <c r="L33" s="87"/>
      <c r="M33" s="87"/>
      <c r="N33" s="87"/>
      <c r="O33" s="87"/>
      <c r="P33" s="87"/>
      <c r="Q33" s="87"/>
      <c r="S33" s="80" t="s">
        <v>151</v>
      </c>
      <c r="U33" s="12">
        <f>Hatchery!E29</f>
        <v>110</v>
      </c>
      <c r="V33" s="12">
        <v>150000</v>
      </c>
      <c r="W33" s="12">
        <v>0</v>
      </c>
      <c r="X33" s="12">
        <f>Hatchery!M13</f>
        <v>750</v>
      </c>
      <c r="Y33" s="157">
        <f t="shared" si="11"/>
        <v>150000</v>
      </c>
      <c r="Z33" s="163"/>
      <c r="AA33" s="82"/>
      <c r="AB33" s="43" t="s">
        <v>211</v>
      </c>
      <c r="AC33" s="323">
        <f>AC32/AC30</f>
        <v>0.83955223880597019</v>
      </c>
      <c r="AD33" s="330">
        <f>AD32/AD30</f>
        <v>0.82116788321167888</v>
      </c>
      <c r="AE33" s="330">
        <f t="shared" ref="AE33" si="12">AE32/AE30</f>
        <v>0.50545454545454549</v>
      </c>
      <c r="AF33" s="331">
        <f t="shared" ref="AF33" si="13">AF32/AF30</f>
        <v>0.26975476839237056</v>
      </c>
      <c r="AG33" s="87"/>
    </row>
    <row r="34" spans="1:35">
      <c r="A34" s="87"/>
      <c r="B34" s="87"/>
      <c r="C34" s="87"/>
      <c r="D34" s="87"/>
      <c r="E34" s="87"/>
      <c r="F34" s="87"/>
      <c r="G34" s="87"/>
      <c r="H34" s="87"/>
      <c r="I34" s="87"/>
      <c r="J34" s="87"/>
      <c r="K34" s="87"/>
      <c r="L34" s="87"/>
      <c r="M34" s="87"/>
      <c r="N34" s="87"/>
      <c r="O34" s="87"/>
      <c r="P34" s="87"/>
      <c r="Q34" s="87"/>
      <c r="S34" s="80" t="s">
        <v>153</v>
      </c>
      <c r="U34" s="12">
        <f>Hatchery!E31</f>
        <v>35</v>
      </c>
      <c r="V34" s="12">
        <v>100000</v>
      </c>
      <c r="W34" s="12">
        <v>0</v>
      </c>
      <c r="X34" s="12">
        <f>ROUND(Hatchery!M16,-2)</f>
        <v>1200</v>
      </c>
      <c r="Y34" s="157">
        <f>V34</f>
        <v>100000</v>
      </c>
      <c r="Z34" s="161"/>
      <c r="AA34" s="160"/>
      <c r="AB34" s="162"/>
      <c r="AC34" s="162"/>
      <c r="AD34" s="162"/>
      <c r="AE34" s="87"/>
      <c r="AF34" s="87"/>
      <c r="AG34" s="87"/>
      <c r="AI34" s="87"/>
    </row>
    <row r="35" spans="1:35">
      <c r="A35" s="87"/>
      <c r="B35" s="87"/>
      <c r="C35" s="87"/>
      <c r="D35" s="87"/>
      <c r="E35" s="87"/>
      <c r="F35" s="87"/>
      <c r="G35" s="87"/>
      <c r="H35" s="87"/>
      <c r="I35" s="87"/>
      <c r="J35" s="87"/>
      <c r="K35" s="87"/>
      <c r="L35" s="87"/>
      <c r="M35" s="87"/>
      <c r="N35" s="87"/>
      <c r="O35" s="87"/>
      <c r="P35" s="87"/>
      <c r="Q35" s="87"/>
      <c r="S35" s="80" t="s">
        <v>154</v>
      </c>
      <c r="U35" s="12">
        <f>Hatchery!E32</f>
        <v>88</v>
      </c>
      <c r="V35" s="12">
        <v>50000</v>
      </c>
      <c r="W35" s="12">
        <v>0</v>
      </c>
      <c r="X35" s="12">
        <f>ROUND(Hatchery!M17,-2)</f>
        <v>1800</v>
      </c>
      <c r="Y35" s="157">
        <v>150000</v>
      </c>
      <c r="Z35" s="161"/>
      <c r="AA35" s="160"/>
      <c r="AB35" s="162"/>
      <c r="AC35" s="162"/>
      <c r="AD35" s="162"/>
      <c r="AE35" s="87"/>
      <c r="AF35" s="87"/>
      <c r="AG35" s="87"/>
      <c r="AI35" s="87"/>
    </row>
    <row r="36" spans="1:35">
      <c r="A36" s="87"/>
      <c r="B36" s="87"/>
      <c r="C36" s="87"/>
      <c r="D36" s="87"/>
      <c r="E36" s="87"/>
      <c r="F36" s="87"/>
      <c r="G36" s="87"/>
      <c r="H36" s="87"/>
      <c r="I36" s="87"/>
      <c r="J36" s="87"/>
      <c r="K36" s="87"/>
      <c r="L36" s="87"/>
      <c r="M36" s="87"/>
      <c r="N36" s="87"/>
      <c r="O36" s="87"/>
      <c r="P36" s="87"/>
      <c r="Q36" s="87"/>
      <c r="S36" s="82" t="s">
        <v>293</v>
      </c>
      <c r="T36" s="43"/>
      <c r="U36" s="43">
        <v>0</v>
      </c>
      <c r="V36" s="45">
        <v>0</v>
      </c>
      <c r="W36" s="45">
        <v>0</v>
      </c>
      <c r="X36" s="43">
        <v>0</v>
      </c>
      <c r="Y36" s="157">
        <f>V36</f>
        <v>0</v>
      </c>
      <c r="Z36" s="161"/>
      <c r="AA36" s="160"/>
      <c r="AB36" s="162"/>
      <c r="AC36" s="162"/>
      <c r="AD36" s="162"/>
      <c r="AE36" s="87"/>
      <c r="AF36" s="87"/>
      <c r="AG36" s="87"/>
      <c r="AI36" s="87"/>
    </row>
    <row r="37" spans="1:35">
      <c r="A37" s="87"/>
      <c r="B37" s="87"/>
      <c r="C37" s="87"/>
      <c r="D37" s="87"/>
      <c r="E37" s="87"/>
      <c r="F37" s="87"/>
      <c r="G37" s="87"/>
      <c r="H37" s="87"/>
      <c r="I37" s="87"/>
      <c r="J37" s="87"/>
      <c r="K37" s="87"/>
      <c r="L37" s="87"/>
      <c r="M37" s="87"/>
      <c r="N37" s="87"/>
      <c r="O37" s="87"/>
      <c r="P37" s="87"/>
      <c r="Q37" s="87"/>
      <c r="S37" s="258" t="s">
        <v>36</v>
      </c>
      <c r="T37" s="259"/>
      <c r="U37" s="260">
        <f>SUM(U31:U36)</f>
        <v>1477</v>
      </c>
      <c r="V37" s="260">
        <f>SUM(V29:V36)</f>
        <v>610000</v>
      </c>
      <c r="W37" s="260">
        <f>SUM(W31:W36)</f>
        <v>350000</v>
      </c>
      <c r="X37" s="260">
        <f>SUM(X31:X36)</f>
        <v>12050</v>
      </c>
      <c r="Y37" s="261">
        <f>SUM(Y29:Y36)</f>
        <v>710000</v>
      </c>
      <c r="Z37" s="87"/>
      <c r="AA37" s="87"/>
      <c r="AB37" s="87"/>
      <c r="AC37" s="87"/>
      <c r="AD37" s="87"/>
      <c r="AE37" s="87"/>
      <c r="AF37" s="87"/>
      <c r="AG37" s="87"/>
      <c r="AI37" s="87"/>
    </row>
    <row r="38" spans="1:35">
      <c r="A38" s="87"/>
      <c r="B38" s="87"/>
      <c r="C38" s="87"/>
      <c r="D38" s="87"/>
      <c r="E38" s="87"/>
      <c r="F38" s="87"/>
      <c r="G38" s="87"/>
      <c r="H38" s="87"/>
      <c r="I38" s="87"/>
      <c r="J38" s="87"/>
      <c r="K38" s="87"/>
      <c r="L38" s="87"/>
      <c r="M38" s="87"/>
      <c r="N38" s="87"/>
      <c r="O38" s="87"/>
      <c r="P38" s="87"/>
      <c r="Q38" s="87"/>
      <c r="S38" s="257" t="s">
        <v>296</v>
      </c>
      <c r="T38" s="87"/>
      <c r="U38" s="87"/>
      <c r="V38" s="87"/>
      <c r="W38" s="87"/>
      <c r="X38" s="87"/>
      <c r="Y38" s="87"/>
      <c r="Z38" s="87"/>
      <c r="AA38" s="87"/>
      <c r="AB38" s="87"/>
      <c r="AC38" s="87"/>
      <c r="AD38" s="87"/>
      <c r="AE38" s="87"/>
      <c r="AF38" s="87"/>
      <c r="AG38" s="87"/>
      <c r="AI38" s="87"/>
    </row>
    <row r="39" spans="1:35">
      <c r="A39" s="87"/>
      <c r="B39" s="87"/>
      <c r="C39" s="87"/>
      <c r="D39" s="87"/>
      <c r="E39" s="87"/>
      <c r="F39" s="87"/>
      <c r="G39" s="87"/>
      <c r="H39" s="87"/>
      <c r="I39" s="87"/>
      <c r="J39" s="87"/>
      <c r="K39" s="87"/>
      <c r="L39" s="87"/>
      <c r="M39" s="87"/>
      <c r="N39" s="87"/>
      <c r="O39" s="87"/>
      <c r="P39" s="87"/>
      <c r="Q39" s="87"/>
      <c r="S39" s="87"/>
      <c r="T39" s="87"/>
      <c r="U39" s="87"/>
      <c r="V39" s="87"/>
      <c r="W39" s="87"/>
      <c r="X39" s="87"/>
      <c r="Y39" s="87"/>
      <c r="Z39" s="87"/>
      <c r="AA39" s="87"/>
      <c r="AB39" s="87"/>
      <c r="AC39" s="87"/>
      <c r="AD39" s="87"/>
      <c r="AE39" s="87"/>
      <c r="AF39" s="87"/>
      <c r="AG39" s="87"/>
      <c r="AI39" s="87"/>
    </row>
    <row r="40" spans="1:35">
      <c r="A40" s="87"/>
      <c r="B40" s="87"/>
      <c r="C40" s="87"/>
      <c r="D40" s="87"/>
      <c r="E40" s="87"/>
      <c r="F40" s="87"/>
      <c r="G40" s="87"/>
      <c r="H40" s="87"/>
      <c r="I40" s="87"/>
      <c r="J40" s="87"/>
      <c r="K40" s="87"/>
      <c r="L40" s="87"/>
      <c r="M40" s="87"/>
      <c r="N40" s="87"/>
      <c r="O40" s="87"/>
      <c r="P40" s="87"/>
      <c r="Q40" s="87"/>
      <c r="S40" s="87"/>
      <c r="T40" s="87"/>
      <c r="U40" s="87"/>
      <c r="V40" s="87"/>
      <c r="W40" s="87"/>
      <c r="X40" s="87"/>
      <c r="Y40" s="87"/>
      <c r="Z40" s="87"/>
      <c r="AA40" s="87"/>
      <c r="AB40" s="87"/>
      <c r="AC40" s="87"/>
      <c r="AD40" s="87"/>
      <c r="AE40" s="87"/>
      <c r="AF40" s="87"/>
      <c r="AG40" s="87"/>
    </row>
    <row r="41" spans="1:35">
      <c r="A41" s="87"/>
      <c r="B41" s="87"/>
      <c r="C41" s="87"/>
      <c r="D41" s="87"/>
      <c r="E41" s="87"/>
      <c r="F41" s="87"/>
      <c r="G41" s="87"/>
      <c r="H41" s="87"/>
      <c r="I41" s="87"/>
      <c r="J41" s="87"/>
      <c r="K41" s="87"/>
      <c r="L41" s="87"/>
      <c r="M41" s="87"/>
      <c r="N41" s="87"/>
      <c r="O41" s="87"/>
      <c r="P41" s="87"/>
      <c r="Q41" s="87"/>
    </row>
    <row r="42" spans="1:35">
      <c r="A42" s="87"/>
      <c r="B42" s="87"/>
      <c r="C42" s="87"/>
      <c r="D42" s="87"/>
      <c r="E42" s="87"/>
      <c r="F42" s="87"/>
      <c r="G42" s="87"/>
      <c r="H42" s="87"/>
      <c r="I42" s="87"/>
      <c r="J42" s="87"/>
      <c r="K42" s="87"/>
      <c r="L42" s="87"/>
      <c r="M42" s="87"/>
      <c r="N42" s="87"/>
      <c r="O42" s="87"/>
      <c r="P42" s="87"/>
      <c r="Q42" s="87"/>
    </row>
    <row r="43" spans="1:35">
      <c r="A43" s="87"/>
      <c r="B43" s="87"/>
      <c r="C43" s="87"/>
      <c r="D43" s="87"/>
      <c r="E43" s="87"/>
      <c r="F43" s="87"/>
      <c r="G43" s="87"/>
      <c r="H43" s="87"/>
      <c r="I43" s="87"/>
      <c r="J43" s="87"/>
      <c r="K43" s="87"/>
      <c r="L43" s="87"/>
      <c r="M43" s="87"/>
      <c r="N43" s="87"/>
      <c r="O43" s="87"/>
      <c r="P43" s="87"/>
      <c r="Q43" s="87"/>
    </row>
    <row r="44" spans="1:35">
      <c r="A44" s="87"/>
      <c r="B44" s="87"/>
      <c r="C44" s="87"/>
      <c r="D44" s="87"/>
      <c r="E44" s="87"/>
      <c r="F44" s="87"/>
      <c r="G44" s="87"/>
      <c r="H44" s="87"/>
      <c r="I44" s="87"/>
      <c r="J44" s="87"/>
      <c r="K44" s="87"/>
      <c r="L44" s="87"/>
      <c r="M44" s="87"/>
      <c r="N44" s="87"/>
      <c r="O44" s="87"/>
      <c r="P44" s="87"/>
      <c r="Q44" s="87"/>
    </row>
    <row r="45" spans="1:35">
      <c r="A45" s="87"/>
      <c r="B45" s="87"/>
      <c r="C45" s="87"/>
      <c r="D45" s="87"/>
      <c r="E45" s="87"/>
      <c r="F45" s="87"/>
      <c r="G45" s="87"/>
      <c r="H45" s="87"/>
      <c r="I45" s="87"/>
      <c r="J45" s="87"/>
      <c r="K45" s="87"/>
      <c r="L45" s="87"/>
      <c r="M45" s="87"/>
      <c r="N45" s="87"/>
      <c r="O45" s="87"/>
      <c r="P45" s="87"/>
      <c r="Q45" s="87"/>
    </row>
    <row r="46" spans="1:35">
      <c r="A46" s="87"/>
      <c r="B46" s="87"/>
      <c r="C46" s="87"/>
      <c r="D46" s="87"/>
      <c r="E46" s="87"/>
      <c r="F46" s="87"/>
      <c r="G46" s="87"/>
      <c r="H46" s="87"/>
      <c r="I46" s="87"/>
      <c r="J46" s="87"/>
      <c r="K46" s="87"/>
      <c r="L46" s="87"/>
      <c r="M46" s="87"/>
      <c r="N46" s="87"/>
      <c r="O46" s="87"/>
      <c r="P46" s="87"/>
      <c r="Q46" s="87"/>
    </row>
    <row r="47" spans="1:35">
      <c r="A47" s="87"/>
      <c r="B47" s="87"/>
      <c r="C47" s="87"/>
      <c r="D47" s="87"/>
      <c r="E47" s="87"/>
      <c r="F47" s="87"/>
      <c r="G47" s="87"/>
      <c r="H47" s="87"/>
      <c r="I47" s="87"/>
      <c r="J47" s="87"/>
      <c r="K47" s="87"/>
      <c r="L47" s="87"/>
      <c r="M47" s="87"/>
      <c r="N47" s="87"/>
      <c r="O47" s="87"/>
      <c r="P47" s="87"/>
      <c r="Q47" s="87"/>
    </row>
    <row r="48" spans="1:35">
      <c r="A48" s="87"/>
      <c r="B48" s="87"/>
      <c r="C48" s="87"/>
      <c r="D48" s="87"/>
      <c r="E48" s="87"/>
      <c r="F48" s="87"/>
      <c r="G48" s="87"/>
      <c r="H48" s="87"/>
      <c r="I48" s="87"/>
      <c r="J48" s="87"/>
      <c r="K48" s="87"/>
      <c r="L48" s="87"/>
      <c r="M48" s="87"/>
      <c r="N48" s="87"/>
      <c r="O48" s="87"/>
      <c r="P48" s="87"/>
      <c r="Q48" s="87"/>
    </row>
    <row r="49" spans="1:17">
      <c r="A49" s="87"/>
      <c r="B49" s="87"/>
      <c r="C49" s="87"/>
      <c r="D49" s="87"/>
      <c r="E49" s="87"/>
      <c r="F49" s="87"/>
      <c r="G49" s="87"/>
      <c r="H49" s="87"/>
      <c r="I49" s="87"/>
      <c r="J49" s="87"/>
      <c r="K49" s="87"/>
      <c r="L49" s="87"/>
      <c r="M49" s="87"/>
      <c r="N49" s="87"/>
      <c r="O49" s="87"/>
      <c r="P49" s="87"/>
      <c r="Q49" s="87"/>
    </row>
    <row r="50" spans="1:17">
      <c r="A50" s="87"/>
      <c r="B50" s="87"/>
      <c r="C50" s="87"/>
      <c r="D50" s="87"/>
      <c r="E50" s="87"/>
      <c r="F50" s="87"/>
      <c r="G50" s="87"/>
      <c r="H50" s="87"/>
      <c r="I50" s="87"/>
      <c r="J50" s="87"/>
      <c r="K50" s="87"/>
      <c r="L50" s="87"/>
      <c r="M50" s="87"/>
      <c r="N50" s="87"/>
      <c r="O50" s="87"/>
      <c r="P50" s="87"/>
      <c r="Q50" s="87"/>
    </row>
    <row r="51" spans="1:17">
      <c r="A51" s="87"/>
      <c r="B51" s="87"/>
      <c r="C51" s="87"/>
      <c r="D51" s="87"/>
      <c r="E51" s="87"/>
      <c r="F51" s="87"/>
      <c r="G51" s="87"/>
      <c r="H51" s="87"/>
      <c r="I51" s="87"/>
      <c r="J51" s="87"/>
      <c r="K51" s="87"/>
      <c r="L51" s="87"/>
      <c r="M51" s="87"/>
      <c r="N51" s="87"/>
      <c r="O51" s="87"/>
      <c r="P51" s="87"/>
      <c r="Q51" s="87"/>
    </row>
    <row r="52" spans="1:17">
      <c r="A52" s="87"/>
      <c r="B52" s="87"/>
      <c r="C52" s="87"/>
      <c r="D52" s="87"/>
      <c r="E52" s="87"/>
      <c r="F52" s="87"/>
      <c r="G52" s="87"/>
      <c r="H52" s="87"/>
      <c r="I52" s="87"/>
      <c r="J52" s="87"/>
      <c r="K52" s="87"/>
      <c r="L52" s="87"/>
      <c r="M52" s="87"/>
      <c r="N52" s="87"/>
      <c r="O52" s="87"/>
      <c r="P52" s="87"/>
      <c r="Q52" s="87"/>
    </row>
    <row r="53" spans="1:17">
      <c r="A53" s="87"/>
      <c r="B53" s="87"/>
      <c r="C53" s="87"/>
      <c r="D53" s="87"/>
      <c r="E53" s="87"/>
      <c r="F53" s="87"/>
      <c r="G53" s="87"/>
      <c r="H53" s="87"/>
      <c r="I53" s="87"/>
      <c r="J53" s="87"/>
      <c r="K53" s="87"/>
      <c r="L53" s="87"/>
      <c r="M53" s="87"/>
      <c r="N53" s="87"/>
      <c r="O53" s="87"/>
      <c r="P53" s="87"/>
      <c r="Q53" s="87"/>
    </row>
    <row r="54" spans="1:17">
      <c r="A54" s="87"/>
      <c r="B54" s="87"/>
      <c r="C54" s="87"/>
      <c r="D54" s="87"/>
      <c r="E54" s="87"/>
      <c r="F54" s="87"/>
      <c r="G54" s="87"/>
      <c r="H54" s="87"/>
      <c r="I54" s="87"/>
      <c r="J54" s="87"/>
      <c r="K54" s="87"/>
      <c r="L54" s="87"/>
      <c r="M54" s="87"/>
      <c r="N54" s="87"/>
      <c r="O54" s="87"/>
      <c r="P54" s="87"/>
      <c r="Q54" s="87"/>
    </row>
    <row r="55" spans="1:17">
      <c r="A55" s="87"/>
      <c r="B55" s="87"/>
      <c r="C55" s="87"/>
      <c r="D55" s="87"/>
      <c r="E55" s="87"/>
      <c r="F55" s="87"/>
      <c r="G55" s="87"/>
      <c r="H55" s="87"/>
      <c r="I55" s="87"/>
      <c r="J55" s="87"/>
      <c r="K55" s="87"/>
      <c r="L55" s="87"/>
      <c r="M55" s="87"/>
      <c r="N55" s="87"/>
      <c r="O55" s="87"/>
      <c r="P55" s="87"/>
      <c r="Q55" s="87"/>
    </row>
    <row r="56" spans="1:17">
      <c r="A56" s="87"/>
      <c r="B56" s="87"/>
      <c r="C56" s="87"/>
      <c r="D56" s="87"/>
      <c r="E56" s="87"/>
      <c r="F56" s="87"/>
      <c r="G56" s="87"/>
      <c r="H56" s="87"/>
      <c r="I56" s="87"/>
      <c r="J56" s="87"/>
      <c r="K56" s="87"/>
      <c r="L56" s="87"/>
      <c r="M56" s="87"/>
      <c r="N56" s="87"/>
      <c r="O56" s="87"/>
      <c r="P56" s="87"/>
      <c r="Q56" s="87"/>
    </row>
    <row r="57" spans="1:17">
      <c r="A57" s="87"/>
      <c r="B57" s="87"/>
      <c r="C57" s="87"/>
      <c r="D57" s="87"/>
      <c r="E57" s="87"/>
      <c r="F57" s="87"/>
      <c r="G57" s="87"/>
      <c r="H57" s="87"/>
      <c r="I57" s="87"/>
      <c r="J57" s="87"/>
      <c r="K57" s="87"/>
      <c r="L57" s="87"/>
      <c r="M57" s="87"/>
      <c r="N57" s="87"/>
      <c r="O57" s="87"/>
      <c r="P57" s="87"/>
      <c r="Q57" s="87"/>
    </row>
    <row r="58" spans="1:17">
      <c r="A58" s="87"/>
      <c r="B58" s="87"/>
      <c r="C58" s="87"/>
      <c r="D58" s="87"/>
      <c r="E58" s="87"/>
      <c r="F58" s="87"/>
      <c r="G58" s="87"/>
      <c r="H58" s="87"/>
      <c r="I58" s="87"/>
      <c r="J58" s="87"/>
      <c r="K58" s="87"/>
      <c r="L58" s="87"/>
      <c r="M58" s="87"/>
      <c r="N58" s="87"/>
      <c r="O58" s="87"/>
      <c r="P58" s="87"/>
      <c r="Q58" s="87"/>
    </row>
    <row r="59" spans="1:17">
      <c r="A59" s="87"/>
      <c r="B59" s="87"/>
      <c r="C59" s="87"/>
      <c r="D59" s="87"/>
      <c r="E59" s="87"/>
      <c r="F59" s="87"/>
      <c r="G59" s="87"/>
      <c r="H59" s="87"/>
      <c r="I59" s="87"/>
      <c r="J59" s="87"/>
      <c r="K59" s="87"/>
      <c r="L59" s="87"/>
      <c r="M59" s="87"/>
      <c r="N59" s="87"/>
      <c r="O59" s="87"/>
      <c r="P59" s="87"/>
      <c r="Q59" s="87"/>
    </row>
    <row r="60" spans="1:17">
      <c r="A60" s="87"/>
      <c r="B60" s="87"/>
      <c r="C60" s="87"/>
      <c r="D60" s="87"/>
      <c r="E60" s="87"/>
      <c r="F60" s="87"/>
      <c r="G60" s="87"/>
      <c r="H60" s="87"/>
      <c r="I60" s="87"/>
      <c r="J60" s="87"/>
      <c r="K60" s="87"/>
      <c r="L60" s="87"/>
      <c r="M60" s="87"/>
      <c r="N60" s="87"/>
      <c r="O60" s="87"/>
      <c r="P60" s="87"/>
      <c r="Q60" s="87"/>
    </row>
    <row r="61" spans="1:17">
      <c r="A61" s="87"/>
      <c r="B61" s="87"/>
      <c r="C61" s="87"/>
      <c r="D61" s="87"/>
      <c r="E61" s="87"/>
      <c r="F61" s="87"/>
      <c r="G61" s="87"/>
      <c r="H61" s="87"/>
      <c r="I61" s="87"/>
      <c r="J61" s="87"/>
      <c r="K61" s="87"/>
      <c r="L61" s="87"/>
      <c r="M61" s="87"/>
      <c r="N61" s="87"/>
      <c r="O61" s="87"/>
      <c r="P61" s="87"/>
      <c r="Q61" s="87"/>
    </row>
    <row r="62" spans="1:17">
      <c r="A62" s="87"/>
      <c r="B62" s="87"/>
      <c r="C62" s="87"/>
      <c r="D62" s="87"/>
      <c r="E62" s="87"/>
      <c r="F62" s="87"/>
      <c r="G62" s="87"/>
      <c r="H62" s="87"/>
      <c r="I62" s="87"/>
      <c r="J62" s="87"/>
      <c r="K62" s="87"/>
      <c r="L62" s="87"/>
      <c r="M62" s="87"/>
      <c r="N62" s="87"/>
      <c r="O62" s="87"/>
      <c r="P62" s="87"/>
      <c r="Q62" s="87"/>
    </row>
    <row r="63" spans="1:17">
      <c r="A63" s="87"/>
      <c r="B63" s="87"/>
      <c r="C63" s="87"/>
      <c r="D63" s="87"/>
      <c r="E63" s="87"/>
      <c r="F63" s="87"/>
      <c r="G63" s="87"/>
      <c r="H63" s="87"/>
      <c r="I63" s="87"/>
      <c r="J63" s="87"/>
      <c r="K63" s="87"/>
      <c r="L63" s="87"/>
      <c r="M63" s="87"/>
      <c r="N63" s="87"/>
      <c r="O63" s="87"/>
      <c r="P63" s="87"/>
      <c r="Q63" s="87"/>
    </row>
    <row r="64" spans="1:17">
      <c r="A64" s="87"/>
      <c r="B64" s="87"/>
      <c r="C64" s="87"/>
      <c r="D64" s="87"/>
      <c r="E64" s="87"/>
      <c r="F64" s="87"/>
      <c r="G64" s="87"/>
      <c r="H64" s="87"/>
      <c r="I64" s="87"/>
      <c r="J64" s="87"/>
      <c r="K64" s="87"/>
      <c r="L64" s="87"/>
      <c r="M64" s="87"/>
      <c r="N64" s="87"/>
      <c r="O64" s="87"/>
      <c r="P64" s="87"/>
      <c r="Q64" s="87"/>
    </row>
    <row r="65" spans="1:34">
      <c r="A65" s="87"/>
      <c r="B65" s="87"/>
      <c r="C65" s="87"/>
      <c r="D65" s="87"/>
      <c r="E65" s="87"/>
      <c r="F65" s="87"/>
      <c r="G65" s="87"/>
      <c r="H65" s="87"/>
      <c r="I65" s="87"/>
      <c r="J65" s="87"/>
      <c r="K65" s="87"/>
      <c r="L65" s="87"/>
      <c r="M65" s="87"/>
      <c r="N65" s="87"/>
      <c r="O65" s="87"/>
      <c r="P65" s="87"/>
      <c r="Q65" s="87"/>
    </row>
    <row r="66" spans="1:34">
      <c r="A66" s="87"/>
      <c r="B66" s="87"/>
      <c r="C66" s="87"/>
      <c r="D66" s="87"/>
      <c r="E66" s="87"/>
      <c r="F66" s="87"/>
      <c r="G66" s="87"/>
      <c r="H66" s="87"/>
      <c r="I66" s="87"/>
      <c r="J66" s="87"/>
      <c r="K66" s="87"/>
      <c r="L66" s="87"/>
      <c r="M66" s="87"/>
      <c r="N66" s="87"/>
      <c r="O66" s="87"/>
      <c r="P66" s="87"/>
      <c r="Q66" s="87"/>
    </row>
    <row r="67" spans="1:34">
      <c r="A67" s="87"/>
      <c r="B67" s="87"/>
      <c r="C67" s="87"/>
      <c r="D67" s="87"/>
      <c r="E67" s="87"/>
      <c r="F67" s="87"/>
      <c r="G67" s="87"/>
      <c r="H67" s="87"/>
      <c r="I67" s="87"/>
      <c r="J67" s="87"/>
      <c r="K67" s="87"/>
      <c r="L67" s="87"/>
      <c r="M67" s="87"/>
      <c r="N67" s="87"/>
      <c r="O67" s="87"/>
      <c r="P67" s="87"/>
      <c r="Q67" s="87"/>
    </row>
    <row r="68" spans="1:34">
      <c r="A68" s="87"/>
      <c r="B68" s="87"/>
      <c r="C68" s="87"/>
      <c r="D68" s="87"/>
      <c r="E68" s="87"/>
      <c r="F68" s="87"/>
      <c r="G68" s="87"/>
      <c r="H68" s="87"/>
      <c r="I68" s="87"/>
      <c r="J68" s="87"/>
      <c r="K68" s="87"/>
      <c r="L68" s="87"/>
      <c r="M68" s="87"/>
      <c r="N68" s="87"/>
      <c r="O68" s="87"/>
      <c r="P68" s="87"/>
      <c r="Q68" s="87"/>
    </row>
    <row r="69" spans="1:34">
      <c r="A69" s="87"/>
      <c r="B69" s="87"/>
      <c r="C69" s="87"/>
      <c r="D69" s="87"/>
      <c r="E69" s="87"/>
      <c r="F69" s="87"/>
      <c r="G69" s="87"/>
      <c r="H69" s="87"/>
      <c r="I69" s="87"/>
      <c r="J69" s="87"/>
      <c r="K69" s="87"/>
      <c r="L69" s="87"/>
      <c r="M69" s="87"/>
      <c r="N69" s="87"/>
      <c r="O69" s="87"/>
      <c r="P69" s="87"/>
      <c r="Q69" s="87"/>
    </row>
    <row r="70" spans="1:34">
      <c r="A70" s="87"/>
      <c r="B70" s="87"/>
      <c r="C70" s="87"/>
      <c r="D70" s="87"/>
      <c r="E70" s="87"/>
      <c r="F70" s="87"/>
      <c r="G70" s="87"/>
      <c r="H70" s="87"/>
      <c r="I70" s="87"/>
      <c r="J70" s="87"/>
      <c r="K70" s="87"/>
      <c r="L70" s="87"/>
      <c r="M70" s="87"/>
      <c r="N70" s="87"/>
      <c r="O70" s="87"/>
      <c r="P70" s="87"/>
      <c r="Q70" s="87"/>
    </row>
    <row r="71" spans="1:34">
      <c r="A71" s="87"/>
      <c r="B71" s="87"/>
      <c r="C71" s="87"/>
      <c r="D71" s="87"/>
      <c r="E71" s="87"/>
      <c r="F71" s="87"/>
      <c r="G71" s="87"/>
      <c r="H71" s="87"/>
      <c r="I71" s="87"/>
      <c r="J71" s="87"/>
      <c r="K71" s="87"/>
      <c r="L71" s="87"/>
      <c r="M71" s="87"/>
      <c r="N71" s="87"/>
      <c r="O71" s="87"/>
      <c r="P71" s="87"/>
      <c r="Q71" s="87"/>
    </row>
    <row r="72" spans="1:34" s="295" customFormat="1" ht="18">
      <c r="A72" s="290"/>
      <c r="B72" s="290"/>
      <c r="C72" s="290"/>
      <c r="D72" s="291" t="s">
        <v>36</v>
      </c>
      <c r="E72" s="292">
        <f>AC9</f>
        <v>9.5000000000000001E-2</v>
      </c>
      <c r="G72" s="290"/>
      <c r="H72" s="290"/>
      <c r="I72" s="290"/>
      <c r="K72" s="293" t="s">
        <v>68</v>
      </c>
      <c r="L72" s="294" t="s">
        <v>224</v>
      </c>
      <c r="M72" s="335">
        <f>V37</f>
        <v>610000</v>
      </c>
      <c r="N72" s="336"/>
      <c r="O72" s="290"/>
      <c r="P72" s="290"/>
      <c r="Q72" s="290"/>
      <c r="R72" s="290"/>
      <c r="AH72" s="290"/>
    </row>
    <row r="73" spans="1:34">
      <c r="A73" s="87"/>
      <c r="B73" s="87"/>
      <c r="C73" s="87"/>
      <c r="D73" s="87"/>
      <c r="E73" s="87"/>
      <c r="F73" s="87"/>
      <c r="G73" s="87"/>
      <c r="H73" s="87"/>
      <c r="I73" s="87"/>
      <c r="J73" s="87"/>
      <c r="K73" s="87"/>
      <c r="L73" s="87"/>
      <c r="M73" s="87"/>
      <c r="N73" s="87"/>
      <c r="O73" s="87"/>
      <c r="P73" s="87"/>
      <c r="Q73" s="87"/>
    </row>
    <row r="74" spans="1:34">
      <c r="A74" s="87"/>
      <c r="B74" s="87"/>
      <c r="C74" s="87"/>
      <c r="D74" s="87"/>
      <c r="E74" s="87"/>
      <c r="F74" s="87"/>
      <c r="G74" s="87"/>
      <c r="H74" s="87"/>
      <c r="I74" s="87"/>
      <c r="J74" s="87"/>
      <c r="K74" s="87"/>
      <c r="L74" s="87"/>
      <c r="M74" s="87"/>
      <c r="N74" s="87"/>
      <c r="O74" s="87"/>
      <c r="P74" s="87"/>
      <c r="Q74" s="87"/>
    </row>
    <row r="75" spans="1:34">
      <c r="A75" s="87"/>
      <c r="B75" s="87"/>
      <c r="C75" s="87"/>
      <c r="D75" s="87"/>
      <c r="E75" s="87"/>
      <c r="F75" s="87"/>
      <c r="G75" s="87"/>
      <c r="H75" s="87"/>
      <c r="I75" s="87"/>
      <c r="J75" s="87"/>
      <c r="K75" s="87"/>
      <c r="L75" s="87"/>
      <c r="M75" s="87"/>
      <c r="N75" s="87"/>
      <c r="O75" s="87"/>
      <c r="P75" s="87"/>
      <c r="Q75" s="87"/>
    </row>
    <row r="76" spans="1:34">
      <c r="A76" s="87"/>
      <c r="B76" s="87"/>
      <c r="C76" s="87"/>
      <c r="D76" s="87"/>
      <c r="E76" s="87"/>
      <c r="F76" s="87"/>
      <c r="G76" s="87"/>
      <c r="H76" s="87"/>
      <c r="I76" s="87"/>
      <c r="J76" s="87"/>
      <c r="K76" s="87"/>
      <c r="L76" s="87"/>
      <c r="M76" s="87"/>
      <c r="N76" s="87"/>
      <c r="O76" s="87"/>
      <c r="P76" s="87"/>
      <c r="Q76" s="87"/>
    </row>
    <row r="77" spans="1:34">
      <c r="A77" s="87"/>
      <c r="B77" s="87"/>
      <c r="C77" s="87"/>
      <c r="D77" s="87"/>
      <c r="E77" s="87"/>
      <c r="F77" s="87"/>
      <c r="G77" s="87"/>
      <c r="H77" s="87"/>
      <c r="I77" s="87"/>
      <c r="J77" s="87"/>
      <c r="K77" s="87"/>
      <c r="L77" s="87"/>
      <c r="M77" s="87"/>
      <c r="N77" s="87"/>
      <c r="O77" s="87"/>
      <c r="P77" s="87"/>
      <c r="Q77" s="87"/>
    </row>
    <row r="78" spans="1:34">
      <c r="A78" s="87"/>
      <c r="B78" s="87"/>
      <c r="C78" s="87"/>
      <c r="D78" s="87"/>
      <c r="E78" s="87"/>
      <c r="F78" s="87"/>
      <c r="G78" s="87"/>
      <c r="H78" s="87"/>
      <c r="I78" s="87"/>
      <c r="J78" s="87"/>
      <c r="K78" s="87"/>
      <c r="L78" s="87"/>
      <c r="M78" s="87"/>
      <c r="N78" s="87"/>
      <c r="O78" s="87"/>
      <c r="P78" s="87"/>
      <c r="Q78" s="87"/>
    </row>
    <row r="79" spans="1:34">
      <c r="A79" s="87"/>
      <c r="B79" s="87"/>
      <c r="C79" s="87"/>
      <c r="D79" s="87"/>
      <c r="E79" s="87"/>
      <c r="F79" s="87"/>
      <c r="G79" s="87"/>
      <c r="H79" s="87"/>
      <c r="I79" s="87"/>
      <c r="J79" s="87"/>
      <c r="K79" s="87"/>
      <c r="L79" s="87"/>
      <c r="M79" s="87"/>
      <c r="N79" s="87"/>
      <c r="O79" s="87"/>
      <c r="P79" s="87"/>
      <c r="Q79" s="87"/>
    </row>
    <row r="80" spans="1:34">
      <c r="A80" s="87"/>
      <c r="B80" s="87"/>
      <c r="C80" s="87"/>
      <c r="D80" s="87"/>
      <c r="E80" s="87"/>
      <c r="F80" s="87"/>
      <c r="G80" s="87"/>
      <c r="H80" s="87"/>
      <c r="I80" s="87"/>
      <c r="J80" s="87"/>
      <c r="K80" s="87"/>
      <c r="L80" s="87"/>
      <c r="M80" s="87"/>
      <c r="N80" s="87"/>
      <c r="O80" s="87"/>
      <c r="P80" s="87"/>
      <c r="Q80" s="87"/>
    </row>
    <row r="81" spans="1:17">
      <c r="A81" s="87"/>
      <c r="B81" s="87"/>
      <c r="C81" s="87"/>
      <c r="D81" s="87"/>
      <c r="E81" s="87"/>
      <c r="F81" s="87"/>
      <c r="G81" s="87"/>
      <c r="H81" s="87"/>
      <c r="I81" s="87"/>
      <c r="J81" s="87"/>
      <c r="K81" s="87"/>
      <c r="L81" s="87"/>
      <c r="M81" s="87"/>
      <c r="N81" s="87"/>
      <c r="O81" s="87"/>
      <c r="P81" s="87"/>
      <c r="Q81" s="87"/>
    </row>
    <row r="82" spans="1:17">
      <c r="A82" s="87"/>
      <c r="B82" s="87"/>
      <c r="C82" s="87"/>
      <c r="D82" s="87"/>
      <c r="E82" s="87"/>
      <c r="F82" s="87"/>
      <c r="G82" s="87"/>
      <c r="H82" s="87"/>
      <c r="I82" s="87"/>
      <c r="J82" s="87"/>
      <c r="K82" s="87"/>
      <c r="L82" s="87"/>
      <c r="M82" s="87"/>
      <c r="N82" s="87"/>
      <c r="O82" s="87"/>
      <c r="P82" s="87"/>
      <c r="Q82" s="87"/>
    </row>
    <row r="83" spans="1:17">
      <c r="A83" s="87"/>
      <c r="B83" s="87"/>
      <c r="C83" s="87"/>
      <c r="D83" s="87"/>
      <c r="E83" s="87"/>
      <c r="F83" s="87"/>
      <c r="G83" s="87"/>
      <c r="H83" s="87"/>
      <c r="I83" s="87"/>
      <c r="J83" s="87"/>
      <c r="K83" s="87"/>
      <c r="L83" s="87"/>
      <c r="M83" s="87"/>
      <c r="N83" s="87"/>
      <c r="O83" s="87"/>
      <c r="P83" s="87"/>
      <c r="Q83" s="87"/>
    </row>
    <row r="84" spans="1:17">
      <c r="A84" s="87"/>
      <c r="B84" s="87"/>
      <c r="C84" s="87"/>
      <c r="D84" s="87"/>
      <c r="E84" s="87"/>
      <c r="F84" s="87"/>
      <c r="G84" s="87"/>
      <c r="H84" s="87"/>
      <c r="I84" s="87"/>
      <c r="J84" s="87"/>
      <c r="K84" s="87"/>
      <c r="L84" s="87"/>
      <c r="M84" s="87"/>
      <c r="N84" s="87"/>
      <c r="O84" s="87"/>
      <c r="P84" s="87"/>
      <c r="Q84" s="87"/>
    </row>
    <row r="85" spans="1:17">
      <c r="A85" s="87"/>
      <c r="B85" s="87"/>
      <c r="C85" s="87"/>
      <c r="D85" s="87"/>
      <c r="E85" s="87"/>
      <c r="F85" s="87"/>
      <c r="G85" s="87"/>
      <c r="H85" s="87"/>
      <c r="I85" s="87"/>
      <c r="J85" s="87"/>
      <c r="K85" s="87"/>
      <c r="L85" s="87"/>
      <c r="M85" s="87"/>
      <c r="N85" s="87"/>
      <c r="O85" s="87"/>
      <c r="P85" s="87"/>
      <c r="Q85" s="87"/>
    </row>
    <row r="86" spans="1:17">
      <c r="A86" s="87"/>
      <c r="B86" s="87"/>
      <c r="C86" s="87"/>
      <c r="D86" s="87"/>
      <c r="E86" s="87"/>
      <c r="F86" s="87"/>
      <c r="G86" s="87"/>
      <c r="H86" s="87"/>
      <c r="I86" s="87"/>
      <c r="J86" s="87"/>
      <c r="K86" s="87"/>
      <c r="L86" s="87"/>
      <c r="M86" s="87"/>
      <c r="N86" s="87"/>
      <c r="O86" s="87"/>
      <c r="P86" s="87"/>
      <c r="Q86" s="87"/>
    </row>
    <row r="87" spans="1:17">
      <c r="A87" s="87"/>
      <c r="B87" s="87"/>
      <c r="C87" s="87"/>
      <c r="D87" s="87"/>
      <c r="E87" s="87"/>
      <c r="F87" s="87"/>
      <c r="G87" s="87"/>
      <c r="H87" s="87"/>
      <c r="I87" s="87"/>
      <c r="J87" s="87"/>
      <c r="K87" s="87"/>
      <c r="L87" s="87"/>
      <c r="M87" s="87"/>
      <c r="N87" s="87"/>
      <c r="O87" s="87"/>
      <c r="P87" s="87"/>
      <c r="Q87" s="87"/>
    </row>
    <row r="88" spans="1:17">
      <c r="A88" s="87"/>
      <c r="B88" s="87"/>
      <c r="C88" s="87"/>
      <c r="D88" s="87"/>
      <c r="E88" s="87"/>
      <c r="F88" s="87"/>
      <c r="G88" s="87"/>
      <c r="H88" s="87"/>
      <c r="I88" s="87"/>
      <c r="J88" s="87"/>
      <c r="K88" s="87"/>
      <c r="L88" s="87"/>
      <c r="M88" s="87"/>
      <c r="N88" s="87"/>
      <c r="O88" s="87"/>
      <c r="P88" s="87"/>
      <c r="Q88" s="87"/>
    </row>
    <row r="89" spans="1:17">
      <c r="A89" s="87"/>
      <c r="B89" s="87"/>
      <c r="C89" s="87"/>
      <c r="D89" s="87"/>
      <c r="E89" s="87"/>
      <c r="F89" s="87"/>
      <c r="G89" s="87"/>
      <c r="H89" s="87"/>
      <c r="I89" s="87"/>
      <c r="J89" s="87"/>
      <c r="K89" s="87"/>
      <c r="L89" s="87"/>
      <c r="M89" s="87"/>
      <c r="N89" s="87"/>
      <c r="O89" s="87"/>
      <c r="P89" s="87"/>
      <c r="Q89" s="87"/>
    </row>
    <row r="90" spans="1:17">
      <c r="A90" s="87"/>
      <c r="B90" s="87"/>
      <c r="C90" s="87"/>
      <c r="D90" s="87"/>
      <c r="E90" s="87"/>
      <c r="F90" s="87"/>
      <c r="G90" s="87"/>
      <c r="H90" s="87"/>
      <c r="I90" s="87"/>
      <c r="J90" s="87"/>
      <c r="K90" s="87"/>
      <c r="L90" s="87"/>
      <c r="M90" s="87"/>
      <c r="N90" s="87"/>
      <c r="O90" s="87"/>
      <c r="P90" s="87"/>
      <c r="Q90" s="87"/>
    </row>
    <row r="91" spans="1:17">
      <c r="A91" s="87"/>
      <c r="B91" s="87"/>
      <c r="C91" s="87"/>
      <c r="D91" s="87"/>
      <c r="E91" s="87"/>
      <c r="F91" s="87"/>
      <c r="G91" s="87"/>
      <c r="H91" s="87"/>
      <c r="I91" s="87"/>
      <c r="J91" s="87"/>
      <c r="K91" s="87"/>
      <c r="L91" s="87"/>
      <c r="M91" s="87"/>
      <c r="N91" s="87"/>
      <c r="O91" s="87"/>
      <c r="P91" s="87"/>
      <c r="Q91" s="87"/>
    </row>
    <row r="92" spans="1:17">
      <c r="A92" s="87"/>
      <c r="B92" s="87"/>
      <c r="C92" s="87"/>
      <c r="D92" s="87"/>
      <c r="E92" s="87"/>
      <c r="F92" s="87"/>
      <c r="G92" s="87"/>
      <c r="H92" s="87"/>
      <c r="I92" s="87"/>
      <c r="J92" s="87"/>
      <c r="K92" s="87"/>
      <c r="L92" s="87"/>
      <c r="M92" s="87"/>
      <c r="N92" s="87"/>
      <c r="O92" s="87"/>
      <c r="P92" s="87"/>
      <c r="Q92" s="87"/>
    </row>
    <row r="93" spans="1:17">
      <c r="A93" s="87"/>
      <c r="B93" s="87"/>
      <c r="C93" s="87"/>
      <c r="D93" s="87"/>
      <c r="E93" s="87"/>
      <c r="F93" s="87"/>
      <c r="G93" s="87"/>
      <c r="H93" s="87"/>
      <c r="I93" s="87"/>
      <c r="J93" s="87"/>
      <c r="K93" s="87"/>
      <c r="L93" s="87"/>
      <c r="M93" s="87"/>
      <c r="N93" s="87"/>
      <c r="O93" s="87"/>
      <c r="P93" s="87"/>
      <c r="Q93" s="87"/>
    </row>
    <row r="94" spans="1:17">
      <c r="A94" s="87"/>
      <c r="B94" s="87"/>
      <c r="C94" s="87"/>
      <c r="D94" s="87"/>
      <c r="E94" s="87"/>
      <c r="F94" s="87"/>
      <c r="G94" s="87"/>
      <c r="H94" s="87"/>
      <c r="I94" s="87"/>
      <c r="J94" s="87"/>
      <c r="K94" s="87"/>
      <c r="L94" s="87"/>
      <c r="M94" s="87"/>
      <c r="N94" s="87"/>
      <c r="O94" s="87"/>
      <c r="P94" s="87"/>
      <c r="Q94" s="87"/>
    </row>
    <row r="95" spans="1:17">
      <c r="A95" s="87"/>
      <c r="B95" s="87"/>
      <c r="C95" s="87"/>
      <c r="D95" s="87"/>
      <c r="E95" s="87"/>
      <c r="F95" s="87"/>
      <c r="G95" s="87"/>
      <c r="H95" s="87"/>
      <c r="I95" s="87"/>
      <c r="J95" s="87"/>
      <c r="K95" s="87"/>
      <c r="L95" s="87"/>
      <c r="M95" s="87"/>
      <c r="N95" s="87"/>
      <c r="O95" s="87"/>
      <c r="P95" s="87"/>
      <c r="Q95" s="87"/>
    </row>
    <row r="96" spans="1:17">
      <c r="A96" s="87"/>
      <c r="B96" s="87"/>
      <c r="C96" s="87"/>
      <c r="D96" s="87"/>
      <c r="E96" s="87"/>
      <c r="F96" s="87"/>
      <c r="G96" s="87"/>
      <c r="H96" s="87"/>
      <c r="I96" s="87"/>
      <c r="J96" s="87"/>
      <c r="K96" s="87"/>
      <c r="L96" s="87"/>
      <c r="M96" s="87"/>
      <c r="N96" s="87"/>
      <c r="O96" s="87"/>
      <c r="P96" s="87"/>
      <c r="Q96" s="87"/>
    </row>
    <row r="97" spans="1:17">
      <c r="A97" s="87"/>
      <c r="B97" s="87"/>
      <c r="C97" s="87"/>
      <c r="D97" s="87"/>
      <c r="E97" s="87"/>
      <c r="F97" s="87"/>
      <c r="G97" s="87"/>
      <c r="H97" s="87"/>
      <c r="I97" s="87"/>
      <c r="J97" s="87"/>
      <c r="K97" s="87"/>
      <c r="L97" s="87"/>
      <c r="M97" s="87"/>
      <c r="N97" s="87"/>
      <c r="O97" s="87"/>
      <c r="P97" s="87"/>
      <c r="Q97" s="87"/>
    </row>
    <row r="98" spans="1:17">
      <c r="A98" s="87"/>
      <c r="B98" s="87"/>
      <c r="C98" s="87"/>
      <c r="D98" s="87"/>
      <c r="E98" s="87"/>
      <c r="F98" s="87"/>
      <c r="G98" s="87"/>
      <c r="H98" s="87"/>
      <c r="I98" s="87"/>
      <c r="J98" s="87"/>
      <c r="K98" s="87"/>
      <c r="L98" s="87"/>
      <c r="M98" s="87"/>
      <c r="N98" s="87"/>
      <c r="O98" s="87"/>
      <c r="P98" s="87"/>
      <c r="Q98" s="87"/>
    </row>
    <row r="99" spans="1:17">
      <c r="A99" s="87"/>
      <c r="B99" s="87"/>
      <c r="C99" s="87"/>
      <c r="D99" s="87"/>
      <c r="E99" s="87"/>
      <c r="F99" s="87"/>
      <c r="G99" s="87"/>
      <c r="H99" s="87"/>
      <c r="I99" s="87"/>
      <c r="J99" s="87"/>
      <c r="K99" s="87"/>
      <c r="L99" s="87"/>
      <c r="M99" s="87"/>
      <c r="N99" s="87"/>
      <c r="O99" s="87"/>
      <c r="P99" s="87"/>
      <c r="Q99" s="87"/>
    </row>
    <row r="100" spans="1:17">
      <c r="A100" s="87"/>
      <c r="B100" s="87"/>
      <c r="C100" s="87"/>
      <c r="D100" s="87"/>
      <c r="E100" s="87"/>
      <c r="F100" s="87"/>
      <c r="G100" s="87"/>
      <c r="H100" s="87"/>
      <c r="I100" s="87"/>
      <c r="J100" s="87"/>
      <c r="K100" s="87"/>
      <c r="L100" s="87"/>
      <c r="M100" s="87"/>
      <c r="N100" s="87"/>
      <c r="O100" s="87"/>
      <c r="P100" s="87"/>
      <c r="Q100" s="87"/>
    </row>
    <row r="101" spans="1:17">
      <c r="A101" s="87"/>
      <c r="B101" s="87"/>
      <c r="C101" s="87"/>
      <c r="D101" s="87"/>
      <c r="E101" s="87"/>
      <c r="F101" s="87"/>
      <c r="G101" s="87"/>
      <c r="H101" s="87"/>
      <c r="I101" s="87"/>
      <c r="J101" s="87"/>
      <c r="K101" s="87"/>
      <c r="L101" s="87"/>
      <c r="M101" s="87"/>
      <c r="N101" s="87"/>
      <c r="O101" s="87"/>
      <c r="P101" s="87"/>
      <c r="Q101" s="87"/>
    </row>
  </sheetData>
  <customSheetViews>
    <customSheetView guid="{4A56DCA2-EE2D-40DD-82F4-76121FFBC45C}" scale="80" fitToPage="1">
      <selection activeCell="X68" sqref="X68"/>
      <pageMargins left="0.5" right="0.5" top="0.75" bottom="0.75" header="0.3" footer="0.3"/>
      <printOptions horizontalCentered="1"/>
      <pageSetup scale="48" orientation="portrait" r:id="rId1"/>
      <headerFooter>
        <oddHeader>&amp;L&amp;"-,Bold Italic"&amp;18MAFAC Columbia Basin Partnership Task Force&amp;R&amp;"-,Bold Italic"&amp;18&amp;D</oddHeader>
        <oddFooter>&amp;C&amp;48DRAFT</oddFooter>
      </headerFooter>
    </customSheetView>
  </customSheetViews>
  <mergeCells count="15">
    <mergeCell ref="M72:N72"/>
    <mergeCell ref="AG6:AG8"/>
    <mergeCell ref="AG11:AG13"/>
    <mergeCell ref="AE11:AE12"/>
    <mergeCell ref="S17:S20"/>
    <mergeCell ref="S21:S24"/>
    <mergeCell ref="AA5:AA9"/>
    <mergeCell ref="AD6:AD7"/>
    <mergeCell ref="AE6:AE7"/>
    <mergeCell ref="AA10:AA14"/>
    <mergeCell ref="S5:S11"/>
    <mergeCell ref="S12:S16"/>
    <mergeCell ref="AD11:AD12"/>
    <mergeCell ref="V19:V20"/>
    <mergeCell ref="AA16:AB17"/>
  </mergeCells>
  <printOptions horizontalCentered="1"/>
  <pageMargins left="0.5" right="0.5" top="0.75" bottom="0.75" header="0.3" footer="0.3"/>
  <pageSetup scale="48" orientation="portrait" r:id="rId2"/>
  <headerFooter>
    <oddHeader>&amp;L&amp;"-,Bold Italic"&amp;18MAFAC Columbia Basin Partnership Task Force&amp;R&amp;"-,Bold Italic"&amp;18&amp;D</oddHeader>
    <oddFooter>&amp;C&amp;48DRAFT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19"/>
  <sheetViews>
    <sheetView workbookViewId="0">
      <selection activeCell="F18" sqref="F18"/>
    </sheetView>
  </sheetViews>
  <sheetFormatPr defaultRowHeight="14.4"/>
  <sheetData>
    <row r="2" spans="2:15">
      <c r="C2" t="s">
        <v>95</v>
      </c>
    </row>
    <row r="3" spans="2:15">
      <c r="B3" t="s">
        <v>92</v>
      </c>
      <c r="C3">
        <v>823</v>
      </c>
      <c r="D3">
        <v>1775</v>
      </c>
      <c r="E3" s="12">
        <f>GEOMEAN(C3:D3)</f>
        <v>1208.6459365753067</v>
      </c>
      <c r="F3" s="12"/>
      <c r="G3">
        <v>0.97</v>
      </c>
      <c r="H3">
        <v>0.97</v>
      </c>
      <c r="J3" s="49">
        <f>C3/G3</f>
        <v>848.45360824742272</v>
      </c>
      <c r="K3" s="49">
        <f t="shared" ref="K3:K6" si="0">D3/H3</f>
        <v>1829.8969072164948</v>
      </c>
      <c r="L3" s="12">
        <f>GEOMEAN(J3:K3)</f>
        <v>1246.0267387374295</v>
      </c>
    </row>
    <row r="4" spans="2:15">
      <c r="B4" t="s">
        <v>91</v>
      </c>
      <c r="C4">
        <v>807</v>
      </c>
      <c r="D4">
        <v>1585</v>
      </c>
      <c r="E4" s="12">
        <f t="shared" ref="E4:E6" si="1">GEOMEAN(C4:D4)</f>
        <v>1130.9708219047916</v>
      </c>
      <c r="F4" s="12"/>
      <c r="G4">
        <v>0.97</v>
      </c>
      <c r="H4">
        <v>0.98</v>
      </c>
      <c r="J4" s="49">
        <f t="shared" ref="J4:J6" si="2">C4/G4</f>
        <v>831.95876288659792</v>
      </c>
      <c r="K4" s="49">
        <f t="shared" si="0"/>
        <v>1617.3469387755101</v>
      </c>
      <c r="L4" s="12">
        <f t="shared" ref="L4:L6" si="3">GEOMEAN(J4:K4)</f>
        <v>1159.9853267787914</v>
      </c>
    </row>
    <row r="5" spans="2:15">
      <c r="B5" t="s">
        <v>93</v>
      </c>
      <c r="C5">
        <v>468</v>
      </c>
      <c r="D5">
        <v>575</v>
      </c>
      <c r="E5" s="12">
        <f t="shared" si="1"/>
        <v>518.74849397371747</v>
      </c>
      <c r="F5" s="12"/>
      <c r="G5">
        <v>0.97</v>
      </c>
      <c r="H5">
        <v>0.98</v>
      </c>
      <c r="J5" s="49">
        <f t="shared" si="2"/>
        <v>482.4742268041237</v>
      </c>
      <c r="K5" s="49">
        <f t="shared" si="0"/>
        <v>586.73469387755108</v>
      </c>
      <c r="L5" s="12">
        <f t="shared" si="3"/>
        <v>532.05673359870718</v>
      </c>
    </row>
    <row r="6" spans="2:15">
      <c r="B6" t="s">
        <v>94</v>
      </c>
      <c r="C6">
        <v>155</v>
      </c>
      <c r="D6">
        <v>390</v>
      </c>
      <c r="E6" s="12">
        <f t="shared" si="1"/>
        <v>245.86581706288493</v>
      </c>
      <c r="F6" s="12"/>
      <c r="G6">
        <v>0.99</v>
      </c>
      <c r="H6">
        <v>0.95</v>
      </c>
      <c r="J6" s="49">
        <f t="shared" si="2"/>
        <v>156.56565656565655</v>
      </c>
      <c r="K6" s="49">
        <f t="shared" si="0"/>
        <v>410.5263157894737</v>
      </c>
      <c r="L6" s="12">
        <f t="shared" si="3"/>
        <v>253.52380986617214</v>
      </c>
    </row>
    <row r="9" spans="2:15" ht="15.6">
      <c r="C9" s="166" t="s">
        <v>225</v>
      </c>
      <c r="D9" s="165"/>
      <c r="E9" s="165"/>
      <c r="F9" s="165"/>
      <c r="G9" s="165"/>
      <c r="H9" s="165"/>
      <c r="I9" s="165"/>
      <c r="J9" s="165"/>
      <c r="K9" s="165"/>
      <c r="L9" s="165"/>
      <c r="M9" s="165"/>
      <c r="N9" s="165"/>
      <c r="O9" s="165"/>
    </row>
    <row r="10" spans="2:15">
      <c r="C10" s="167" t="s">
        <v>226</v>
      </c>
      <c r="D10" s="165"/>
      <c r="E10" s="165"/>
      <c r="F10" s="165"/>
      <c r="G10" s="165"/>
      <c r="H10" s="165"/>
      <c r="I10" s="165"/>
      <c r="J10" s="165"/>
      <c r="K10" s="165"/>
      <c r="L10" s="165"/>
      <c r="M10" s="165"/>
      <c r="N10" s="165"/>
      <c r="O10" s="165"/>
    </row>
    <row r="11" spans="2:15">
      <c r="C11" s="167" t="s">
        <v>227</v>
      </c>
      <c r="D11" s="165"/>
      <c r="E11" s="165"/>
      <c r="F11" s="165"/>
      <c r="G11" s="165"/>
      <c r="H11" s="165"/>
      <c r="I11" s="165"/>
      <c r="J11" s="165"/>
      <c r="K11" s="165"/>
      <c r="L11" s="165"/>
      <c r="M11" s="165"/>
      <c r="N11" s="165"/>
      <c r="O11" s="165"/>
    </row>
    <row r="12" spans="2:15">
      <c r="C12" s="167" t="s">
        <v>228</v>
      </c>
      <c r="D12" s="165"/>
      <c r="E12" s="165"/>
      <c r="F12" s="165"/>
      <c r="G12" s="165"/>
      <c r="H12" s="165"/>
      <c r="I12" s="165"/>
      <c r="J12" s="165"/>
      <c r="K12" s="165"/>
      <c r="L12" s="165"/>
      <c r="M12" s="165"/>
      <c r="N12" s="165"/>
      <c r="O12" s="165"/>
    </row>
    <row r="13" spans="2:15">
      <c r="C13" s="168"/>
      <c r="D13" s="165"/>
      <c r="E13" s="165"/>
      <c r="F13" s="165"/>
      <c r="G13" s="165"/>
      <c r="H13" s="165"/>
      <c r="I13" s="165"/>
      <c r="J13" s="165"/>
      <c r="K13" s="165"/>
      <c r="L13" s="165"/>
      <c r="M13" s="165"/>
      <c r="N13" s="165"/>
      <c r="O13" s="165"/>
    </row>
    <row r="14" spans="2:15">
      <c r="C14" s="168"/>
      <c r="D14" s="165"/>
      <c r="E14" s="165"/>
      <c r="F14" s="165"/>
      <c r="G14" s="165"/>
      <c r="H14" s="165"/>
      <c r="I14" s="165"/>
      <c r="J14" s="165"/>
      <c r="K14" s="165"/>
      <c r="L14" s="165"/>
      <c r="M14" s="165"/>
      <c r="N14" s="165"/>
      <c r="O14" s="165"/>
    </row>
    <row r="15" spans="2:15">
      <c r="C15" s="168"/>
      <c r="D15" s="165"/>
      <c r="E15" s="165"/>
      <c r="F15" s="165"/>
      <c r="G15" s="165"/>
      <c r="H15" s="165"/>
      <c r="I15" s="165"/>
      <c r="J15" s="165"/>
      <c r="K15" s="165"/>
      <c r="L15" s="165"/>
      <c r="M15" s="165"/>
      <c r="N15" s="165"/>
      <c r="O15" s="165"/>
    </row>
    <row r="16" spans="2:15">
      <c r="C16" s="168"/>
      <c r="D16" s="165"/>
      <c r="E16" s="165"/>
      <c r="F16" s="165"/>
      <c r="G16" s="165"/>
      <c r="H16" s="165"/>
      <c r="I16" s="165"/>
      <c r="J16" s="165"/>
      <c r="K16" s="165"/>
      <c r="L16" s="165"/>
      <c r="M16" s="165"/>
      <c r="N16" s="165"/>
      <c r="O16" s="165"/>
    </row>
    <row r="17" spans="3:15">
      <c r="C17" s="168"/>
      <c r="D17" s="165"/>
      <c r="E17" s="165"/>
      <c r="F17" s="165"/>
      <c r="G17" s="165"/>
      <c r="H17" s="165"/>
      <c r="I17" s="165"/>
      <c r="J17" s="165"/>
      <c r="K17" s="165"/>
      <c r="L17" s="165"/>
      <c r="M17" s="165"/>
      <c r="N17" s="165"/>
      <c r="O17" s="165"/>
    </row>
    <row r="18" spans="3:15">
      <c r="C18" s="168"/>
      <c r="D18" s="165"/>
      <c r="E18" s="165"/>
      <c r="F18" s="165"/>
      <c r="G18" s="165"/>
      <c r="H18" s="165"/>
      <c r="I18" s="165"/>
      <c r="J18" s="165"/>
      <c r="K18" s="165"/>
      <c r="L18" s="165"/>
      <c r="M18" s="165"/>
      <c r="N18" s="165"/>
      <c r="O18" s="165"/>
    </row>
    <row r="19" spans="3:15">
      <c r="C19" s="168"/>
      <c r="D19" s="165"/>
      <c r="E19" s="165"/>
      <c r="F19" s="165"/>
      <c r="G19" s="165"/>
      <c r="H19" s="165"/>
      <c r="I19" s="165"/>
      <c r="J19" s="165"/>
      <c r="K19" s="165"/>
      <c r="L19" s="165"/>
      <c r="M19" s="165"/>
      <c r="N19" s="165"/>
      <c r="O19" s="165"/>
    </row>
  </sheetData>
  <customSheetViews>
    <customSheetView guid="{4A56DCA2-EE2D-40DD-82F4-76121FFBC45C}">
      <selection activeCell="F18" sqref="F1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465B3-367E-45AE-8CD9-D421D2D0AC22}">
  <dimension ref="A1"/>
  <sheetViews>
    <sheetView workbookViewId="0">
      <selection activeCell="F21" sqref="F21"/>
    </sheetView>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A46"/>
  <sheetViews>
    <sheetView workbookViewId="0">
      <pane xSplit="2" ySplit="4" topLeftCell="C5" activePane="bottomRight" state="frozen"/>
      <selection pane="topRight" activeCell="C1" sqref="C1"/>
      <selection pane="bottomLeft" activeCell="A5" sqref="A5"/>
      <selection pane="bottomRight" activeCell="V27" sqref="V27"/>
    </sheetView>
  </sheetViews>
  <sheetFormatPr defaultRowHeight="14.4"/>
  <cols>
    <col min="1" max="1" width="8.88671875" customWidth="1"/>
    <col min="2" max="2" width="37" customWidth="1"/>
    <col min="3" max="3" width="2.33203125" style="118" customWidth="1"/>
    <col min="4" max="4" width="7" style="118" customWidth="1"/>
    <col min="5" max="5" width="9.109375" style="118"/>
    <col min="6" max="6" width="9.109375" style="262"/>
    <col min="7" max="7" width="2.33203125" style="118" customWidth="1"/>
    <col min="8" max="8" width="5.5546875" bestFit="1" customWidth="1"/>
    <col min="9" max="10" width="9.109375"/>
    <col min="11" max="11" width="3.33203125" style="118" customWidth="1"/>
    <col min="12" max="12" width="5.5546875" style="118" bestFit="1" customWidth="1"/>
    <col min="13" max="14" width="9.109375"/>
    <col min="15" max="15" width="2.88671875" customWidth="1"/>
    <col min="16" max="16" width="5.5546875" bestFit="1" customWidth="1"/>
    <col min="17" max="18" width="9.109375"/>
    <col min="19" max="19" width="3.6640625" customWidth="1"/>
  </cols>
  <sheetData>
    <row r="2" spans="1:18">
      <c r="C2"/>
      <c r="D2"/>
      <c r="E2" t="s">
        <v>375</v>
      </c>
      <c r="G2"/>
      <c r="I2" t="s">
        <v>38</v>
      </c>
      <c r="K2"/>
      <c r="L2"/>
      <c r="M2" t="s">
        <v>376</v>
      </c>
      <c r="Q2" t="s">
        <v>40</v>
      </c>
    </row>
    <row r="3" spans="1:18">
      <c r="C3"/>
      <c r="D3"/>
      <c r="E3"/>
      <c r="G3"/>
      <c r="K3"/>
      <c r="L3"/>
    </row>
    <row r="4" spans="1:18">
      <c r="C4"/>
      <c r="D4"/>
      <c r="E4" s="154" t="s">
        <v>377</v>
      </c>
      <c r="F4" s="262" t="s">
        <v>378</v>
      </c>
      <c r="G4"/>
      <c r="I4" s="154" t="s">
        <v>377</v>
      </c>
      <c r="J4" t="s">
        <v>378</v>
      </c>
      <c r="K4"/>
      <c r="L4"/>
      <c r="M4" s="154" t="s">
        <v>377</v>
      </c>
      <c r="N4" t="s">
        <v>378</v>
      </c>
      <c r="Q4" s="154" t="s">
        <v>377</v>
      </c>
      <c r="R4" t="s">
        <v>378</v>
      </c>
    </row>
    <row r="5" spans="1:18">
      <c r="A5" t="s">
        <v>281</v>
      </c>
      <c r="B5" s="8" t="s">
        <v>379</v>
      </c>
      <c r="E5" s="334">
        <f>Summary!U25</f>
        <v>18155</v>
      </c>
      <c r="I5" s="334">
        <f>Summary!W25</f>
        <v>21500</v>
      </c>
      <c r="M5" s="334">
        <f>Summary!X25</f>
        <v>43850</v>
      </c>
      <c r="Q5" s="334">
        <f>Summary!Y25</f>
        <v>69150</v>
      </c>
    </row>
    <row r="6" spans="1:18">
      <c r="B6" t="s">
        <v>395</v>
      </c>
      <c r="D6" s="273">
        <v>0.51249999999999996</v>
      </c>
      <c r="F6" s="109">
        <f>E7-E5</f>
        <v>19086.025641025641</v>
      </c>
      <c r="H6" s="264">
        <f>$D6</f>
        <v>0.51249999999999996</v>
      </c>
      <c r="I6" s="118"/>
      <c r="J6" s="109">
        <f>I7-I5</f>
        <v>22602.564102564102</v>
      </c>
      <c r="L6" s="264">
        <f>$D6</f>
        <v>0.51249999999999996</v>
      </c>
      <c r="M6" s="118"/>
      <c r="N6" s="109">
        <f>M7-M5</f>
        <v>46098.717948717938</v>
      </c>
      <c r="P6" s="264">
        <f>$D6</f>
        <v>0.51249999999999996</v>
      </c>
      <c r="Q6" s="118"/>
      <c r="R6" s="109">
        <f>Q7-Q5</f>
        <v>72696.153846153844</v>
      </c>
    </row>
    <row r="7" spans="1:18">
      <c r="B7" s="8" t="s">
        <v>380</v>
      </c>
      <c r="D7" s="264"/>
      <c r="E7" s="12">
        <f>E5/(1-D6)</f>
        <v>37241.025641025641</v>
      </c>
      <c r="F7" s="109"/>
      <c r="H7" s="264"/>
      <c r="I7" s="12">
        <f>I5/(1-H6)</f>
        <v>44102.564102564102</v>
      </c>
      <c r="J7" s="109"/>
      <c r="L7" s="264"/>
      <c r="M7" s="12">
        <f>M5/(1-L6)</f>
        <v>89948.717948717938</v>
      </c>
      <c r="N7" s="109"/>
      <c r="P7" s="264"/>
      <c r="Q7" s="12">
        <f>Q5/(1-P6)</f>
        <v>141846.15384615384</v>
      </c>
      <c r="R7" s="109"/>
    </row>
    <row r="8" spans="1:18">
      <c r="B8" t="s">
        <v>394</v>
      </c>
      <c r="D8" s="265">
        <v>2.1000000000000001E-2</v>
      </c>
      <c r="F8" s="109">
        <f>E9-E7</f>
        <v>798.83711793824477</v>
      </c>
      <c r="H8" s="266">
        <f>D8</f>
        <v>2.1000000000000001E-2</v>
      </c>
      <c r="I8" s="118"/>
      <c r="J8" s="109">
        <f>I9-I7</f>
        <v>946.02027186296618</v>
      </c>
      <c r="L8" s="266">
        <v>0.05</v>
      </c>
      <c r="M8" s="118"/>
      <c r="N8" s="109">
        <f>M9-M7</f>
        <v>4734.1430499325215</v>
      </c>
      <c r="P8" s="266">
        <v>0.05</v>
      </c>
      <c r="Q8" s="118"/>
      <c r="R8" s="109">
        <f>Q9-Q7</f>
        <v>7465.587044534419</v>
      </c>
    </row>
    <row r="9" spans="1:18">
      <c r="B9" s="8" t="s">
        <v>393</v>
      </c>
      <c r="C9"/>
      <c r="D9" s="265"/>
      <c r="E9" s="263">
        <f>E7/(1-D8)</f>
        <v>38039.862758963885</v>
      </c>
      <c r="F9" s="12"/>
      <c r="G9"/>
      <c r="H9" s="264"/>
      <c r="I9" s="263">
        <f>I7/(1-H8)</f>
        <v>45048.584374427068</v>
      </c>
      <c r="J9" s="12"/>
      <c r="K9"/>
      <c r="L9" s="265"/>
      <c r="M9" s="263">
        <f>M7/(1-L8)</f>
        <v>94682.86099865046</v>
      </c>
      <c r="N9" s="12"/>
      <c r="P9" s="265"/>
      <c r="Q9" s="263">
        <f>Q7/(1-P8)</f>
        <v>149311.74089068826</v>
      </c>
      <c r="R9" s="12"/>
    </row>
    <row r="10" spans="1:18">
      <c r="B10" t="s">
        <v>392</v>
      </c>
      <c r="C10"/>
      <c r="D10" s="265">
        <v>5.3999999999999999E-2</v>
      </c>
      <c r="F10" s="109">
        <f>E11-E9</f>
        <v>2171.4086564313475</v>
      </c>
      <c r="G10"/>
      <c r="H10" s="264">
        <f>$D10</f>
        <v>5.3999999999999999E-2</v>
      </c>
      <c r="I10" s="118"/>
      <c r="J10" s="109">
        <f>I11-I9</f>
        <v>2571.4836746501751</v>
      </c>
      <c r="K10"/>
      <c r="L10" s="264">
        <f>$D10</f>
        <v>5.3999999999999999E-2</v>
      </c>
      <c r="M10" s="118"/>
      <c r="N10" s="109">
        <f>M11-M9</f>
        <v>5404.729909013884</v>
      </c>
      <c r="P10" s="264">
        <f>$D10</f>
        <v>5.3999999999999999E-2</v>
      </c>
      <c r="Q10" s="118"/>
      <c r="R10" s="109">
        <f>Q11-Q9</f>
        <v>8523.0803468257654</v>
      </c>
    </row>
    <row r="11" spans="1:18">
      <c r="B11" s="8" t="s">
        <v>380</v>
      </c>
      <c r="C11"/>
      <c r="D11" s="265"/>
      <c r="E11" s="263">
        <f>E9/(1-D10)</f>
        <v>40211.271415395233</v>
      </c>
      <c r="F11" s="12"/>
      <c r="G11"/>
      <c r="H11" s="265"/>
      <c r="I11" s="263">
        <f>I9/(1-H10)</f>
        <v>47620.068049077243</v>
      </c>
      <c r="J11" s="12"/>
      <c r="K11"/>
      <c r="L11" s="265"/>
      <c r="M11" s="263">
        <f>M9/(1-L10)</f>
        <v>100087.59090766434</v>
      </c>
      <c r="N11" s="12"/>
      <c r="P11" s="265"/>
      <c r="Q11" s="263">
        <f>Q9/(1-P10)</f>
        <v>157834.82123751403</v>
      </c>
      <c r="R11" s="12"/>
    </row>
    <row r="12" spans="1:18">
      <c r="B12" t="s">
        <v>391</v>
      </c>
      <c r="C12"/>
      <c r="D12" s="265">
        <v>6.5000000000000002E-2</v>
      </c>
      <c r="E12"/>
      <c r="F12" s="12">
        <f>E13-E11</f>
        <v>2795.4359807493965</v>
      </c>
      <c r="G12"/>
      <c r="H12" s="267">
        <f>D12</f>
        <v>6.5000000000000002E-2</v>
      </c>
      <c r="J12" s="12">
        <f>I13-I11</f>
        <v>3310.486014106973</v>
      </c>
      <c r="K12"/>
      <c r="L12" s="267">
        <v>0.14000000000000001</v>
      </c>
      <c r="N12" s="12">
        <f>M13-M11</f>
        <v>16293.328752410482</v>
      </c>
      <c r="P12" s="267">
        <v>0.24</v>
      </c>
      <c r="R12" s="12">
        <f>Q13-Q11</f>
        <v>49842.575127635995</v>
      </c>
    </row>
    <row r="13" spans="1:18">
      <c r="B13" s="8" t="s">
        <v>381</v>
      </c>
      <c r="D13" s="264"/>
      <c r="E13" s="263">
        <f>E11/(1-D12)</f>
        <v>43006.707396144629</v>
      </c>
      <c r="F13" s="109"/>
      <c r="H13" s="264"/>
      <c r="I13" s="263">
        <f>I11/(1-H12)</f>
        <v>50930.554063184216</v>
      </c>
      <c r="J13" s="109"/>
      <c r="L13" s="265"/>
      <c r="M13" s="263">
        <f>M11/(1-L12)</f>
        <v>116380.91966007483</v>
      </c>
      <c r="N13" s="109"/>
      <c r="P13" s="265"/>
      <c r="Q13" s="263">
        <f>Q11/(1-P12)</f>
        <v>207677.39636515002</v>
      </c>
      <c r="R13" s="109"/>
    </row>
    <row r="14" spans="1:18">
      <c r="B14" t="s">
        <v>382</v>
      </c>
      <c r="D14" s="264">
        <v>0</v>
      </c>
      <c r="E14" s="12">
        <f>E13/(1-D14)</f>
        <v>43006.707396144629</v>
      </c>
      <c r="F14" s="109">
        <f>E14-E13</f>
        <v>0</v>
      </c>
      <c r="H14" s="264">
        <f>$D14</f>
        <v>0</v>
      </c>
      <c r="I14" s="12">
        <f>I13/(1-H14)</f>
        <v>50930.554063184216</v>
      </c>
      <c r="J14" s="109">
        <f>I14-I13</f>
        <v>0</v>
      </c>
      <c r="L14" s="264">
        <f>$D14</f>
        <v>0</v>
      </c>
      <c r="M14" s="12">
        <f>M13/(1-L14)</f>
        <v>116380.91966007483</v>
      </c>
      <c r="N14" s="109">
        <f>M14-M13</f>
        <v>0</v>
      </c>
      <c r="P14" s="264">
        <f>$D14</f>
        <v>0</v>
      </c>
      <c r="Q14" s="12">
        <f>Q13/(1-P14)</f>
        <v>207677.39636515002</v>
      </c>
      <c r="R14" s="109">
        <f>Q14-Q13</f>
        <v>0</v>
      </c>
    </row>
    <row r="15" spans="1:18">
      <c r="B15" t="s">
        <v>383</v>
      </c>
      <c r="D15" s="265">
        <f>Summary!AC6</f>
        <v>1.2E-2</v>
      </c>
      <c r="F15" s="109">
        <f>E16-E14</f>
        <v>522.34867282766936</v>
      </c>
      <c r="H15" s="267">
        <f>D15</f>
        <v>1.2E-2</v>
      </c>
      <c r="I15" s="118"/>
      <c r="J15" s="109">
        <f>I16-I14</f>
        <v>618.58972546377481</v>
      </c>
      <c r="L15" s="267">
        <v>0.05</v>
      </c>
      <c r="M15" s="118"/>
      <c r="N15" s="109">
        <f>M16-M14</f>
        <v>6125.3115610565728</v>
      </c>
      <c r="P15" s="267">
        <v>0.1</v>
      </c>
      <c r="Q15" s="118"/>
      <c r="R15" s="109">
        <f>Q16-Q14</f>
        <v>23075.266262794437</v>
      </c>
    </row>
    <row r="16" spans="1:18">
      <c r="B16" s="8" t="s">
        <v>384</v>
      </c>
      <c r="D16" s="264"/>
      <c r="E16" s="263">
        <f>E14/(1-D15)</f>
        <v>43529.056068972299</v>
      </c>
      <c r="F16" s="109"/>
      <c r="H16" s="264"/>
      <c r="I16" s="263">
        <f>I14/(1-H15)</f>
        <v>51549.143788647991</v>
      </c>
      <c r="J16" s="109"/>
      <c r="L16" s="265"/>
      <c r="M16" s="263">
        <f>M14/(1-L15)</f>
        <v>122506.2312211314</v>
      </c>
      <c r="N16" s="109"/>
      <c r="P16" s="265"/>
      <c r="Q16" s="263">
        <f>Q14/(1-P15)</f>
        <v>230752.66262794446</v>
      </c>
      <c r="R16" s="109"/>
    </row>
    <row r="17" spans="1:27">
      <c r="E17" s="63"/>
      <c r="I17" s="12"/>
      <c r="M17" s="12"/>
      <c r="Q17" s="12"/>
    </row>
    <row r="18" spans="1:27">
      <c r="B18" s="62" t="s">
        <v>385</v>
      </c>
      <c r="E18" s="63"/>
      <c r="F18" s="109">
        <f>F8+F12+F15</f>
        <v>4116.6217715153107</v>
      </c>
      <c r="I18" s="12"/>
      <c r="J18" s="109">
        <f>J8+J12+J15</f>
        <v>4875.096011433714</v>
      </c>
      <c r="M18" s="12"/>
      <c r="N18" s="109">
        <f>N8+N12+N15</f>
        <v>27152.783363399576</v>
      </c>
      <c r="Q18" s="12"/>
      <c r="R18" s="109">
        <f>R8+R12+R15</f>
        <v>80383.428434964851</v>
      </c>
    </row>
    <row r="19" spans="1:27">
      <c r="B19" s="62" t="s">
        <v>386</v>
      </c>
      <c r="E19" s="63"/>
      <c r="F19" s="268">
        <f>F18/E16</f>
        <v>9.4571813480000017E-2</v>
      </c>
      <c r="I19" s="12"/>
      <c r="J19" s="268">
        <f>J18/I16</f>
        <v>9.4571813479999919E-2</v>
      </c>
      <c r="K19" s="269"/>
      <c r="L19" s="269"/>
      <c r="M19" s="171"/>
      <c r="N19" s="268">
        <f>N18/M16</f>
        <v>0.22164410000000004</v>
      </c>
      <c r="O19" s="171"/>
      <c r="P19" s="171"/>
      <c r="Q19" s="171"/>
      <c r="R19" s="268">
        <f>R18/Q16</f>
        <v>0.34835319999999997</v>
      </c>
    </row>
    <row r="20" spans="1:27">
      <c r="B20" s="62" t="s">
        <v>387</v>
      </c>
      <c r="E20" s="63"/>
      <c r="F20" s="270">
        <f>F6+F10+F14</f>
        <v>21257.434297456988</v>
      </c>
      <c r="I20" s="12"/>
      <c r="J20" s="270">
        <f>J6+J10+J14</f>
        <v>25174.047777214277</v>
      </c>
      <c r="M20" s="12"/>
      <c r="N20" s="270">
        <f>N6+N10+N14</f>
        <v>51503.447857731822</v>
      </c>
      <c r="Q20" s="12"/>
      <c r="R20" s="270">
        <f>R6+R10+R14</f>
        <v>81219.234192979609</v>
      </c>
    </row>
    <row r="21" spans="1:27">
      <c r="B21" s="62" t="s">
        <v>388</v>
      </c>
      <c r="E21" s="63"/>
      <c r="F21" s="271">
        <f>F20/E16</f>
        <v>0.48835045409150007</v>
      </c>
      <c r="I21" s="12"/>
      <c r="J21" s="271">
        <f>J20/I16</f>
        <v>0.48835045409150007</v>
      </c>
      <c r="M21" s="12"/>
      <c r="N21" s="271">
        <f>N20/M16</f>
        <v>0.42041492374999995</v>
      </c>
      <c r="Q21" s="12"/>
      <c r="R21" s="271">
        <f>R20/Q16</f>
        <v>0.35197528500000003</v>
      </c>
    </row>
    <row r="23" spans="1:27">
      <c r="B23" s="62" t="s">
        <v>389</v>
      </c>
      <c r="F23" s="268">
        <f>Summary!AC9</f>
        <v>9.5000000000000001E-2</v>
      </c>
      <c r="J23" s="171">
        <f>F23</f>
        <v>9.5000000000000001E-2</v>
      </c>
      <c r="K23" s="272"/>
      <c r="L23" s="272"/>
      <c r="M23" s="104"/>
      <c r="N23" s="104">
        <v>0.22</v>
      </c>
      <c r="O23" s="104"/>
      <c r="P23" s="104"/>
      <c r="Q23" s="104"/>
      <c r="R23" s="104">
        <v>0.35</v>
      </c>
      <c r="AA23" t="s">
        <v>390</v>
      </c>
    </row>
    <row r="24" spans="1:27">
      <c r="B24" s="62"/>
    </row>
    <row r="26" spans="1:27">
      <c r="A26" t="s">
        <v>283</v>
      </c>
      <c r="B26" s="8" t="s">
        <v>98</v>
      </c>
      <c r="E26" s="180">
        <v>960000</v>
      </c>
      <c r="I26" s="180">
        <f>Summary!V37+Summary!W37</f>
        <v>960000</v>
      </c>
      <c r="M26" s="180">
        <f>AVERAGE(I26,Q26)</f>
        <v>835000</v>
      </c>
      <c r="Q26" s="180">
        <f>Summary!Y37</f>
        <v>710000</v>
      </c>
    </row>
    <row r="27" spans="1:27">
      <c r="B27" s="8" t="s">
        <v>156</v>
      </c>
      <c r="E27" s="171">
        <f>E28/E26</f>
        <v>6.0416666666666667E-2</v>
      </c>
      <c r="I27" s="284">
        <f>$E27</f>
        <v>6.0416666666666667E-2</v>
      </c>
      <c r="M27" s="284">
        <f>$E27</f>
        <v>6.0416666666666667E-2</v>
      </c>
      <c r="Q27" s="284">
        <f>$E27</f>
        <v>6.0416666666666667E-2</v>
      </c>
    </row>
    <row r="28" spans="1:27">
      <c r="B28" s="8" t="s">
        <v>384</v>
      </c>
      <c r="D28" s="264"/>
      <c r="E28" s="263">
        <v>58000</v>
      </c>
      <c r="F28" s="109"/>
      <c r="H28" s="264"/>
      <c r="I28" s="263">
        <f>I27*I26</f>
        <v>58000</v>
      </c>
      <c r="J28" s="109"/>
      <c r="L28" s="264"/>
      <c r="M28" s="263">
        <f>M27*M26</f>
        <v>50447.916666666664</v>
      </c>
      <c r="N28" s="109"/>
      <c r="P28" s="264"/>
      <c r="Q28" s="263">
        <f>Q27*Q26</f>
        <v>42895.833333333336</v>
      </c>
      <c r="R28" s="109"/>
    </row>
    <row r="29" spans="1:27">
      <c r="B29" t="s">
        <v>383</v>
      </c>
      <c r="D29" s="266">
        <v>6.8959999999999994E-2</v>
      </c>
      <c r="F29" s="109">
        <f>E28*D29</f>
        <v>3999.68</v>
      </c>
      <c r="H29" s="266">
        <v>6.8959999999999994E-2</v>
      </c>
      <c r="I29" s="118"/>
      <c r="J29" s="109">
        <f>I28*H29</f>
        <v>3999.68</v>
      </c>
      <c r="L29" s="266">
        <v>0.13</v>
      </c>
      <c r="M29" s="118"/>
      <c r="N29" s="109">
        <f>M28*L29</f>
        <v>6558.229166666667</v>
      </c>
      <c r="P29" s="266">
        <v>0.2</v>
      </c>
      <c r="Q29" s="118"/>
      <c r="R29" s="109">
        <f>Q28*P29</f>
        <v>8579.1666666666679</v>
      </c>
    </row>
    <row r="30" spans="1:27">
      <c r="B30" t="s">
        <v>382</v>
      </c>
      <c r="D30" s="264">
        <v>0</v>
      </c>
      <c r="E30" s="12"/>
      <c r="F30" s="109">
        <f>(E28-F29)*D30</f>
        <v>0</v>
      </c>
      <c r="H30" s="264">
        <v>0</v>
      </c>
      <c r="I30" s="12"/>
      <c r="J30" s="109">
        <f>(I28-J29)*H30</f>
        <v>0</v>
      </c>
      <c r="L30" s="264">
        <v>0</v>
      </c>
      <c r="M30" s="12"/>
      <c r="N30" s="109">
        <f>(M28-N29)*L30</f>
        <v>0</v>
      </c>
      <c r="P30" s="264">
        <v>0</v>
      </c>
      <c r="Q30" s="12"/>
      <c r="R30" s="109">
        <f>(Q28-R29)*P30</f>
        <v>0</v>
      </c>
    </row>
    <row r="31" spans="1:27">
      <c r="B31" s="8" t="s">
        <v>381</v>
      </c>
      <c r="D31" s="264"/>
      <c r="E31" s="263">
        <f>E28-F29-F30</f>
        <v>54000.32</v>
      </c>
      <c r="F31" s="109"/>
      <c r="H31" s="264"/>
      <c r="I31" s="263">
        <f>I28-J29-J30</f>
        <v>54000.32</v>
      </c>
      <c r="J31" s="109"/>
      <c r="L31" s="264"/>
      <c r="M31" s="263">
        <f>M28-N29-N30</f>
        <v>43889.6875</v>
      </c>
      <c r="N31" s="109"/>
      <c r="P31" s="264"/>
      <c r="Q31" s="263">
        <f>Q28-R29-R30</f>
        <v>34316.666666666672</v>
      </c>
      <c r="R31" s="109"/>
    </row>
    <row r="32" spans="1:27">
      <c r="B32" t="s">
        <v>391</v>
      </c>
      <c r="C32"/>
      <c r="D32" s="265">
        <v>0.06</v>
      </c>
      <c r="E32"/>
      <c r="F32" s="12">
        <f>E31*D32</f>
        <v>3240.0191999999997</v>
      </c>
      <c r="H32" s="265">
        <v>0.06</v>
      </c>
      <c r="J32" s="12">
        <f>I31*H32</f>
        <v>3240.0191999999997</v>
      </c>
      <c r="L32" s="265">
        <v>0.2</v>
      </c>
      <c r="N32" s="12">
        <f>M31*L32</f>
        <v>8777.9375</v>
      </c>
      <c r="P32" s="265">
        <v>0.25</v>
      </c>
      <c r="R32" s="12">
        <f>Q31*P32</f>
        <v>8579.1666666666679</v>
      </c>
    </row>
    <row r="33" spans="2:20">
      <c r="B33" s="8" t="s">
        <v>380</v>
      </c>
      <c r="C33"/>
      <c r="D33" s="265"/>
      <c r="E33" s="12">
        <f>E31-F32</f>
        <v>50760.300799999997</v>
      </c>
      <c r="F33" s="12"/>
      <c r="H33" s="265"/>
      <c r="I33" s="12">
        <f>I31-J32</f>
        <v>50760.300799999997</v>
      </c>
      <c r="J33" s="12"/>
      <c r="L33" s="265"/>
      <c r="M33" s="12">
        <f>M31-N32</f>
        <v>35111.75</v>
      </c>
      <c r="N33" s="12"/>
      <c r="P33" s="265"/>
      <c r="Q33" s="12">
        <f>Q31-R32</f>
        <v>25737.500000000004</v>
      </c>
      <c r="R33" s="12"/>
    </row>
    <row r="34" spans="2:20">
      <c r="B34" t="s">
        <v>392</v>
      </c>
      <c r="C34"/>
      <c r="D34" s="265">
        <v>0.11348043075427039</v>
      </c>
      <c r="F34" s="109">
        <f>E33*D34</f>
        <v>5760.3008000003356</v>
      </c>
      <c r="H34" s="265">
        <v>0.11348043075427039</v>
      </c>
      <c r="I34" s="118"/>
      <c r="J34" s="109">
        <f>I33*H34</f>
        <v>5760.3008000003356</v>
      </c>
      <c r="L34" s="265">
        <v>0.11348043075427039</v>
      </c>
      <c r="M34" s="118"/>
      <c r="N34" s="109">
        <f>M33*L34</f>
        <v>3984.4965145362535</v>
      </c>
      <c r="P34" s="265">
        <v>0.11348043075427039</v>
      </c>
      <c r="Q34" s="118"/>
      <c r="R34" s="109">
        <f>Q33*P34</f>
        <v>2920.7025865380347</v>
      </c>
    </row>
    <row r="35" spans="2:20">
      <c r="B35" s="8" t="s">
        <v>393</v>
      </c>
      <c r="C35"/>
      <c r="D35" s="265"/>
      <c r="E35" s="263">
        <f>E33-F34</f>
        <v>44999.999999999665</v>
      </c>
      <c r="F35" s="12"/>
      <c r="H35" s="265"/>
      <c r="I35" s="263">
        <f>I33-J34</f>
        <v>44999.999999999665</v>
      </c>
      <c r="J35" s="12"/>
      <c r="L35" s="265"/>
      <c r="M35" s="263">
        <f>M33-N34</f>
        <v>31127.253485463745</v>
      </c>
      <c r="N35" s="12"/>
      <c r="P35" s="265"/>
      <c r="Q35" s="263">
        <f>Q33-R34</f>
        <v>22816.797413461969</v>
      </c>
      <c r="R35" s="12"/>
    </row>
    <row r="36" spans="2:20">
      <c r="B36" t="s">
        <v>394</v>
      </c>
      <c r="D36" s="265">
        <v>0.34</v>
      </c>
      <c r="F36" s="109">
        <f>E35*D36</f>
        <v>15299.999999999887</v>
      </c>
      <c r="H36" s="265">
        <v>0.34</v>
      </c>
      <c r="I36" s="118"/>
      <c r="J36" s="109">
        <f>I35*H36</f>
        <v>15299.999999999887</v>
      </c>
      <c r="L36" s="265">
        <v>0.4</v>
      </c>
      <c r="M36" s="118"/>
      <c r="N36" s="109">
        <f>M35*L36</f>
        <v>12450.901394185499</v>
      </c>
      <c r="P36" s="265">
        <v>0.55000000000000004</v>
      </c>
      <c r="Q36" s="118"/>
      <c r="R36" s="109">
        <f>Q35*P36</f>
        <v>12549.238577404083</v>
      </c>
    </row>
    <row r="37" spans="2:20">
      <c r="B37" s="8" t="s">
        <v>380</v>
      </c>
      <c r="D37" s="264"/>
      <c r="E37" s="12">
        <f>E35-F36</f>
        <v>29699.999999999778</v>
      </c>
      <c r="F37" s="109"/>
      <c r="H37" s="264"/>
      <c r="I37" s="12">
        <f>I35-J36</f>
        <v>29699.999999999778</v>
      </c>
      <c r="J37" s="109"/>
      <c r="L37" s="264"/>
      <c r="M37" s="12">
        <f>M35-N36</f>
        <v>18676.352091278248</v>
      </c>
      <c r="N37" s="109"/>
      <c r="P37" s="264"/>
      <c r="Q37" s="12">
        <f>Q35-R36</f>
        <v>10267.558836057886</v>
      </c>
      <c r="R37" s="109"/>
    </row>
    <row r="38" spans="2:20">
      <c r="B38" t="s">
        <v>395</v>
      </c>
      <c r="D38" s="273">
        <v>0.51249999999999996</v>
      </c>
      <c r="F38" s="109">
        <f>E37*D38</f>
        <v>15221.249999999885</v>
      </c>
      <c r="H38" s="273">
        <v>0.51249999999999996</v>
      </c>
      <c r="I38" s="118"/>
      <c r="J38" s="109">
        <f>I37*H38</f>
        <v>15221.249999999885</v>
      </c>
      <c r="L38" s="273">
        <v>0.51249999999999996</v>
      </c>
      <c r="M38" s="118"/>
      <c r="N38" s="109">
        <f>M37*L38</f>
        <v>9571.6304467801019</v>
      </c>
      <c r="P38" s="273">
        <v>0.51249999999999996</v>
      </c>
      <c r="Q38" s="118"/>
      <c r="R38" s="109">
        <f>Q37*P38</f>
        <v>5262.1239034796663</v>
      </c>
    </row>
    <row r="39" spans="2:20">
      <c r="B39" s="8" t="s">
        <v>379</v>
      </c>
      <c r="E39" s="12">
        <f>E37-F38</f>
        <v>14478.749999999893</v>
      </c>
      <c r="H39" s="118"/>
      <c r="I39" s="12">
        <f>I37-J38</f>
        <v>14478.749999999893</v>
      </c>
      <c r="J39" s="262"/>
      <c r="M39" s="12">
        <f>M37-N38</f>
        <v>9104.7216444981459</v>
      </c>
      <c r="N39" s="262"/>
      <c r="P39" s="118"/>
      <c r="Q39" s="12">
        <f>Q37-R38</f>
        <v>5005.4349325782196</v>
      </c>
      <c r="R39" s="262"/>
    </row>
    <row r="40" spans="2:20">
      <c r="H40" s="118"/>
      <c r="I40" s="118"/>
      <c r="J40" s="262"/>
      <c r="M40" s="118"/>
      <c r="N40" s="262"/>
      <c r="P40" s="118"/>
      <c r="Q40" s="118"/>
      <c r="R40" s="262"/>
    </row>
    <row r="41" spans="2:20">
      <c r="B41" s="62" t="s">
        <v>385</v>
      </c>
      <c r="F41" s="63">
        <f>F29+F32+F36</f>
        <v>22539.699199999886</v>
      </c>
      <c r="H41" s="118"/>
      <c r="I41" s="118"/>
      <c r="J41" s="63">
        <f>J29+J32+J36</f>
        <v>22539.699199999886</v>
      </c>
      <c r="M41" s="118"/>
      <c r="N41" s="63">
        <f>N29+N32+N36</f>
        <v>27787.068060852165</v>
      </c>
      <c r="O41" s="118"/>
      <c r="P41" s="118"/>
      <c r="Q41" s="118"/>
      <c r="R41" s="63">
        <f>R29+R32+R36</f>
        <v>29707.571910737417</v>
      </c>
      <c r="T41" t="s">
        <v>396</v>
      </c>
    </row>
    <row r="42" spans="2:20">
      <c r="B42" s="62" t="s">
        <v>386</v>
      </c>
      <c r="F42" s="274">
        <f>F41/E28</f>
        <v>0.38861550344827389</v>
      </c>
      <c r="H42" s="118"/>
      <c r="I42" s="118"/>
      <c r="J42" s="274">
        <f>J41/I28</f>
        <v>0.38861550344827389</v>
      </c>
      <c r="M42" s="118"/>
      <c r="N42" s="274">
        <f>N41/M28</f>
        <v>0.55080704807801117</v>
      </c>
      <c r="P42" s="118"/>
      <c r="Q42" s="118"/>
      <c r="R42" s="274">
        <f>R41/Q28</f>
        <v>0.69255145785109085</v>
      </c>
    </row>
    <row r="43" spans="2:20">
      <c r="B43" s="62" t="s">
        <v>387</v>
      </c>
      <c r="F43" s="109">
        <f>F30+F34+F38</f>
        <v>20981.550800000223</v>
      </c>
      <c r="H43" s="118"/>
      <c r="I43" s="118"/>
      <c r="J43" s="109">
        <f>J30+J34+J38</f>
        <v>20981.550800000223</v>
      </c>
      <c r="M43" s="118"/>
      <c r="N43" s="109">
        <f>N30+N34+N38</f>
        <v>13556.126961316355</v>
      </c>
      <c r="P43" s="118"/>
      <c r="Q43" s="118"/>
      <c r="R43" s="109">
        <f>R30+R34+R38</f>
        <v>8182.826490017701</v>
      </c>
    </row>
    <row r="44" spans="2:20">
      <c r="B44" s="62" t="s">
        <v>388</v>
      </c>
      <c r="F44" s="262">
        <f>F43/E28</f>
        <v>0.36175087586207283</v>
      </c>
      <c r="H44" s="118"/>
      <c r="I44" s="118"/>
      <c r="J44" s="262">
        <f>J43/I28</f>
        <v>0.36175087586207283</v>
      </c>
      <c r="M44" s="118"/>
      <c r="N44" s="262">
        <f>N43/M28</f>
        <v>0.26871529801494326</v>
      </c>
      <c r="P44" s="118"/>
      <c r="Q44" s="118"/>
      <c r="R44" s="262">
        <f>R43/Q28</f>
        <v>0.19076040384694007</v>
      </c>
    </row>
    <row r="46" spans="2:20">
      <c r="B46" s="62" t="s">
        <v>389</v>
      </c>
      <c r="F46" s="275">
        <f>Summary!AC14</f>
        <v>0.39</v>
      </c>
      <c r="J46" s="276">
        <f>F46</f>
        <v>0.39</v>
      </c>
      <c r="N46" s="277">
        <v>0.55000000000000004</v>
      </c>
      <c r="R46" s="277">
        <v>0.7</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8"/>
  <sheetViews>
    <sheetView workbookViewId="0">
      <pane xSplit="3" ySplit="5" topLeftCell="M6" activePane="bottomRight" state="frozen"/>
      <selection pane="topRight" activeCell="D1" sqref="D1"/>
      <selection pane="bottomLeft" activeCell="A6" sqref="A6"/>
      <selection pane="bottomRight" activeCell="U19" sqref="U19"/>
    </sheetView>
  </sheetViews>
  <sheetFormatPr defaultColWidth="9.109375" defaultRowHeight="14.4"/>
  <cols>
    <col min="1" max="1" width="24.88671875" customWidth="1"/>
    <col min="2" max="2" width="21.33203125" customWidth="1"/>
    <col min="3" max="3" width="18.109375" customWidth="1"/>
    <col min="4" max="4" width="8.88671875" style="12"/>
    <col min="5" max="5" width="13.44140625" style="12" customWidth="1"/>
    <col min="6" max="8" width="9.109375" style="12"/>
    <col min="9" max="9" width="11.109375" customWidth="1"/>
    <col min="10" max="10" width="9.109375" style="12"/>
    <col min="11" max="12" width="8.88671875"/>
    <col min="13" max="14" width="14.33203125" customWidth="1"/>
    <col min="15" max="15" width="16.6640625" customWidth="1"/>
    <col min="16" max="18" width="10.88671875" customWidth="1"/>
    <col min="19" max="19" width="11.33203125" customWidth="1"/>
    <col min="21" max="23" width="8.88671875"/>
    <col min="24" max="24" width="12.33203125" customWidth="1"/>
    <col min="25" max="25" width="9.6640625" customWidth="1"/>
    <col min="26" max="26" width="2.44140625" customWidth="1"/>
    <col min="27" max="27" width="6.44140625" customWidth="1"/>
    <col min="28" max="28" width="7.5546875" customWidth="1"/>
    <col min="29" max="29" width="7" customWidth="1"/>
    <col min="30" max="30" width="2.33203125" customWidth="1"/>
  </cols>
  <sheetData>
    <row r="1" spans="1:33" ht="18">
      <c r="A1" s="3" t="s">
        <v>1</v>
      </c>
      <c r="B1" s="1"/>
      <c r="C1" s="1"/>
      <c r="D1" s="41"/>
      <c r="E1" s="41"/>
      <c r="F1" s="41"/>
      <c r="G1" s="41"/>
      <c r="H1" s="41"/>
      <c r="I1" s="1"/>
      <c r="J1" s="10"/>
      <c r="K1" s="2"/>
      <c r="L1" s="2"/>
      <c r="M1" s="2"/>
      <c r="N1" s="2"/>
      <c r="O1" s="2"/>
      <c r="P1" s="2"/>
      <c r="Q1" s="2"/>
      <c r="R1" s="2"/>
      <c r="S1" s="2"/>
      <c r="T1" s="2"/>
      <c r="U1" s="2"/>
      <c r="V1" s="2"/>
      <c r="W1" s="2"/>
      <c r="X1" s="2"/>
      <c r="Y1" s="2"/>
    </row>
    <row r="2" spans="1:33">
      <c r="A2" s="1" t="s">
        <v>0</v>
      </c>
      <c r="B2" s="1"/>
      <c r="C2" s="1"/>
      <c r="D2" s="41"/>
      <c r="E2" s="41"/>
      <c r="F2" s="41"/>
      <c r="G2" s="41"/>
      <c r="H2" s="41"/>
      <c r="I2" s="1"/>
      <c r="J2" s="10"/>
      <c r="K2" s="2"/>
      <c r="L2" s="2"/>
      <c r="M2" s="2"/>
      <c r="N2" s="2"/>
      <c r="O2" s="2"/>
      <c r="P2" s="2"/>
      <c r="Q2" s="2"/>
      <c r="R2" s="2"/>
      <c r="S2" s="2"/>
      <c r="T2" s="2"/>
      <c r="U2" s="2"/>
      <c r="V2" s="2"/>
      <c r="W2" s="2"/>
      <c r="X2" s="2"/>
      <c r="Y2" s="2"/>
    </row>
    <row r="3" spans="1:33">
      <c r="A3" s="65"/>
      <c r="B3" s="65"/>
      <c r="C3" s="65"/>
      <c r="D3" s="66" t="s">
        <v>6</v>
      </c>
      <c r="E3" s="116"/>
      <c r="F3" s="116"/>
      <c r="G3" s="116"/>
      <c r="H3" s="65"/>
      <c r="I3" s="65"/>
      <c r="J3" s="65"/>
      <c r="K3" s="65"/>
      <c r="L3" s="65"/>
      <c r="M3" s="65"/>
      <c r="N3" s="65"/>
      <c r="O3" s="65"/>
      <c r="P3" s="67" t="s">
        <v>12</v>
      </c>
      <c r="Q3" s="68"/>
      <c r="R3" s="68"/>
      <c r="S3" s="68"/>
      <c r="T3" s="68"/>
      <c r="U3" s="68"/>
      <c r="V3" s="68"/>
      <c r="W3" s="65"/>
      <c r="X3" s="65"/>
      <c r="Y3" s="65"/>
    </row>
    <row r="4" spans="1:33" s="8" customFormat="1">
      <c r="A4" s="64"/>
      <c r="B4" s="65"/>
      <c r="C4" s="65"/>
      <c r="D4" s="66" t="s">
        <v>4</v>
      </c>
      <c r="E4" s="116" t="s">
        <v>4</v>
      </c>
      <c r="F4" s="116" t="s">
        <v>178</v>
      </c>
      <c r="G4" s="116"/>
      <c r="H4" s="116" t="s">
        <v>5</v>
      </c>
      <c r="I4" s="67"/>
      <c r="J4" s="66" t="s">
        <v>9</v>
      </c>
      <c r="K4" s="68"/>
      <c r="L4" s="69"/>
      <c r="M4" s="70" t="s">
        <v>74</v>
      </c>
      <c r="N4" s="67"/>
      <c r="O4" s="69"/>
      <c r="P4" s="30" t="s">
        <v>116</v>
      </c>
      <c r="Q4" s="30" t="s">
        <v>116</v>
      </c>
      <c r="R4" s="30" t="s">
        <v>116</v>
      </c>
      <c r="S4" s="65" t="s">
        <v>131</v>
      </c>
      <c r="T4" s="65"/>
      <c r="U4" s="65"/>
      <c r="V4" s="65"/>
      <c r="W4" s="71" t="s">
        <v>37</v>
      </c>
      <c r="X4" s="65"/>
      <c r="Y4" s="65"/>
      <c r="AA4" s="8" t="s">
        <v>117</v>
      </c>
      <c r="AE4" s="8" t="s">
        <v>126</v>
      </c>
    </row>
    <row r="5" spans="1:33" s="98" customFormat="1">
      <c r="A5" s="5" t="s">
        <v>3</v>
      </c>
      <c r="B5" s="4" t="s">
        <v>2</v>
      </c>
      <c r="C5" s="4" t="s">
        <v>7</v>
      </c>
      <c r="D5" s="42" t="s">
        <v>288</v>
      </c>
      <c r="E5" s="174" t="s">
        <v>254</v>
      </c>
      <c r="F5" s="126" t="s">
        <v>179</v>
      </c>
      <c r="G5" s="126" t="s">
        <v>170</v>
      </c>
      <c r="H5" s="126" t="s">
        <v>159</v>
      </c>
      <c r="I5" s="4" t="s">
        <v>131</v>
      </c>
      <c r="J5" s="11" t="s">
        <v>13</v>
      </c>
      <c r="K5" s="4" t="s">
        <v>10</v>
      </c>
      <c r="L5" s="32" t="s">
        <v>11</v>
      </c>
      <c r="M5" s="31" t="s">
        <v>186</v>
      </c>
      <c r="N5" s="31" t="s">
        <v>187</v>
      </c>
      <c r="O5" s="31" t="s">
        <v>41</v>
      </c>
      <c r="P5" s="7" t="s">
        <v>41</v>
      </c>
      <c r="Q5" s="7" t="s">
        <v>115</v>
      </c>
      <c r="R5" s="7" t="s">
        <v>114</v>
      </c>
      <c r="S5" s="7" t="s">
        <v>132</v>
      </c>
      <c r="T5" s="7" t="s">
        <v>133</v>
      </c>
      <c r="U5" s="7" t="s">
        <v>14</v>
      </c>
      <c r="V5" s="7" t="s">
        <v>15</v>
      </c>
      <c r="W5" s="6" t="s">
        <v>38</v>
      </c>
      <c r="X5" s="7" t="s">
        <v>39</v>
      </c>
      <c r="Y5" s="7" t="s">
        <v>40</v>
      </c>
      <c r="AA5" s="99" t="s">
        <v>38</v>
      </c>
      <c r="AB5" s="99" t="s">
        <v>39</v>
      </c>
      <c r="AC5" s="99" t="s">
        <v>40</v>
      </c>
      <c r="AE5" s="99" t="s">
        <v>38</v>
      </c>
      <c r="AF5" s="99" t="s">
        <v>39</v>
      </c>
      <c r="AG5" s="99" t="s">
        <v>40</v>
      </c>
    </row>
    <row r="6" spans="1:33">
      <c r="A6" t="s">
        <v>16</v>
      </c>
      <c r="B6" t="s">
        <v>17</v>
      </c>
      <c r="C6" t="s">
        <v>8</v>
      </c>
      <c r="D6" s="40">
        <v>200</v>
      </c>
      <c r="E6" s="40"/>
      <c r="F6" s="40"/>
      <c r="G6" s="40"/>
      <c r="H6">
        <v>1100</v>
      </c>
      <c r="I6" s="62" t="s">
        <v>135</v>
      </c>
      <c r="J6" s="12">
        <v>500</v>
      </c>
      <c r="K6">
        <v>300</v>
      </c>
      <c r="L6" s="12">
        <v>1100</v>
      </c>
      <c r="M6" t="s">
        <v>75</v>
      </c>
      <c r="N6" s="9" t="s">
        <v>78</v>
      </c>
      <c r="O6" s="24" t="s">
        <v>69</v>
      </c>
      <c r="P6" s="24" t="s">
        <v>69</v>
      </c>
      <c r="Q6" s="24"/>
      <c r="R6" s="24"/>
      <c r="S6" s="9" t="s">
        <v>134</v>
      </c>
      <c r="U6">
        <v>800</v>
      </c>
      <c r="W6" s="12">
        <v>500</v>
      </c>
      <c r="X6" s="40" t="s">
        <v>122</v>
      </c>
      <c r="Y6" s="12"/>
      <c r="AA6" s="101">
        <v>500</v>
      </c>
      <c r="AB6" s="100">
        <v>750</v>
      </c>
      <c r="AC6" s="100">
        <v>1100</v>
      </c>
    </row>
    <row r="7" spans="1:33">
      <c r="B7" t="s">
        <v>18</v>
      </c>
      <c r="C7" t="s">
        <v>8</v>
      </c>
      <c r="D7" s="40">
        <v>1500</v>
      </c>
      <c r="E7" s="40">
        <v>1233</v>
      </c>
      <c r="F7" s="40"/>
      <c r="G7" s="40"/>
      <c r="H7" s="118">
        <v>3500</v>
      </c>
      <c r="I7">
        <v>3044</v>
      </c>
      <c r="J7" s="12">
        <v>1000</v>
      </c>
      <c r="K7">
        <v>2041</v>
      </c>
      <c r="L7">
        <v>2286</v>
      </c>
      <c r="M7" s="9" t="s">
        <v>76</v>
      </c>
      <c r="N7" s="9" t="s">
        <v>188</v>
      </c>
      <c r="O7" s="9" t="s">
        <v>13</v>
      </c>
      <c r="P7" s="12">
        <v>1000</v>
      </c>
      <c r="Q7" s="12"/>
      <c r="R7" s="12"/>
      <c r="S7" s="24" t="s">
        <v>69</v>
      </c>
      <c r="U7">
        <v>2500</v>
      </c>
      <c r="W7" s="12">
        <v>1000</v>
      </c>
      <c r="X7" s="12">
        <v>2500</v>
      </c>
      <c r="Y7" s="12"/>
      <c r="AA7" s="12">
        <f>P7</f>
        <v>1000</v>
      </c>
      <c r="AB7" s="100">
        <f>AA7*2</f>
        <v>2000</v>
      </c>
      <c r="AC7" s="100">
        <f>AA7*3</f>
        <v>3000</v>
      </c>
    </row>
    <row r="8" spans="1:33">
      <c r="B8" t="s">
        <v>42</v>
      </c>
      <c r="C8" t="s">
        <v>8</v>
      </c>
      <c r="D8" s="12">
        <v>356</v>
      </c>
      <c r="H8"/>
      <c r="I8" s="9" t="s">
        <v>136</v>
      </c>
      <c r="J8" s="12">
        <v>500</v>
      </c>
      <c r="M8" s="9" t="s">
        <v>13</v>
      </c>
      <c r="N8" s="9" t="s">
        <v>80</v>
      </c>
      <c r="O8" s="9" t="s">
        <v>13</v>
      </c>
      <c r="P8" s="12">
        <v>500</v>
      </c>
      <c r="Q8" s="12"/>
      <c r="R8" s="12"/>
      <c r="S8" s="40" t="s">
        <v>125</v>
      </c>
      <c r="W8" s="12">
        <v>500</v>
      </c>
      <c r="X8" s="40" t="s">
        <v>125</v>
      </c>
      <c r="Y8" s="12"/>
      <c r="AA8" s="12">
        <f>P8</f>
        <v>500</v>
      </c>
      <c r="AB8" s="100">
        <f>AA8*2</f>
        <v>1000</v>
      </c>
      <c r="AC8" s="100">
        <f>AA8*3</f>
        <v>1500</v>
      </c>
    </row>
    <row r="9" spans="1:33">
      <c r="B9" t="s">
        <v>43</v>
      </c>
      <c r="C9" t="s">
        <v>8</v>
      </c>
      <c r="D9" s="12">
        <v>1729</v>
      </c>
      <c r="E9">
        <v>144</v>
      </c>
      <c r="H9">
        <v>14672</v>
      </c>
      <c r="J9" s="12">
        <v>1000</v>
      </c>
      <c r="K9" s="355">
        <v>6575</v>
      </c>
      <c r="L9">
        <v>3415</v>
      </c>
      <c r="M9" s="9" t="s">
        <v>13</v>
      </c>
      <c r="N9" s="9" t="s">
        <v>13</v>
      </c>
      <c r="O9" s="9" t="s">
        <v>13</v>
      </c>
      <c r="P9" s="12">
        <v>1000</v>
      </c>
      <c r="Q9" s="12"/>
      <c r="R9" s="12"/>
      <c r="S9" s="40" t="s">
        <v>123</v>
      </c>
      <c r="W9" s="12">
        <v>1000</v>
      </c>
      <c r="X9" s="40" t="s">
        <v>123</v>
      </c>
      <c r="Y9" s="12"/>
      <c r="AA9" s="12">
        <f>P9</f>
        <v>1000</v>
      </c>
      <c r="AB9" s="12">
        <f>AA9*2</f>
        <v>2000</v>
      </c>
      <c r="AC9" s="12">
        <f>ROUND(L9,-2)</f>
        <v>3400</v>
      </c>
    </row>
    <row r="10" spans="1:33">
      <c r="B10" t="s">
        <v>44</v>
      </c>
      <c r="C10" t="s">
        <v>8</v>
      </c>
      <c r="D10" s="12">
        <v>591</v>
      </c>
      <c r="E10">
        <v>2369</v>
      </c>
      <c r="H10">
        <v>6949</v>
      </c>
      <c r="J10" s="12">
        <v>1500</v>
      </c>
      <c r="K10" s="355"/>
      <c r="L10">
        <v>2770</v>
      </c>
      <c r="M10" s="9" t="s">
        <v>77</v>
      </c>
      <c r="N10" s="9" t="s">
        <v>77</v>
      </c>
      <c r="O10" s="9" t="s">
        <v>13</v>
      </c>
      <c r="P10" s="12">
        <v>1500</v>
      </c>
      <c r="Q10" s="12"/>
      <c r="R10" s="12"/>
      <c r="S10" s="40" t="s">
        <v>124</v>
      </c>
      <c r="W10" s="12">
        <v>1500</v>
      </c>
      <c r="X10" s="40" t="s">
        <v>124</v>
      </c>
      <c r="Y10" s="12"/>
      <c r="AA10" s="12">
        <f>P10</f>
        <v>1500</v>
      </c>
      <c r="AB10" s="12">
        <f>AA10*2</f>
        <v>3000</v>
      </c>
      <c r="AC10" s="12">
        <f t="shared" ref="AC10:AC11" si="0">ROUND(L10,-2)</f>
        <v>2800</v>
      </c>
    </row>
    <row r="11" spans="1:33">
      <c r="B11" t="s">
        <v>20</v>
      </c>
      <c r="C11" t="s">
        <v>8</v>
      </c>
      <c r="D11" s="40">
        <v>0</v>
      </c>
      <c r="E11">
        <v>1359</v>
      </c>
      <c r="F11" s="40"/>
      <c r="G11" s="40"/>
      <c r="H11">
        <v>14763</v>
      </c>
      <c r="J11" s="12">
        <v>2250</v>
      </c>
      <c r="L11">
        <v>4897</v>
      </c>
      <c r="M11" s="9" t="s">
        <v>78</v>
      </c>
      <c r="N11" s="9" t="s">
        <v>78</v>
      </c>
      <c r="O11" s="24" t="s">
        <v>69</v>
      </c>
      <c r="P11" s="24" t="s">
        <v>69</v>
      </c>
      <c r="Q11" s="24"/>
      <c r="R11" s="24"/>
      <c r="S11" s="24" t="s">
        <v>69</v>
      </c>
      <c r="W11" s="12">
        <v>2250</v>
      </c>
      <c r="X11" s="12"/>
      <c r="Y11" s="12"/>
      <c r="AA11" s="12">
        <f>J11</f>
        <v>2250</v>
      </c>
      <c r="AB11" s="12">
        <f>AA11*2</f>
        <v>4500</v>
      </c>
      <c r="AC11" s="12">
        <f t="shared" si="0"/>
        <v>4900</v>
      </c>
    </row>
    <row r="12" spans="1:33">
      <c r="B12" t="s">
        <v>19</v>
      </c>
      <c r="C12" t="s">
        <v>8</v>
      </c>
      <c r="D12" s="40">
        <v>455</v>
      </c>
      <c r="E12" s="40"/>
      <c r="F12" s="40"/>
      <c r="G12" s="40"/>
      <c r="H12">
        <v>600</v>
      </c>
      <c r="J12" s="12">
        <v>500</v>
      </c>
      <c r="K12">
        <v>300</v>
      </c>
      <c r="L12">
        <v>600</v>
      </c>
      <c r="M12" s="9" t="s">
        <v>77</v>
      </c>
      <c r="N12" s="9" t="s">
        <v>77</v>
      </c>
      <c r="O12" s="9" t="s">
        <v>80</v>
      </c>
      <c r="P12" s="62">
        <v>500</v>
      </c>
      <c r="Q12" s="39"/>
      <c r="R12" s="39"/>
      <c r="S12" s="24" t="s">
        <v>69</v>
      </c>
      <c r="U12" t="s">
        <v>160</v>
      </c>
      <c r="W12" s="12">
        <v>500</v>
      </c>
      <c r="X12" s="12">
        <v>800</v>
      </c>
      <c r="Y12" s="12"/>
      <c r="AA12">
        <f t="shared" ref="AA12:AA17" si="1">P12</f>
        <v>500</v>
      </c>
      <c r="AB12" s="100">
        <v>550</v>
      </c>
      <c r="AC12" s="100">
        <v>600</v>
      </c>
    </row>
    <row r="13" spans="1:33">
      <c r="A13" t="s">
        <v>21</v>
      </c>
      <c r="B13" t="s">
        <v>45</v>
      </c>
      <c r="C13" t="s">
        <v>8</v>
      </c>
      <c r="D13" s="12">
        <v>1586</v>
      </c>
      <c r="E13" s="12">
        <v>1292</v>
      </c>
      <c r="H13" s="12">
        <v>10108</v>
      </c>
      <c r="J13" s="12">
        <v>2250</v>
      </c>
      <c r="M13" s="9" t="s">
        <v>76</v>
      </c>
      <c r="N13" s="9" t="s">
        <v>80</v>
      </c>
      <c r="O13" s="9" t="s">
        <v>13</v>
      </c>
      <c r="P13" s="12">
        <v>2250</v>
      </c>
      <c r="Q13" s="12"/>
      <c r="R13" s="12"/>
      <c r="W13" s="12">
        <v>2250</v>
      </c>
      <c r="X13" s="12"/>
      <c r="Y13" s="12"/>
      <c r="AA13" s="12">
        <f t="shared" si="1"/>
        <v>2250</v>
      </c>
      <c r="AB13" s="100">
        <f>AA13*2</f>
        <v>4500</v>
      </c>
      <c r="AC13" s="100">
        <f>AA13*3</f>
        <v>6750</v>
      </c>
    </row>
    <row r="14" spans="1:33">
      <c r="B14" t="s">
        <v>24</v>
      </c>
      <c r="C14" t="s">
        <v>8</v>
      </c>
      <c r="D14" s="12">
        <v>2046</v>
      </c>
      <c r="E14" s="12">
        <v>4870</v>
      </c>
      <c r="H14" s="12">
        <v>14698</v>
      </c>
      <c r="J14" s="12">
        <v>1500</v>
      </c>
      <c r="M14" s="9" t="s">
        <v>79</v>
      </c>
      <c r="N14" s="9" t="s">
        <v>190</v>
      </c>
      <c r="O14" s="9" t="s">
        <v>79</v>
      </c>
      <c r="P14" s="12">
        <v>1500</v>
      </c>
      <c r="Q14" s="12"/>
      <c r="R14" s="12"/>
      <c r="W14" s="12">
        <v>1500</v>
      </c>
      <c r="X14" s="12"/>
      <c r="Y14" s="12"/>
      <c r="AA14" s="12">
        <f t="shared" si="1"/>
        <v>1500</v>
      </c>
      <c r="AB14" s="100">
        <f>AA14*2</f>
        <v>3000</v>
      </c>
      <c r="AC14" s="100">
        <f>AA14*3</f>
        <v>4500</v>
      </c>
    </row>
    <row r="15" spans="1:33">
      <c r="B15" t="s">
        <v>23</v>
      </c>
      <c r="C15" t="s">
        <v>8</v>
      </c>
      <c r="D15" s="12">
        <v>1736</v>
      </c>
      <c r="E15" s="12">
        <v>1448</v>
      </c>
      <c r="H15" s="12">
        <v>5930</v>
      </c>
      <c r="J15" s="12">
        <v>1000</v>
      </c>
      <c r="M15" s="9" t="s">
        <v>76</v>
      </c>
      <c r="N15" s="9" t="s">
        <v>13</v>
      </c>
      <c r="O15" s="9" t="s">
        <v>13</v>
      </c>
      <c r="P15" s="12">
        <v>1000</v>
      </c>
      <c r="Q15" s="12"/>
      <c r="R15" s="12"/>
      <c r="V15" t="s">
        <v>207</v>
      </c>
      <c r="W15" s="12">
        <v>1000</v>
      </c>
      <c r="X15" s="12"/>
      <c r="Y15" s="12"/>
      <c r="AA15" s="12">
        <f t="shared" si="1"/>
        <v>1000</v>
      </c>
      <c r="AB15" s="12">
        <v>2100</v>
      </c>
      <c r="AC15" s="12">
        <v>3900</v>
      </c>
    </row>
    <row r="16" spans="1:33">
      <c r="B16" t="s">
        <v>25</v>
      </c>
      <c r="C16" t="s">
        <v>8</v>
      </c>
      <c r="D16" s="12">
        <v>819</v>
      </c>
      <c r="E16" s="12">
        <v>1221</v>
      </c>
      <c r="H16" s="12">
        <v>2941</v>
      </c>
      <c r="J16" s="12">
        <v>500</v>
      </c>
      <c r="M16" s="9" t="s">
        <v>76</v>
      </c>
      <c r="N16" s="9" t="s">
        <v>13</v>
      </c>
      <c r="O16" s="9" t="s">
        <v>80</v>
      </c>
      <c r="P16" s="62">
        <v>500</v>
      </c>
      <c r="Q16" s="39"/>
      <c r="R16" s="39"/>
      <c r="W16" s="12">
        <v>500</v>
      </c>
      <c r="X16" s="12"/>
      <c r="Y16" s="12"/>
      <c r="AA16" s="12">
        <f t="shared" si="1"/>
        <v>500</v>
      </c>
      <c r="AB16" s="100">
        <f>AA16*2</f>
        <v>1000</v>
      </c>
      <c r="AC16" s="100">
        <f>AA16*3</f>
        <v>1500</v>
      </c>
    </row>
    <row r="17" spans="1:33">
      <c r="B17" t="s">
        <v>22</v>
      </c>
      <c r="C17" t="s">
        <v>8</v>
      </c>
      <c r="D17" s="12">
        <v>714</v>
      </c>
      <c r="E17" s="12">
        <v>1737</v>
      </c>
      <c r="H17" s="12">
        <v>5912</v>
      </c>
      <c r="J17" s="12">
        <v>1000</v>
      </c>
      <c r="M17" s="9" t="s">
        <v>76</v>
      </c>
      <c r="N17" s="9" t="s">
        <v>80</v>
      </c>
      <c r="O17" s="9" t="s">
        <v>13</v>
      </c>
      <c r="P17" s="12">
        <v>1000</v>
      </c>
      <c r="Q17" s="12"/>
      <c r="R17" s="12"/>
      <c r="W17" s="12">
        <v>1000</v>
      </c>
      <c r="X17" s="12"/>
      <c r="Y17" s="12"/>
      <c r="AA17" s="12">
        <f t="shared" si="1"/>
        <v>1000</v>
      </c>
      <c r="AB17" s="100">
        <f>AA17*2</f>
        <v>2000</v>
      </c>
      <c r="AC17" s="100">
        <f>AA17*3</f>
        <v>3000</v>
      </c>
    </row>
    <row r="18" spans="1:33">
      <c r="B18" t="s">
        <v>68</v>
      </c>
      <c r="C18" t="s">
        <v>8</v>
      </c>
      <c r="M18" s="9"/>
      <c r="N18" s="9"/>
      <c r="O18" s="9"/>
      <c r="P18" s="12"/>
      <c r="Q18" s="12"/>
      <c r="R18" s="12"/>
      <c r="W18" s="12"/>
      <c r="X18" s="12"/>
      <c r="Y18" s="12"/>
    </row>
    <row r="19" spans="1:33">
      <c r="A19" t="s">
        <v>26</v>
      </c>
      <c r="B19" t="s">
        <v>27</v>
      </c>
      <c r="C19" t="s">
        <v>8</v>
      </c>
      <c r="D19" s="40">
        <v>0</v>
      </c>
      <c r="E19" s="40"/>
      <c r="F19" s="40"/>
      <c r="G19" s="40"/>
      <c r="H19" s="40"/>
      <c r="J19" s="12">
        <v>1000</v>
      </c>
      <c r="M19" s="9" t="s">
        <v>78</v>
      </c>
      <c r="N19" s="9"/>
      <c r="O19" s="24" t="s">
        <v>69</v>
      </c>
      <c r="P19" s="24" t="s">
        <v>69</v>
      </c>
      <c r="Q19" s="24"/>
      <c r="R19" s="24"/>
      <c r="W19" s="12">
        <v>1000</v>
      </c>
      <c r="X19" s="12"/>
      <c r="Y19" s="12"/>
      <c r="AA19">
        <v>1000</v>
      </c>
      <c r="AB19" s="100">
        <f>AA19*2</f>
        <v>2000</v>
      </c>
      <c r="AC19" s="100">
        <f>AA19*3</f>
        <v>3000</v>
      </c>
    </row>
    <row r="20" spans="1:33">
      <c r="B20" t="s">
        <v>28</v>
      </c>
      <c r="C20" t="s">
        <v>8</v>
      </c>
      <c r="D20" s="40">
        <v>2444</v>
      </c>
      <c r="E20" s="40">
        <v>2650</v>
      </c>
      <c r="F20" s="40"/>
      <c r="G20" s="40"/>
      <c r="H20" s="40"/>
      <c r="J20" s="12">
        <v>1500</v>
      </c>
      <c r="L20">
        <v>3610</v>
      </c>
      <c r="M20" s="9" t="s">
        <v>76</v>
      </c>
      <c r="N20" s="9" t="s">
        <v>80</v>
      </c>
      <c r="O20" s="9" t="s">
        <v>81</v>
      </c>
      <c r="P20" s="12">
        <v>1500</v>
      </c>
      <c r="Q20" s="12"/>
      <c r="R20" s="12"/>
      <c r="S20">
        <v>4000</v>
      </c>
      <c r="U20">
        <v>7000</v>
      </c>
      <c r="W20" s="12">
        <v>1500</v>
      </c>
      <c r="X20" s="40" t="s">
        <v>127</v>
      </c>
      <c r="Y20" s="40"/>
      <c r="AA20" s="12">
        <f>P20</f>
        <v>1500</v>
      </c>
      <c r="AB20">
        <f>S20</f>
        <v>4000</v>
      </c>
      <c r="AC20">
        <f>U20</f>
        <v>7000</v>
      </c>
    </row>
    <row r="21" spans="1:33">
      <c r="B21" t="s">
        <v>29</v>
      </c>
      <c r="C21" t="s">
        <v>8</v>
      </c>
      <c r="D21" s="40">
        <v>916</v>
      </c>
      <c r="E21" s="356">
        <f>41+1066</f>
        <v>1107</v>
      </c>
      <c r="F21" s="40"/>
      <c r="G21" s="40"/>
      <c r="H21" s="356">
        <f>4034+12417</f>
        <v>16451</v>
      </c>
      <c r="J21" s="12">
        <v>1000</v>
      </c>
      <c r="L21" s="357">
        <f>976+3183</f>
        <v>4159</v>
      </c>
      <c r="M21" s="9" t="s">
        <v>76</v>
      </c>
      <c r="N21" s="9" t="s">
        <v>80</v>
      </c>
      <c r="O21" s="9" t="s">
        <v>13</v>
      </c>
      <c r="P21" s="12">
        <v>1000</v>
      </c>
      <c r="Q21" s="12"/>
      <c r="R21" s="40" t="s">
        <v>129</v>
      </c>
      <c r="W21" s="12">
        <v>1000</v>
      </c>
      <c r="X21" s="40" t="s">
        <v>129</v>
      </c>
      <c r="Y21" s="97" t="s">
        <v>128</v>
      </c>
      <c r="AA21" s="12">
        <f>P21</f>
        <v>1000</v>
      </c>
      <c r="AB21" s="100">
        <f>AA21*2</f>
        <v>2000</v>
      </c>
      <c r="AC21" s="12">
        <v>3400</v>
      </c>
    </row>
    <row r="22" spans="1:33">
      <c r="B22" t="s">
        <v>30</v>
      </c>
      <c r="C22" t="s">
        <v>8</v>
      </c>
      <c r="D22" s="40">
        <v>200</v>
      </c>
      <c r="E22" s="357"/>
      <c r="F22" s="40"/>
      <c r="G22" s="40"/>
      <c r="H22" s="357"/>
      <c r="J22" s="12">
        <v>1000</v>
      </c>
      <c r="L22" s="357"/>
      <c r="M22" s="9" t="s">
        <v>77</v>
      </c>
      <c r="N22" s="9" t="s">
        <v>77</v>
      </c>
      <c r="O22" s="9" t="s">
        <v>13</v>
      </c>
      <c r="P22" s="12">
        <v>1000</v>
      </c>
      <c r="Q22" s="12"/>
      <c r="R22" s="40" t="s">
        <v>130</v>
      </c>
      <c r="W22" s="40" t="s">
        <v>88</v>
      </c>
      <c r="X22" s="40" t="s">
        <v>130</v>
      </c>
      <c r="Y22" s="12"/>
      <c r="AA22" s="12">
        <f>P22</f>
        <v>1000</v>
      </c>
      <c r="AB22" s="100">
        <f>AA22*2</f>
        <v>2000</v>
      </c>
      <c r="AC22" s="12">
        <v>2200</v>
      </c>
    </row>
    <row r="23" spans="1:33">
      <c r="B23" t="s">
        <v>68</v>
      </c>
      <c r="C23" t="s">
        <v>8</v>
      </c>
      <c r="D23" s="40"/>
      <c r="E23" s="40"/>
      <c r="F23" s="40"/>
      <c r="G23" s="40"/>
      <c r="H23" s="40"/>
      <c r="M23" s="9"/>
      <c r="N23" s="9"/>
      <c r="O23" s="9"/>
      <c r="P23" s="12"/>
      <c r="Q23" s="12"/>
      <c r="R23" s="12"/>
      <c r="W23" s="12"/>
      <c r="X23" s="12"/>
      <c r="Y23" s="12"/>
    </row>
    <row r="24" spans="1:33">
      <c r="A24" t="s">
        <v>31</v>
      </c>
      <c r="B24" t="s">
        <v>32</v>
      </c>
      <c r="C24" t="s">
        <v>8</v>
      </c>
      <c r="D24" s="12">
        <v>1131</v>
      </c>
      <c r="E24">
        <v>926</v>
      </c>
      <c r="H24" s="12">
        <v>3984</v>
      </c>
      <c r="I24">
        <v>5761</v>
      </c>
      <c r="J24" s="12">
        <v>1000</v>
      </c>
      <c r="K24" s="12">
        <v>1262</v>
      </c>
      <c r="L24" s="12">
        <v>2552</v>
      </c>
      <c r="M24" s="9" t="s">
        <v>76</v>
      </c>
      <c r="N24" s="9" t="s">
        <v>13</v>
      </c>
      <c r="O24" s="9" t="s">
        <v>13</v>
      </c>
      <c r="P24" s="12">
        <v>1000</v>
      </c>
      <c r="Q24" s="12">
        <v>1000</v>
      </c>
      <c r="R24" s="12">
        <v>2000</v>
      </c>
      <c r="W24" s="12">
        <v>1000</v>
      </c>
      <c r="X24" s="12">
        <v>500</v>
      </c>
      <c r="Y24" s="12">
        <v>2000</v>
      </c>
      <c r="AA24" s="12">
        <f>P24</f>
        <v>1000</v>
      </c>
      <c r="AB24" s="12">
        <f>((R24-P24)/2)+P24</f>
        <v>1500</v>
      </c>
      <c r="AC24" s="12">
        <f>R24</f>
        <v>2000</v>
      </c>
      <c r="AE24" s="95">
        <f>AA24/$J24</f>
        <v>1</v>
      </c>
      <c r="AF24" s="95">
        <f t="shared" ref="AF24:AG24" si="2">AB24/$J24</f>
        <v>1.5</v>
      </c>
      <c r="AG24" s="95">
        <f t="shared" si="2"/>
        <v>2</v>
      </c>
    </row>
    <row r="25" spans="1:33">
      <c r="B25" t="s">
        <v>33</v>
      </c>
      <c r="C25" t="s">
        <v>8</v>
      </c>
      <c r="D25" s="12">
        <v>519</v>
      </c>
      <c r="E25">
        <v>497</v>
      </c>
      <c r="H25" s="12">
        <v>3442</v>
      </c>
      <c r="I25" s="12">
        <v>4639</v>
      </c>
      <c r="J25" s="12">
        <v>500</v>
      </c>
      <c r="K25" s="12">
        <v>1932</v>
      </c>
      <c r="L25" s="12">
        <v>1727</v>
      </c>
      <c r="M25" s="9" t="s">
        <v>76</v>
      </c>
      <c r="N25" s="9" t="s">
        <v>13</v>
      </c>
      <c r="O25" s="9" t="s">
        <v>80</v>
      </c>
      <c r="P25" s="12">
        <v>250</v>
      </c>
      <c r="Q25" s="12">
        <v>500</v>
      </c>
      <c r="R25" s="12">
        <v>1500</v>
      </c>
      <c r="W25" s="40" t="s">
        <v>111</v>
      </c>
      <c r="X25" s="12">
        <v>2000</v>
      </c>
      <c r="Y25" s="12">
        <v>1500</v>
      </c>
      <c r="AA25" s="12">
        <f t="shared" ref="AA25:AC27" si="3">P25</f>
        <v>250</v>
      </c>
      <c r="AB25" s="12">
        <f>Q25</f>
        <v>500</v>
      </c>
      <c r="AC25" s="12">
        <f t="shared" si="3"/>
        <v>1500</v>
      </c>
      <c r="AE25" s="95">
        <f t="shared" ref="AE25:AG25" si="4">AA25/$J25</f>
        <v>0.5</v>
      </c>
      <c r="AF25" s="95">
        <f t="shared" si="4"/>
        <v>1</v>
      </c>
      <c r="AG25" s="95">
        <f t="shared" si="4"/>
        <v>3</v>
      </c>
    </row>
    <row r="26" spans="1:33">
      <c r="B26" t="s">
        <v>34</v>
      </c>
      <c r="C26" t="s">
        <v>8</v>
      </c>
      <c r="D26" s="12">
        <v>1209</v>
      </c>
      <c r="E26">
        <v>849</v>
      </c>
      <c r="H26" s="12">
        <v>8364</v>
      </c>
      <c r="I26">
        <v>14542</v>
      </c>
      <c r="J26" s="12">
        <v>1500</v>
      </c>
      <c r="K26" s="12">
        <v>1989</v>
      </c>
      <c r="L26" s="12">
        <v>3169</v>
      </c>
      <c r="M26" s="9" t="s">
        <v>77</v>
      </c>
      <c r="N26" s="9" t="s">
        <v>189</v>
      </c>
      <c r="O26" s="9" t="s">
        <v>13</v>
      </c>
      <c r="P26" s="12">
        <v>1500</v>
      </c>
      <c r="Q26" s="12">
        <v>1500</v>
      </c>
      <c r="R26" s="12">
        <v>5400</v>
      </c>
      <c r="W26" s="40">
        <v>1500</v>
      </c>
      <c r="X26" s="63"/>
      <c r="Y26" s="12">
        <v>5400</v>
      </c>
      <c r="AA26" s="12">
        <f t="shared" si="3"/>
        <v>1500</v>
      </c>
      <c r="AB26" s="12">
        <f>((R26-P26)/2)+P26</f>
        <v>3450</v>
      </c>
      <c r="AC26" s="12">
        <f t="shared" si="3"/>
        <v>5400</v>
      </c>
      <c r="AE26" s="95">
        <f t="shared" ref="AE26:AG26" si="5">AA26/$J26</f>
        <v>1</v>
      </c>
      <c r="AF26" s="95">
        <f t="shared" si="5"/>
        <v>2.2999999999999998</v>
      </c>
      <c r="AG26" s="95">
        <f t="shared" si="5"/>
        <v>3.6</v>
      </c>
    </row>
    <row r="27" spans="1:33">
      <c r="B27" t="s">
        <v>22</v>
      </c>
      <c r="C27" t="s">
        <v>8</v>
      </c>
      <c r="D27" s="12">
        <v>246</v>
      </c>
      <c r="E27">
        <v>1047</v>
      </c>
      <c r="H27" s="12">
        <v>10436</v>
      </c>
      <c r="I27" s="12">
        <v>21152</v>
      </c>
      <c r="J27" s="12">
        <v>1500</v>
      </c>
      <c r="K27" s="12">
        <v>2129</v>
      </c>
      <c r="L27" s="12">
        <v>4296</v>
      </c>
      <c r="M27" s="9" t="s">
        <v>77</v>
      </c>
      <c r="N27" s="9" t="s">
        <v>77</v>
      </c>
      <c r="O27" s="9" t="s">
        <v>80</v>
      </c>
      <c r="P27" s="12">
        <v>500</v>
      </c>
      <c r="Q27" s="12">
        <v>1500</v>
      </c>
      <c r="R27" s="12">
        <v>7700</v>
      </c>
      <c r="W27" s="40" t="s">
        <v>112</v>
      </c>
      <c r="X27" s="12"/>
      <c r="Y27" s="12">
        <v>7700</v>
      </c>
      <c r="AA27" s="12">
        <f t="shared" si="3"/>
        <v>500</v>
      </c>
      <c r="AB27" s="12">
        <f>Q27</f>
        <v>1500</v>
      </c>
      <c r="AC27" s="12">
        <f t="shared" si="3"/>
        <v>7700</v>
      </c>
      <c r="AE27" s="95">
        <f t="shared" ref="AE27:AF27" si="6">AA27/$J27</f>
        <v>0.33333333333333331</v>
      </c>
      <c r="AF27" s="95">
        <f t="shared" si="6"/>
        <v>1</v>
      </c>
      <c r="AG27" s="95">
        <f>AC27/$J27</f>
        <v>5.1333333333333337</v>
      </c>
    </row>
    <row r="28" spans="1:33" s="47" customFormat="1">
      <c r="B28" s="47" t="s">
        <v>109</v>
      </c>
      <c r="C28" s="47" t="s">
        <v>8</v>
      </c>
      <c r="D28" s="72">
        <f>D24+D25+D26+D27</f>
        <v>3105</v>
      </c>
      <c r="E28" s="72"/>
      <c r="F28" s="72"/>
      <c r="G28" s="72"/>
      <c r="H28" s="72">
        <f>H24+H25+H26+H27</f>
        <v>26226</v>
      </c>
      <c r="J28" s="72">
        <f>J24+J25+J26+J27</f>
        <v>4500</v>
      </c>
      <c r="K28" s="72">
        <f>K24+K25+K26+K27</f>
        <v>7312</v>
      </c>
      <c r="L28" s="72">
        <f>L24+L25+L26+L27</f>
        <v>11744</v>
      </c>
      <c r="M28" s="73"/>
      <c r="N28" s="73"/>
      <c r="O28" s="73"/>
      <c r="P28" s="72"/>
      <c r="Q28" s="72"/>
      <c r="R28" s="72"/>
      <c r="AF28" s="47" t="s">
        <v>182</v>
      </c>
      <c r="AG28" s="128" t="s">
        <v>183</v>
      </c>
    </row>
    <row r="29" spans="1:33" s="47" customFormat="1">
      <c r="A29" s="33" t="s">
        <v>36</v>
      </c>
      <c r="B29" s="33"/>
      <c r="C29" s="33" t="s">
        <v>8</v>
      </c>
      <c r="D29" s="34">
        <f>D6+D8+D9+D10+D11+D13+D14+D15+D16+D17+D19+D20+D21+D24+D25+D26+D27</f>
        <v>16242</v>
      </c>
      <c r="E29" s="34"/>
      <c r="F29" s="34"/>
      <c r="G29" s="34"/>
      <c r="H29" s="34"/>
      <c r="I29" s="33"/>
      <c r="J29" s="34">
        <f>SUM(J6:J27)</f>
        <v>22500</v>
      </c>
      <c r="K29" s="33"/>
      <c r="L29" s="33"/>
      <c r="M29" s="33"/>
      <c r="N29" s="33"/>
      <c r="O29" s="33"/>
      <c r="P29" s="34">
        <f>SUM(P6:P27)</f>
        <v>17500</v>
      </c>
      <c r="Q29" s="34"/>
      <c r="R29" s="34"/>
      <c r="S29" s="33"/>
      <c r="T29" s="33"/>
      <c r="U29" s="33"/>
      <c r="V29" s="33"/>
      <c r="W29" s="33"/>
      <c r="X29" s="33"/>
      <c r="Y29" s="33"/>
    </row>
    <row r="30" spans="1:33">
      <c r="A30" s="35"/>
      <c r="B30" s="35"/>
      <c r="C30" s="33" t="s">
        <v>35</v>
      </c>
      <c r="D30" s="34" t="e">
        <f>#REF!+#REF!+#REF!+#REF!+#REF!+#REF!+#REF!+#REF!+#REF!+#REF!+#REF!+#REF!+#REF!+#REF!+#REF!+#REF!+#REF!</f>
        <v>#REF!</v>
      </c>
      <c r="E30" s="34"/>
      <c r="F30" s="34"/>
      <c r="G30" s="34"/>
      <c r="H30" s="34"/>
      <c r="I30" s="35"/>
      <c r="J30" s="36"/>
      <c r="K30" s="35"/>
      <c r="L30" s="35"/>
      <c r="M30" s="35"/>
      <c r="N30" s="35"/>
      <c r="O30" s="35"/>
      <c r="P30" s="35"/>
      <c r="Q30" s="35"/>
      <c r="R30" s="35"/>
      <c r="S30" s="35"/>
      <c r="T30" s="35"/>
      <c r="U30" s="35"/>
      <c r="V30" s="35"/>
      <c r="W30" s="35"/>
      <c r="X30" s="35"/>
      <c r="Y30" s="35"/>
    </row>
    <row r="32" spans="1:33">
      <c r="A32" t="s">
        <v>16</v>
      </c>
      <c r="B32" t="s">
        <v>17</v>
      </c>
      <c r="C32" s="43" t="s">
        <v>35</v>
      </c>
      <c r="D32" s="44">
        <v>200</v>
      </c>
      <c r="E32" s="44"/>
      <c r="F32" s="44"/>
      <c r="G32" s="44"/>
      <c r="H32" s="43">
        <v>1100</v>
      </c>
      <c r="I32" s="43"/>
      <c r="J32" s="45"/>
      <c r="K32" s="43">
        <v>300</v>
      </c>
      <c r="L32" s="43">
        <v>1100</v>
      </c>
      <c r="M32" s="138"/>
      <c r="N32" s="138"/>
      <c r="O32" s="48"/>
      <c r="P32" s="48"/>
      <c r="Q32" s="48"/>
      <c r="R32" s="48"/>
      <c r="S32" s="43"/>
      <c r="T32" s="43"/>
      <c r="U32" s="43">
        <v>800</v>
      </c>
      <c r="V32" s="43"/>
      <c r="W32" s="45"/>
      <c r="X32" s="45"/>
      <c r="Y32" s="45"/>
    </row>
    <row r="33" spans="1:34">
      <c r="B33" t="s">
        <v>18</v>
      </c>
      <c r="C33" s="43" t="s">
        <v>35</v>
      </c>
      <c r="D33" s="44">
        <v>1680</v>
      </c>
      <c r="E33" s="44"/>
      <c r="F33" s="44"/>
      <c r="G33" s="44"/>
      <c r="H33" s="43">
        <v>3500</v>
      </c>
      <c r="I33" s="43"/>
      <c r="J33" s="45"/>
      <c r="K33" s="43">
        <v>2600</v>
      </c>
      <c r="L33" s="43">
        <v>3500</v>
      </c>
      <c r="M33" s="139"/>
      <c r="N33" s="139"/>
      <c r="O33" s="46"/>
      <c r="P33" s="45"/>
      <c r="Q33" s="45"/>
      <c r="R33" s="45"/>
      <c r="S33" s="43"/>
      <c r="T33" s="43"/>
      <c r="U33" s="43">
        <v>2500</v>
      </c>
      <c r="V33" s="43"/>
      <c r="W33" s="45"/>
      <c r="X33" s="45"/>
      <c r="Y33" s="45"/>
    </row>
    <row r="34" spans="1:34">
      <c r="B34" t="s">
        <v>42</v>
      </c>
      <c r="C34" s="43" t="s">
        <v>35</v>
      </c>
      <c r="D34" s="45">
        <v>362</v>
      </c>
      <c r="E34" s="45"/>
      <c r="F34" s="45"/>
      <c r="G34" s="45"/>
      <c r="H34" s="43"/>
      <c r="I34" s="43"/>
      <c r="J34" s="45"/>
      <c r="K34" s="43"/>
      <c r="L34" s="43"/>
      <c r="M34" s="139"/>
      <c r="N34" s="139"/>
      <c r="O34" s="46"/>
      <c r="P34" s="45"/>
      <c r="Q34" s="45"/>
      <c r="R34" s="45"/>
      <c r="S34" s="43"/>
      <c r="T34" s="43"/>
      <c r="U34" s="43"/>
      <c r="V34" s="43"/>
      <c r="W34" s="45"/>
      <c r="X34" s="44"/>
      <c r="Y34" s="45"/>
    </row>
    <row r="35" spans="1:34">
      <c r="B35" t="s">
        <v>43</v>
      </c>
      <c r="C35" s="43" t="s">
        <v>35</v>
      </c>
      <c r="D35" s="45">
        <v>2093</v>
      </c>
      <c r="E35" s="45"/>
      <c r="F35" s="45"/>
      <c r="G35" s="45"/>
      <c r="H35" s="43"/>
      <c r="I35" s="43"/>
      <c r="J35" s="45"/>
      <c r="K35" s="43"/>
      <c r="L35" s="43"/>
      <c r="M35" s="139"/>
      <c r="N35" s="139"/>
      <c r="O35" s="46"/>
      <c r="P35" s="45"/>
      <c r="Q35" s="45"/>
      <c r="R35" s="45"/>
      <c r="S35" s="44"/>
      <c r="T35" s="43"/>
      <c r="U35" s="43"/>
      <c r="V35" s="43"/>
      <c r="W35" s="45"/>
      <c r="X35" s="44"/>
      <c r="Y35" s="45"/>
    </row>
    <row r="36" spans="1:34">
      <c r="B36" t="s">
        <v>44</v>
      </c>
      <c r="C36" s="43" t="s">
        <v>35</v>
      </c>
      <c r="D36" s="45">
        <v>672</v>
      </c>
      <c r="E36" s="45"/>
      <c r="F36" s="45"/>
      <c r="G36" s="45"/>
      <c r="H36" s="43"/>
      <c r="I36" s="43"/>
      <c r="J36" s="45"/>
      <c r="K36" s="43"/>
      <c r="L36" s="43"/>
      <c r="M36" s="139"/>
      <c r="N36" s="139"/>
      <c r="O36" s="46"/>
      <c r="P36" s="45"/>
      <c r="Q36" s="45"/>
      <c r="R36" s="45"/>
      <c r="S36" s="43"/>
      <c r="T36" s="43"/>
      <c r="U36" s="43"/>
      <c r="V36" s="43"/>
      <c r="W36" s="45"/>
      <c r="X36" s="45"/>
      <c r="Y36" s="45"/>
    </row>
    <row r="37" spans="1:34">
      <c r="B37" t="s">
        <v>20</v>
      </c>
      <c r="C37" s="43" t="s">
        <v>35</v>
      </c>
      <c r="D37" s="44">
        <v>0</v>
      </c>
      <c r="E37" s="44"/>
      <c r="F37" s="44"/>
      <c r="G37" s="44"/>
      <c r="H37" s="43"/>
      <c r="I37" s="43"/>
      <c r="J37" s="45"/>
      <c r="K37" s="43"/>
      <c r="L37" s="43"/>
      <c r="M37" s="139"/>
      <c r="N37" s="139"/>
      <c r="O37" s="48"/>
      <c r="P37" s="48"/>
      <c r="Q37" s="48"/>
      <c r="R37" s="48"/>
      <c r="S37" s="43"/>
      <c r="T37" s="43"/>
      <c r="U37" s="43"/>
      <c r="V37" s="43"/>
      <c r="W37" s="45"/>
      <c r="X37" s="45"/>
      <c r="Y37" s="45"/>
    </row>
    <row r="38" spans="1:34">
      <c r="B38" t="s">
        <v>19</v>
      </c>
      <c r="C38" s="43" t="s">
        <v>35</v>
      </c>
      <c r="D38" s="44">
        <v>455</v>
      </c>
      <c r="E38" s="44"/>
      <c r="F38" s="44"/>
      <c r="G38" s="44"/>
      <c r="H38" s="43">
        <v>600</v>
      </c>
      <c r="I38" s="43"/>
      <c r="J38" s="45"/>
      <c r="K38" s="43">
        <v>300</v>
      </c>
      <c r="L38" s="43">
        <v>600</v>
      </c>
      <c r="M38" s="139"/>
      <c r="N38" s="139"/>
      <c r="O38" s="46"/>
      <c r="P38" s="46"/>
      <c r="Q38" s="46"/>
      <c r="R38" s="46"/>
      <c r="S38" s="43"/>
      <c r="T38" s="43"/>
      <c r="U38" s="43" t="s">
        <v>160</v>
      </c>
      <c r="V38" s="43"/>
      <c r="W38" s="45"/>
      <c r="X38" s="45"/>
      <c r="Y38" s="45"/>
      <c r="Z38" s="43"/>
      <c r="AA38" s="43"/>
      <c r="AB38" s="43"/>
      <c r="AC38" s="43"/>
      <c r="AD38" s="43"/>
      <c r="AE38" s="43"/>
      <c r="AF38" s="43"/>
      <c r="AG38" s="43"/>
      <c r="AH38" s="43"/>
    </row>
    <row r="39" spans="1:34">
      <c r="A39" t="s">
        <v>21</v>
      </c>
      <c r="B39" t="s">
        <v>45</v>
      </c>
      <c r="C39" s="43" t="s">
        <v>35</v>
      </c>
      <c r="D39" s="45">
        <v>1977</v>
      </c>
      <c r="E39" s="45"/>
      <c r="F39" s="45">
        <v>2936</v>
      </c>
      <c r="G39" s="45">
        <v>10557</v>
      </c>
      <c r="H39" s="45"/>
      <c r="I39" s="43"/>
      <c r="J39" s="45"/>
      <c r="K39" s="43"/>
      <c r="L39" s="43"/>
      <c r="M39" s="46"/>
      <c r="N39" s="46"/>
      <c r="O39" s="46"/>
      <c r="P39" s="45"/>
      <c r="Q39" s="45"/>
      <c r="R39" s="45"/>
      <c r="S39" s="43"/>
      <c r="T39" s="43"/>
      <c r="U39" s="43"/>
      <c r="V39" s="43"/>
      <c r="W39" s="45"/>
      <c r="X39" s="45"/>
      <c r="Y39" s="45"/>
    </row>
    <row r="40" spans="1:34">
      <c r="B40" t="s">
        <v>24</v>
      </c>
      <c r="C40" s="43" t="s">
        <v>35</v>
      </c>
      <c r="D40" s="45">
        <v>2158</v>
      </c>
      <c r="E40" s="45"/>
      <c r="F40" s="45">
        <v>2465</v>
      </c>
      <c r="G40" s="45">
        <v>10235</v>
      </c>
      <c r="H40" s="45"/>
      <c r="I40" s="43"/>
      <c r="J40" s="45"/>
      <c r="K40" s="43"/>
      <c r="L40" s="43"/>
      <c r="M40" s="46"/>
      <c r="N40" s="46"/>
      <c r="O40" s="46"/>
      <c r="P40" s="45"/>
      <c r="Q40" s="45"/>
      <c r="R40" s="45"/>
      <c r="S40" s="43"/>
      <c r="T40" s="43"/>
      <c r="U40" s="43"/>
      <c r="V40" s="43"/>
      <c r="W40" s="45"/>
      <c r="X40" s="45"/>
      <c r="Y40" s="45"/>
    </row>
    <row r="41" spans="1:34">
      <c r="B41" t="s">
        <v>23</v>
      </c>
      <c r="C41" s="43" t="s">
        <v>35</v>
      </c>
      <c r="D41" s="45">
        <v>1831</v>
      </c>
      <c r="E41" s="45"/>
      <c r="F41" s="45">
        <v>1868</v>
      </c>
      <c r="G41" s="45">
        <v>6510</v>
      </c>
      <c r="H41" s="45"/>
      <c r="I41" s="43"/>
      <c r="J41" s="45"/>
      <c r="K41" s="43"/>
      <c r="L41" s="43"/>
      <c r="M41" s="46"/>
      <c r="N41" s="46"/>
      <c r="O41" s="46"/>
      <c r="P41" s="45"/>
      <c r="Q41" s="45"/>
      <c r="R41" s="45"/>
      <c r="S41" s="43"/>
      <c r="T41" s="43"/>
      <c r="U41" s="43"/>
      <c r="V41" s="43"/>
      <c r="W41" s="45"/>
      <c r="X41" s="45"/>
      <c r="Y41" s="45"/>
    </row>
    <row r="42" spans="1:34">
      <c r="B42" t="s">
        <v>25</v>
      </c>
      <c r="C42" s="43" t="s">
        <v>35</v>
      </c>
      <c r="D42" s="45">
        <v>864</v>
      </c>
      <c r="E42" s="45"/>
      <c r="F42" s="45">
        <v>889</v>
      </c>
      <c r="G42" s="45">
        <v>2729</v>
      </c>
      <c r="H42" s="45"/>
      <c r="I42" s="43"/>
      <c r="J42" s="45"/>
      <c r="K42" s="43"/>
      <c r="L42" s="43"/>
      <c r="M42" s="46"/>
      <c r="N42" s="46"/>
      <c r="O42" s="46"/>
      <c r="P42" s="43"/>
      <c r="Q42" s="43"/>
      <c r="R42" s="43"/>
      <c r="S42" s="43"/>
      <c r="T42" s="43"/>
      <c r="U42" s="43"/>
      <c r="V42" s="43"/>
      <c r="W42" s="45"/>
      <c r="X42" s="45"/>
      <c r="Y42" s="45"/>
    </row>
    <row r="43" spans="1:34">
      <c r="B43" t="s">
        <v>22</v>
      </c>
      <c r="C43" s="43" t="s">
        <v>35</v>
      </c>
      <c r="D43" s="45">
        <v>753</v>
      </c>
      <c r="E43" s="45"/>
      <c r="F43" s="45">
        <v>1329</v>
      </c>
      <c r="G43" s="45">
        <v>5169</v>
      </c>
      <c r="H43" s="45"/>
      <c r="I43" s="43"/>
      <c r="J43" s="45"/>
      <c r="K43" s="43"/>
      <c r="L43" s="43"/>
      <c r="M43" s="46"/>
      <c r="N43" s="46"/>
      <c r="O43" s="46"/>
      <c r="P43" s="45"/>
      <c r="Q43" s="45"/>
      <c r="R43" s="45"/>
      <c r="S43" s="43"/>
      <c r="T43" s="43"/>
      <c r="U43" s="43"/>
      <c r="V43" s="43"/>
      <c r="W43" s="45"/>
      <c r="X43" s="45"/>
      <c r="Y43" s="45"/>
    </row>
    <row r="44" spans="1:34">
      <c r="B44" t="s">
        <v>68</v>
      </c>
      <c r="C44" s="43" t="s">
        <v>35</v>
      </c>
      <c r="D44" s="45"/>
      <c r="E44" s="45"/>
      <c r="F44" s="45">
        <v>9487</v>
      </c>
      <c r="G44" s="45">
        <v>35200</v>
      </c>
      <c r="H44" s="45"/>
      <c r="I44" s="43"/>
      <c r="J44" s="45"/>
      <c r="K44" s="43"/>
      <c r="L44" s="43"/>
      <c r="M44" s="46"/>
      <c r="N44" s="46"/>
      <c r="O44" s="46"/>
      <c r="P44" s="45"/>
      <c r="Q44" s="45"/>
      <c r="R44" s="45"/>
      <c r="S44" s="43"/>
      <c r="T44" s="43">
        <v>29400</v>
      </c>
      <c r="U44" s="43"/>
      <c r="V44" s="43"/>
      <c r="W44" s="45"/>
      <c r="X44" s="45"/>
      <c r="Y44" s="45"/>
      <c r="Z44" s="43"/>
      <c r="AA44" s="43"/>
      <c r="AB44" s="43"/>
      <c r="AC44" s="43"/>
      <c r="AD44" s="43"/>
      <c r="AE44" s="43"/>
      <c r="AF44" s="43"/>
      <c r="AG44" s="43"/>
      <c r="AH44" s="43"/>
    </row>
    <row r="45" spans="1:34">
      <c r="A45" t="s">
        <v>26</v>
      </c>
      <c r="B45" t="s">
        <v>27</v>
      </c>
      <c r="C45" s="43" t="s">
        <v>35</v>
      </c>
      <c r="D45" s="44">
        <v>0</v>
      </c>
      <c r="E45" s="44"/>
      <c r="F45" s="44"/>
      <c r="G45" s="44"/>
      <c r="H45" s="44"/>
      <c r="I45" s="43"/>
      <c r="J45" s="45"/>
      <c r="K45" s="43"/>
      <c r="L45" s="43"/>
      <c r="M45" s="46"/>
      <c r="N45" s="46"/>
      <c r="O45" s="48"/>
      <c r="P45" s="48"/>
      <c r="Q45" s="48"/>
      <c r="R45" s="48"/>
      <c r="S45" s="43"/>
      <c r="T45" s="43"/>
      <c r="U45" s="43"/>
      <c r="V45" s="43"/>
      <c r="W45" s="45"/>
      <c r="X45" s="45"/>
      <c r="Y45" s="45"/>
    </row>
    <row r="46" spans="1:34">
      <c r="B46" t="s">
        <v>28</v>
      </c>
      <c r="C46" s="43" t="s">
        <v>35</v>
      </c>
      <c r="D46" s="44">
        <v>3032</v>
      </c>
      <c r="E46" s="44"/>
      <c r="F46" s="44"/>
      <c r="G46" s="44"/>
      <c r="H46" s="44"/>
      <c r="I46" s="43"/>
      <c r="J46" s="45"/>
      <c r="K46" s="43"/>
      <c r="L46" s="43"/>
      <c r="M46" s="46"/>
      <c r="N46" s="46"/>
      <c r="O46" s="46"/>
      <c r="P46" s="45"/>
      <c r="Q46" s="45"/>
      <c r="R46" s="45"/>
      <c r="S46" s="43">
        <v>5500</v>
      </c>
      <c r="T46" s="43"/>
      <c r="U46" s="43">
        <v>8500</v>
      </c>
      <c r="V46" s="43"/>
      <c r="W46" s="45"/>
      <c r="X46" s="44"/>
      <c r="Y46" s="44"/>
    </row>
    <row r="47" spans="1:34">
      <c r="B47" t="s">
        <v>29</v>
      </c>
      <c r="C47" s="43" t="s">
        <v>35</v>
      </c>
      <c r="D47" s="44">
        <v>942</v>
      </c>
      <c r="E47" s="44"/>
      <c r="F47" s="44"/>
      <c r="G47" s="44"/>
      <c r="H47" s="44"/>
      <c r="I47" s="43"/>
      <c r="J47" s="45"/>
      <c r="K47" s="43"/>
      <c r="L47" s="43"/>
      <c r="M47" s="46"/>
      <c r="N47" s="46"/>
      <c r="O47" s="46"/>
      <c r="P47" s="45"/>
      <c r="Q47" s="45"/>
      <c r="R47" s="45"/>
      <c r="S47" s="43"/>
      <c r="T47" s="43"/>
      <c r="U47" s="43"/>
      <c r="V47" s="43"/>
      <c r="W47" s="45"/>
      <c r="X47" s="45"/>
      <c r="Y47" s="45"/>
    </row>
    <row r="48" spans="1:34">
      <c r="B48" t="s">
        <v>30</v>
      </c>
      <c r="C48" s="43" t="s">
        <v>35</v>
      </c>
      <c r="D48" s="44">
        <v>250</v>
      </c>
      <c r="E48" s="44"/>
      <c r="F48" s="44"/>
      <c r="G48" s="44"/>
      <c r="H48" s="44"/>
      <c r="I48" s="43"/>
      <c r="J48" s="45"/>
      <c r="K48" s="43"/>
      <c r="L48" s="43"/>
      <c r="M48" s="46"/>
      <c r="N48" s="46"/>
      <c r="O48" s="46"/>
      <c r="P48" s="45"/>
      <c r="Q48" s="45"/>
      <c r="R48" s="45"/>
      <c r="S48" s="43"/>
      <c r="T48" s="43"/>
      <c r="U48" s="43"/>
      <c r="V48" s="43"/>
      <c r="W48" s="45"/>
      <c r="X48" s="45"/>
      <c r="Y48" s="45"/>
    </row>
    <row r="49" spans="1:34">
      <c r="B49" t="s">
        <v>68</v>
      </c>
      <c r="C49" s="43" t="s">
        <v>35</v>
      </c>
      <c r="D49" s="44"/>
      <c r="E49" s="44"/>
      <c r="F49" s="44"/>
      <c r="G49" s="44"/>
      <c r="H49" s="44"/>
      <c r="I49" s="43"/>
      <c r="J49" s="45"/>
      <c r="K49" s="43"/>
      <c r="L49" s="43"/>
      <c r="M49" s="46"/>
      <c r="N49" s="46"/>
      <c r="O49" s="46"/>
      <c r="P49" s="45"/>
      <c r="Q49" s="45"/>
      <c r="R49" s="45"/>
      <c r="S49" s="43"/>
      <c r="T49" s="43"/>
      <c r="U49" s="43"/>
      <c r="V49" s="43"/>
      <c r="W49" s="45"/>
      <c r="X49" s="45"/>
      <c r="Y49" s="45"/>
      <c r="Z49" s="43"/>
      <c r="AA49" s="43"/>
      <c r="AB49" s="43"/>
      <c r="AC49" s="43"/>
      <c r="AD49" s="43"/>
      <c r="AE49" s="43"/>
      <c r="AF49" s="43"/>
      <c r="AG49" s="43"/>
      <c r="AH49" s="43"/>
    </row>
    <row r="50" spans="1:34">
      <c r="A50" t="s">
        <v>31</v>
      </c>
      <c r="B50" t="s">
        <v>32</v>
      </c>
      <c r="C50" s="43" t="s">
        <v>35</v>
      </c>
      <c r="D50" s="45">
        <v>1160</v>
      </c>
      <c r="E50" s="45"/>
      <c r="F50" s="45"/>
      <c r="G50" s="45"/>
      <c r="H50" s="45"/>
      <c r="I50" s="45"/>
      <c r="J50" s="45"/>
      <c r="K50" s="45"/>
      <c r="L50" s="45"/>
      <c r="M50" s="46"/>
      <c r="N50" s="46"/>
      <c r="O50" s="46"/>
      <c r="P50" s="45"/>
      <c r="Q50" s="45"/>
      <c r="R50" s="45"/>
      <c r="S50" s="43"/>
      <c r="T50" s="43"/>
      <c r="U50" s="43"/>
      <c r="V50" s="43"/>
      <c r="W50" s="45"/>
      <c r="X50" s="45"/>
      <c r="Y50" s="45"/>
      <c r="AA50" s="12"/>
      <c r="AC50" s="12"/>
      <c r="AE50" s="96"/>
      <c r="AF50" s="96"/>
      <c r="AG50" s="96"/>
    </row>
    <row r="51" spans="1:34">
      <c r="B51" t="s">
        <v>33</v>
      </c>
      <c r="C51" s="43" t="s">
        <v>35</v>
      </c>
      <c r="D51" s="45">
        <v>532</v>
      </c>
      <c r="E51" s="45"/>
      <c r="F51" s="45"/>
      <c r="G51" s="45"/>
      <c r="H51" s="45"/>
      <c r="I51" s="45"/>
      <c r="J51" s="45"/>
      <c r="K51" s="45"/>
      <c r="L51" s="45"/>
      <c r="M51" s="46"/>
      <c r="N51" s="46"/>
      <c r="O51" s="46"/>
      <c r="P51" s="45"/>
      <c r="Q51" s="45"/>
      <c r="R51" s="45"/>
      <c r="S51" s="43"/>
      <c r="T51" s="43"/>
      <c r="U51" s="43"/>
      <c r="V51" s="43"/>
      <c r="W51" s="44"/>
      <c r="X51" s="45"/>
      <c r="Y51" s="45"/>
      <c r="AA51" s="12"/>
      <c r="AC51" s="12"/>
      <c r="AE51" s="96"/>
      <c r="AF51" s="96"/>
      <c r="AG51" s="96"/>
    </row>
    <row r="52" spans="1:34">
      <c r="B52" t="s">
        <v>34</v>
      </c>
      <c r="C52" s="43" t="s">
        <v>35</v>
      </c>
      <c r="D52" s="45">
        <v>1246</v>
      </c>
      <c r="E52" s="45"/>
      <c r="F52" s="45"/>
      <c r="G52" s="45"/>
      <c r="H52" s="45"/>
      <c r="I52" s="45"/>
      <c r="J52" s="45"/>
      <c r="K52" s="45"/>
      <c r="L52" s="45"/>
      <c r="M52" s="46"/>
      <c r="N52" s="46"/>
      <c r="O52" s="46"/>
      <c r="P52" s="45"/>
      <c r="Q52" s="45"/>
      <c r="R52" s="45"/>
      <c r="S52" s="43"/>
      <c r="T52" s="43"/>
      <c r="U52" s="43"/>
      <c r="V52" s="43"/>
      <c r="W52" s="44"/>
      <c r="X52" s="45"/>
      <c r="Y52" s="45"/>
      <c r="AA52" s="12"/>
      <c r="AC52" s="12"/>
      <c r="AE52" s="96"/>
      <c r="AF52" s="96"/>
      <c r="AG52" s="96"/>
    </row>
    <row r="53" spans="1:34">
      <c r="B53" t="s">
        <v>22</v>
      </c>
      <c r="C53" s="43" t="s">
        <v>35</v>
      </c>
      <c r="D53" s="45">
        <v>254</v>
      </c>
      <c r="E53" s="45"/>
      <c r="F53" s="45"/>
      <c r="G53" s="45"/>
      <c r="H53" s="45"/>
      <c r="I53" s="43"/>
      <c r="J53" s="45"/>
      <c r="K53" s="43"/>
      <c r="L53" s="43"/>
      <c r="M53" s="46"/>
      <c r="N53" s="46"/>
      <c r="O53" s="46"/>
      <c r="P53" s="45"/>
      <c r="Q53" s="45"/>
      <c r="R53" s="45"/>
      <c r="S53" s="43"/>
      <c r="T53" s="43"/>
      <c r="U53" s="43"/>
      <c r="V53" s="43"/>
      <c r="W53" s="45"/>
      <c r="X53" s="43"/>
      <c r="Y53" s="43"/>
    </row>
    <row r="54" spans="1:34">
      <c r="A54" s="47"/>
      <c r="B54" s="47" t="s">
        <v>109</v>
      </c>
      <c r="C54" s="47" t="s">
        <v>35</v>
      </c>
      <c r="D54" s="72">
        <f>D50+D51+D52+D53</f>
        <v>3192</v>
      </c>
      <c r="E54" s="72"/>
      <c r="F54" s="72"/>
      <c r="G54" s="72"/>
      <c r="H54" s="72"/>
      <c r="I54" s="47"/>
      <c r="J54" s="72"/>
      <c r="K54" s="47"/>
      <c r="L54" s="47"/>
      <c r="M54" s="73"/>
      <c r="N54" s="73"/>
      <c r="O54" s="73"/>
      <c r="P54" s="72"/>
      <c r="Q54" s="72"/>
      <c r="R54" s="72"/>
      <c r="S54" s="47"/>
      <c r="T54" s="47"/>
      <c r="U54" s="47"/>
      <c r="V54" s="47"/>
      <c r="W54" s="47"/>
      <c r="X54" s="47"/>
      <c r="Y54" s="47"/>
      <c r="Z54" s="47"/>
      <c r="AA54" s="47"/>
      <c r="AB54" s="47"/>
      <c r="AC54" s="47"/>
      <c r="AD54" s="47"/>
      <c r="AE54" s="47"/>
      <c r="AF54" s="47"/>
      <c r="AG54" s="47"/>
      <c r="AH54" s="47"/>
    </row>
    <row r="55" spans="1:34">
      <c r="A55" s="47"/>
      <c r="B55" s="47"/>
      <c r="C55" s="47"/>
      <c r="D55" s="72"/>
      <c r="E55" s="72"/>
      <c r="F55" s="72"/>
      <c r="G55" s="72"/>
      <c r="H55" s="72"/>
      <c r="I55" s="47"/>
      <c r="J55" s="72"/>
      <c r="K55" s="47"/>
      <c r="L55" s="47"/>
      <c r="M55" s="73"/>
      <c r="N55" s="73"/>
      <c r="O55" s="73"/>
      <c r="P55" s="72"/>
      <c r="Q55" s="72"/>
      <c r="R55" s="72"/>
      <c r="S55" s="47"/>
      <c r="T55" s="47"/>
      <c r="U55" s="47"/>
      <c r="V55" s="47"/>
      <c r="W55" s="47"/>
      <c r="X55" s="47"/>
      <c r="Y55" s="47"/>
      <c r="Z55" s="47"/>
      <c r="AA55" s="47"/>
      <c r="AB55" s="47"/>
      <c r="AC55" s="47"/>
      <c r="AD55" s="47"/>
      <c r="AE55" s="47"/>
      <c r="AF55" s="47"/>
      <c r="AG55" s="47"/>
      <c r="AH55" s="47"/>
    </row>
    <row r="56" spans="1:34">
      <c r="A56" s="47"/>
      <c r="B56" s="47"/>
      <c r="C56" s="47" t="s">
        <v>110</v>
      </c>
      <c r="D56" s="74" t="e">
        <f>(D54-#REF!)/D54</f>
        <v>#REF!</v>
      </c>
      <c r="E56" s="74"/>
      <c r="F56" s="74"/>
      <c r="G56" s="74"/>
      <c r="H56" s="74"/>
      <c r="I56" s="47"/>
      <c r="J56" s="72"/>
      <c r="K56" s="47"/>
      <c r="L56" s="47"/>
      <c r="M56" s="73"/>
      <c r="N56" s="73"/>
      <c r="O56" s="73"/>
      <c r="P56" s="72"/>
      <c r="Q56" s="72"/>
      <c r="R56" s="72"/>
      <c r="S56" s="47"/>
      <c r="T56" s="47"/>
      <c r="U56" s="47"/>
      <c r="V56" s="47"/>
      <c r="W56" s="47"/>
      <c r="X56" s="47"/>
      <c r="Y56" s="47"/>
      <c r="Z56" s="47"/>
      <c r="AA56" s="47"/>
      <c r="AB56" s="47"/>
      <c r="AC56" s="47"/>
      <c r="AD56" s="47"/>
      <c r="AE56" s="47"/>
      <c r="AF56" s="47"/>
      <c r="AG56" s="47"/>
      <c r="AH56" s="47"/>
    </row>
    <row r="57" spans="1:34">
      <c r="A57" s="33" t="s">
        <v>36</v>
      </c>
      <c r="B57" s="33"/>
      <c r="C57" s="33" t="s">
        <v>8</v>
      </c>
      <c r="D57" s="34" t="e">
        <f>#REF!+#REF!+#REF!+#REF!+#REF!+#REF!+#REF!+#REF!+#REF!+#REF!+#REF!+#REF!+#REF!+#REF!+#REF!+#REF!+#REF!</f>
        <v>#REF!</v>
      </c>
      <c r="E57" s="34"/>
      <c r="F57" s="34"/>
      <c r="G57" s="34"/>
      <c r="H57" s="34"/>
      <c r="I57" s="33"/>
      <c r="J57" s="34">
        <f>SUM(J32:J53)</f>
        <v>0</v>
      </c>
      <c r="K57" s="33"/>
      <c r="L57" s="33"/>
      <c r="M57" s="33"/>
      <c r="N57" s="33"/>
      <c r="O57" s="33"/>
      <c r="P57" s="34">
        <f>SUM(P32:P53)</f>
        <v>0</v>
      </c>
      <c r="Q57" s="34"/>
      <c r="R57" s="34"/>
      <c r="S57" s="33"/>
      <c r="T57" s="33"/>
      <c r="U57" s="33"/>
      <c r="V57" s="33"/>
      <c r="W57" s="33"/>
      <c r="X57" s="33"/>
      <c r="Y57" s="33"/>
      <c r="Z57" s="47"/>
      <c r="AA57" s="47"/>
      <c r="AB57" s="47"/>
      <c r="AC57" s="47"/>
      <c r="AD57" s="47"/>
      <c r="AE57" s="47"/>
      <c r="AF57" s="47"/>
      <c r="AG57" s="47"/>
      <c r="AH57" s="47"/>
    </row>
    <row r="58" spans="1:34">
      <c r="A58" s="35"/>
      <c r="B58" s="35"/>
      <c r="C58" s="33" t="s">
        <v>35</v>
      </c>
      <c r="D58" s="34">
        <f>D32+D34+D35+D36+D37+D39+D40+D41+D42+D43+D45+D46+D47+D50+D51+D52+D53</f>
        <v>18076</v>
      </c>
      <c r="E58" s="34"/>
      <c r="F58" s="34"/>
      <c r="G58" s="34"/>
      <c r="H58" s="34"/>
      <c r="I58" s="35"/>
      <c r="J58" s="36"/>
      <c r="K58" s="35"/>
      <c r="L58" s="35"/>
      <c r="M58" s="35"/>
      <c r="N58" s="35"/>
      <c r="O58" s="35"/>
      <c r="P58" s="35"/>
      <c r="Q58" s="35"/>
      <c r="R58" s="35"/>
      <c r="S58" s="35"/>
      <c r="T58" s="35"/>
      <c r="U58" s="35"/>
      <c r="V58" s="35"/>
      <c r="W58" s="35"/>
      <c r="X58" s="35"/>
      <c r="Y58" s="35"/>
    </row>
  </sheetData>
  <customSheetViews>
    <customSheetView guid="{4A56DCA2-EE2D-40DD-82F4-76121FFBC45C}">
      <pane xSplit="3" ySplit="5" topLeftCell="D6" activePane="bottomRight" state="frozen"/>
      <selection pane="bottomRight" activeCell="K23" sqref="K23"/>
      <pageMargins left="0.7" right="0.7" top="0.75" bottom="0.75" header="0.3" footer="0.3"/>
      <pageSetup orientation="portrait" r:id="rId1"/>
    </customSheetView>
  </customSheetViews>
  <mergeCells count="4">
    <mergeCell ref="K9:K10"/>
    <mergeCell ref="H21:H22"/>
    <mergeCell ref="E21:E22"/>
    <mergeCell ref="L21:L22"/>
  </mergeCell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zoomScale="80" zoomScaleNormal="80" workbookViewId="0">
      <pane xSplit="2" ySplit="4" topLeftCell="G7" activePane="bottomRight" state="frozen"/>
      <selection pane="topRight" activeCell="C1" sqref="C1"/>
      <selection pane="bottomLeft" activeCell="A5" sqref="A5"/>
      <selection pane="bottomRight" activeCell="O54" sqref="O54"/>
    </sheetView>
  </sheetViews>
  <sheetFormatPr defaultColWidth="8.88671875" defaultRowHeight="14.4"/>
  <cols>
    <col min="1" max="1" width="14.109375" customWidth="1"/>
    <col min="2" max="2" width="18.109375" customWidth="1"/>
    <col min="3" max="4" width="9.109375"/>
    <col min="5" max="5" width="11.6640625" customWidth="1"/>
    <col min="6" max="11" width="9.109375"/>
    <col min="12" max="12" width="2.33203125" customWidth="1"/>
    <col min="17" max="17" width="8.6640625" customWidth="1"/>
    <col min="21" max="21" width="16.44140625" customWidth="1"/>
  </cols>
  <sheetData>
    <row r="1" spans="1:22" s="92" customFormat="1" ht="18">
      <c r="A1" s="3" t="s">
        <v>1</v>
      </c>
      <c r="B1" s="13"/>
      <c r="C1" s="13"/>
      <c r="D1" s="13"/>
      <c r="E1" s="13"/>
      <c r="F1" s="13"/>
      <c r="G1" s="13"/>
      <c r="H1" s="13"/>
      <c r="I1" s="13"/>
      <c r="J1" s="13"/>
      <c r="K1" s="13"/>
    </row>
    <row r="2" spans="1:22" s="92" customFormat="1">
      <c r="A2" s="1" t="s">
        <v>52</v>
      </c>
      <c r="B2" s="13"/>
      <c r="C2" s="13"/>
      <c r="D2" s="13"/>
      <c r="E2" s="13"/>
      <c r="F2" s="13"/>
      <c r="G2" s="13"/>
      <c r="H2" s="13"/>
      <c r="I2" s="13"/>
      <c r="J2" s="13"/>
      <c r="K2" s="13"/>
      <c r="M2" s="102" t="s">
        <v>162</v>
      </c>
      <c r="N2" s="102"/>
      <c r="O2" s="102"/>
      <c r="P2" s="102"/>
      <c r="Q2" s="102"/>
    </row>
    <row r="3" spans="1:22" s="102" customFormat="1" ht="18">
      <c r="A3" s="14"/>
      <c r="B3" s="15"/>
      <c r="C3" s="16" t="s">
        <v>51</v>
      </c>
      <c r="D3" s="16"/>
      <c r="E3" s="16" t="s">
        <v>9</v>
      </c>
      <c r="F3" s="16"/>
      <c r="G3" s="16"/>
      <c r="H3" s="16" t="s">
        <v>12</v>
      </c>
      <c r="I3" s="16"/>
      <c r="J3" s="16"/>
      <c r="K3" s="16"/>
      <c r="M3" s="17" t="s">
        <v>38</v>
      </c>
      <c r="N3" s="17"/>
      <c r="O3" s="17" t="s">
        <v>39</v>
      </c>
      <c r="P3" s="17"/>
      <c r="Q3" s="17" t="s">
        <v>40</v>
      </c>
      <c r="R3" s="15"/>
      <c r="U3" s="102" t="s">
        <v>161</v>
      </c>
    </row>
    <row r="4" spans="1:22" ht="30.6">
      <c r="A4" s="28" t="s">
        <v>54</v>
      </c>
      <c r="B4" s="29" t="s">
        <v>63</v>
      </c>
      <c r="C4" s="17" t="s">
        <v>4</v>
      </c>
      <c r="D4" s="17" t="s">
        <v>5</v>
      </c>
      <c r="E4" s="17" t="s">
        <v>46</v>
      </c>
      <c r="F4" s="17" t="s">
        <v>47</v>
      </c>
      <c r="G4" s="17" t="s">
        <v>53</v>
      </c>
      <c r="H4" s="17" t="s">
        <v>48</v>
      </c>
      <c r="I4" s="17" t="s">
        <v>49</v>
      </c>
      <c r="J4" s="17" t="s">
        <v>50</v>
      </c>
      <c r="K4" s="17" t="s">
        <v>14</v>
      </c>
    </row>
    <row r="5" spans="1:22">
      <c r="A5" s="19" t="s">
        <v>55</v>
      </c>
      <c r="B5" s="18" t="s">
        <v>66</v>
      </c>
      <c r="C5" s="24" t="s">
        <v>69</v>
      </c>
      <c r="H5" s="24" t="s">
        <v>69</v>
      </c>
      <c r="I5" s="24" t="s">
        <v>69</v>
      </c>
      <c r="J5" s="24" t="s">
        <v>69</v>
      </c>
      <c r="K5" s="24" t="s">
        <v>69</v>
      </c>
      <c r="M5" s="104"/>
      <c r="N5" s="104"/>
      <c r="O5" s="104"/>
      <c r="P5" s="104"/>
      <c r="Q5" s="105"/>
    </row>
    <row r="6" spans="1:22">
      <c r="A6" s="19"/>
      <c r="B6" s="18" t="s">
        <v>67</v>
      </c>
      <c r="H6" s="24" t="s">
        <v>69</v>
      </c>
      <c r="I6" s="24" t="s">
        <v>69</v>
      </c>
      <c r="J6" s="24" t="s">
        <v>69</v>
      </c>
      <c r="K6" s="24" t="s">
        <v>69</v>
      </c>
      <c r="M6" s="104"/>
      <c r="N6" s="104"/>
      <c r="O6" s="104"/>
      <c r="P6" s="104"/>
      <c r="Q6" s="105"/>
      <c r="U6" s="19"/>
    </row>
    <row r="7" spans="1:22">
      <c r="A7" s="19" t="s">
        <v>56</v>
      </c>
      <c r="B7" s="18" t="s">
        <v>66</v>
      </c>
      <c r="C7" s="24" t="s">
        <v>69</v>
      </c>
      <c r="H7" s="24" t="s">
        <v>69</v>
      </c>
      <c r="I7" s="24" t="s">
        <v>69</v>
      </c>
      <c r="J7" s="24" t="s">
        <v>69</v>
      </c>
      <c r="K7" s="24" t="s">
        <v>69</v>
      </c>
      <c r="M7" s="104"/>
      <c r="N7" s="104"/>
      <c r="O7" s="104"/>
      <c r="P7" s="104"/>
      <c r="Q7" s="105"/>
      <c r="U7" s="117" t="s">
        <v>163</v>
      </c>
    </row>
    <row r="8" spans="1:22">
      <c r="A8" s="19"/>
      <c r="B8" s="18" t="s">
        <v>67</v>
      </c>
      <c r="H8" s="24" t="s">
        <v>69</v>
      </c>
      <c r="I8" s="24" t="s">
        <v>69</v>
      </c>
      <c r="J8" s="24" t="s">
        <v>69</v>
      </c>
      <c r="K8" s="24" t="s">
        <v>69</v>
      </c>
      <c r="M8" s="104"/>
      <c r="N8" s="104"/>
      <c r="O8" s="104"/>
      <c r="P8" s="104"/>
      <c r="Q8" s="105"/>
      <c r="U8" s="19" t="s">
        <v>57</v>
      </c>
      <c r="V8">
        <v>5.8000000000000003E-2</v>
      </c>
    </row>
    <row r="9" spans="1:22">
      <c r="A9" s="19" t="s">
        <v>57</v>
      </c>
      <c r="B9" s="18" t="s">
        <v>66</v>
      </c>
      <c r="C9" s="38">
        <v>5.8000000000000003E-2</v>
      </c>
      <c r="H9" s="24" t="s">
        <v>69</v>
      </c>
      <c r="I9" s="24" t="s">
        <v>69</v>
      </c>
      <c r="J9" s="9" t="s">
        <v>87</v>
      </c>
      <c r="K9" s="24" t="s">
        <v>69</v>
      </c>
      <c r="M9" s="104"/>
      <c r="N9" s="104"/>
      <c r="O9" s="104"/>
      <c r="P9" s="104"/>
      <c r="Q9" s="105"/>
      <c r="U9" s="19" t="s">
        <v>58</v>
      </c>
      <c r="V9">
        <v>5.0000000000000001E-3</v>
      </c>
    </row>
    <row r="10" spans="1:22">
      <c r="A10" s="19"/>
      <c r="B10" s="18" t="s">
        <v>67</v>
      </c>
      <c r="H10" s="24" t="s">
        <v>69</v>
      </c>
      <c r="I10" s="24" t="s">
        <v>69</v>
      </c>
      <c r="J10" s="24" t="s">
        <v>69</v>
      </c>
      <c r="K10" s="24" t="s">
        <v>69</v>
      </c>
      <c r="M10" s="104"/>
      <c r="N10" s="104"/>
      <c r="O10" s="104"/>
      <c r="P10" s="104"/>
      <c r="Q10" s="105"/>
      <c r="U10" s="19" t="s">
        <v>59</v>
      </c>
      <c r="V10" s="118">
        <v>1E-3</v>
      </c>
    </row>
    <row r="11" spans="1:22">
      <c r="A11" s="19" t="s">
        <v>58</v>
      </c>
      <c r="B11" s="18" t="s">
        <v>66</v>
      </c>
      <c r="C11" s="38">
        <v>1.0999999999999999E-2</v>
      </c>
      <c r="D11" s="9" t="s">
        <v>90</v>
      </c>
      <c r="H11" s="24" t="s">
        <v>69</v>
      </c>
      <c r="I11" s="24" t="s">
        <v>69</v>
      </c>
      <c r="J11" s="9" t="s">
        <v>85</v>
      </c>
      <c r="K11" s="24" t="s">
        <v>69</v>
      </c>
      <c r="M11" s="104"/>
      <c r="N11" s="104"/>
      <c r="O11" s="104"/>
      <c r="P11" s="104"/>
      <c r="Q11" s="105"/>
      <c r="U11" s="19" t="s">
        <v>60</v>
      </c>
      <c r="V11">
        <v>5.0000000000000001E-3</v>
      </c>
    </row>
    <row r="12" spans="1:22">
      <c r="A12" s="19"/>
      <c r="B12" s="18" t="s">
        <v>67</v>
      </c>
      <c r="H12" s="24" t="s">
        <v>69</v>
      </c>
      <c r="I12" s="24" t="s">
        <v>69</v>
      </c>
      <c r="J12" s="24" t="s">
        <v>69</v>
      </c>
      <c r="K12" s="24" t="s">
        <v>69</v>
      </c>
      <c r="M12" s="104"/>
      <c r="N12" s="104"/>
      <c r="O12" s="104"/>
      <c r="P12" s="104"/>
      <c r="Q12" s="105"/>
      <c r="U12" s="19" t="s">
        <v>61</v>
      </c>
      <c r="V12">
        <v>0</v>
      </c>
    </row>
    <row r="13" spans="1:22">
      <c r="A13" s="19" t="s">
        <v>59</v>
      </c>
      <c r="B13" s="18" t="s">
        <v>66</v>
      </c>
      <c r="C13" s="38">
        <v>1.0999999999999999E-2</v>
      </c>
      <c r="D13" s="9" t="s">
        <v>86</v>
      </c>
      <c r="H13" s="24" t="s">
        <v>69</v>
      </c>
      <c r="I13" s="24" t="s">
        <v>69</v>
      </c>
      <c r="J13" s="9" t="s">
        <v>85</v>
      </c>
      <c r="K13" s="24" t="s">
        <v>69</v>
      </c>
      <c r="M13" s="104"/>
      <c r="N13" s="104"/>
      <c r="O13" s="104"/>
      <c r="P13" s="104"/>
      <c r="Q13" s="105"/>
      <c r="U13" s="117" t="s">
        <v>206</v>
      </c>
      <c r="V13">
        <v>0</v>
      </c>
    </row>
    <row r="14" spans="1:22">
      <c r="A14" s="19"/>
      <c r="B14" s="18" t="s">
        <v>67</v>
      </c>
      <c r="H14" s="24" t="s">
        <v>69</v>
      </c>
      <c r="I14" s="24" t="s">
        <v>69</v>
      </c>
      <c r="J14" s="24" t="s">
        <v>69</v>
      </c>
      <c r="K14" s="24" t="s">
        <v>69</v>
      </c>
      <c r="M14" s="104"/>
      <c r="N14" s="104"/>
      <c r="O14" s="104"/>
      <c r="P14" s="104"/>
      <c r="Q14" s="105"/>
    </row>
    <row r="15" spans="1:22">
      <c r="A15" s="19" t="s">
        <v>60</v>
      </c>
      <c r="B15" s="18" t="s">
        <v>66</v>
      </c>
      <c r="C15" s="38">
        <v>1.0999999999999999E-2</v>
      </c>
      <c r="D15" s="9" t="s">
        <v>89</v>
      </c>
      <c r="H15" s="24" t="s">
        <v>69</v>
      </c>
      <c r="I15" s="24" t="s">
        <v>69</v>
      </c>
      <c r="J15" s="9" t="s">
        <v>85</v>
      </c>
      <c r="K15" s="24" t="s">
        <v>69</v>
      </c>
      <c r="M15" s="104"/>
      <c r="N15" s="104"/>
      <c r="O15" s="104"/>
      <c r="P15" s="104"/>
      <c r="Q15" s="105"/>
      <c r="U15" s="19"/>
    </row>
    <row r="16" spans="1:22">
      <c r="A16" s="19"/>
      <c r="B16" s="18" t="s">
        <v>67</v>
      </c>
      <c r="H16" s="24" t="s">
        <v>69</v>
      </c>
      <c r="I16" s="24" t="s">
        <v>69</v>
      </c>
      <c r="J16" s="24" t="s">
        <v>69</v>
      </c>
      <c r="K16" s="24" t="s">
        <v>69</v>
      </c>
      <c r="M16" s="104"/>
      <c r="N16" s="104"/>
      <c r="O16" s="104"/>
      <c r="P16" s="104"/>
      <c r="Q16" s="105"/>
    </row>
    <row r="17" spans="1:21">
      <c r="A17" s="19" t="s">
        <v>61</v>
      </c>
      <c r="B17" s="18" t="s">
        <v>66</v>
      </c>
      <c r="C17" s="24">
        <v>0</v>
      </c>
      <c r="D17" s="24" t="s">
        <v>69</v>
      </c>
      <c r="E17" s="24" t="s">
        <v>69</v>
      </c>
      <c r="F17" s="24" t="s">
        <v>69</v>
      </c>
      <c r="G17" s="24" t="s">
        <v>69</v>
      </c>
      <c r="H17" s="24" t="s">
        <v>69</v>
      </c>
      <c r="I17" s="24" t="s">
        <v>69</v>
      </c>
      <c r="J17" s="24" t="s">
        <v>69</v>
      </c>
      <c r="K17" s="24" t="s">
        <v>69</v>
      </c>
      <c r="M17" s="104"/>
      <c r="N17" s="104"/>
      <c r="O17" s="104"/>
      <c r="P17" s="104"/>
      <c r="Q17" s="105"/>
      <c r="U17" s="19"/>
    </row>
    <row r="18" spans="1:21">
      <c r="A18" s="19"/>
      <c r="B18" s="18" t="s">
        <v>67</v>
      </c>
      <c r="C18" s="24">
        <v>0</v>
      </c>
      <c r="D18" s="24" t="s">
        <v>69</v>
      </c>
      <c r="E18" s="24" t="s">
        <v>69</v>
      </c>
      <c r="F18" s="24" t="s">
        <v>69</v>
      </c>
      <c r="G18" s="24" t="s">
        <v>69</v>
      </c>
      <c r="H18" s="24" t="s">
        <v>69</v>
      </c>
      <c r="I18" s="24" t="s">
        <v>69</v>
      </c>
      <c r="J18" s="24" t="s">
        <v>69</v>
      </c>
      <c r="K18" s="24" t="s">
        <v>69</v>
      </c>
      <c r="M18" s="104"/>
      <c r="N18" s="104"/>
      <c r="O18" s="104"/>
      <c r="P18" s="104"/>
      <c r="Q18" s="105"/>
      <c r="S18">
        <v>0</v>
      </c>
    </row>
    <row r="19" spans="1:21">
      <c r="A19" s="19" t="s">
        <v>62</v>
      </c>
      <c r="B19" s="18" t="s">
        <v>66</v>
      </c>
      <c r="C19" s="24">
        <v>0</v>
      </c>
      <c r="D19" s="24" t="s">
        <v>69</v>
      </c>
      <c r="E19" s="24" t="s">
        <v>69</v>
      </c>
      <c r="F19" s="24" t="s">
        <v>69</v>
      </c>
      <c r="G19" s="24" t="s">
        <v>69</v>
      </c>
      <c r="H19" s="24" t="s">
        <v>69</v>
      </c>
      <c r="I19" s="24" t="s">
        <v>69</v>
      </c>
      <c r="J19" s="24" t="s">
        <v>69</v>
      </c>
      <c r="K19" s="24" t="s">
        <v>69</v>
      </c>
      <c r="M19" s="104"/>
      <c r="N19" s="104"/>
      <c r="O19" s="104"/>
      <c r="P19" s="104"/>
      <c r="Q19" s="105"/>
      <c r="U19" s="19"/>
    </row>
    <row r="20" spans="1:21">
      <c r="B20" s="18" t="s">
        <v>67</v>
      </c>
      <c r="C20" s="24">
        <v>0</v>
      </c>
      <c r="D20" s="24" t="s">
        <v>69</v>
      </c>
      <c r="E20" s="24" t="s">
        <v>69</v>
      </c>
      <c r="F20" s="24" t="s">
        <v>69</v>
      </c>
      <c r="G20" s="24" t="s">
        <v>69</v>
      </c>
      <c r="H20" s="24" t="s">
        <v>69</v>
      </c>
      <c r="I20" s="24" t="s">
        <v>69</v>
      </c>
      <c r="J20" s="24" t="s">
        <v>69</v>
      </c>
      <c r="K20" s="24" t="s">
        <v>69</v>
      </c>
      <c r="M20" s="104"/>
      <c r="N20" s="104"/>
      <c r="O20" s="104"/>
      <c r="P20" s="104"/>
      <c r="Q20" s="105"/>
    </row>
    <row r="21" spans="1:21" s="47" customFormat="1">
      <c r="A21" s="20" t="s">
        <v>68</v>
      </c>
      <c r="B21" s="21" t="s">
        <v>66</v>
      </c>
      <c r="C21" s="61">
        <f>C9+C11</f>
        <v>6.9000000000000006E-2</v>
      </c>
      <c r="D21" s="37"/>
      <c r="E21" s="60"/>
      <c r="F21" s="20"/>
      <c r="G21" s="20"/>
      <c r="H21" s="20"/>
      <c r="I21" s="20"/>
      <c r="J21" s="20"/>
      <c r="K21" s="20"/>
      <c r="M21" s="74">
        <v>0.15</v>
      </c>
      <c r="N21" s="74">
        <v>0.22</v>
      </c>
      <c r="O21" s="74">
        <v>0.15</v>
      </c>
      <c r="P21" s="74">
        <v>0.3</v>
      </c>
      <c r="Q21" s="106">
        <v>0.15</v>
      </c>
      <c r="R21" s="74">
        <v>0.4</v>
      </c>
    </row>
    <row r="22" spans="1:21" s="103" customFormat="1">
      <c r="A22" s="22"/>
      <c r="B22" s="23" t="s">
        <v>67</v>
      </c>
      <c r="C22" s="22"/>
      <c r="D22" s="22"/>
      <c r="E22" s="22"/>
      <c r="F22" s="22"/>
      <c r="G22" s="22"/>
      <c r="H22" s="22"/>
      <c r="I22" s="22"/>
      <c r="J22" s="22"/>
      <c r="K22" s="22"/>
      <c r="M22" s="107"/>
      <c r="N22" s="107"/>
      <c r="O22" s="107"/>
      <c r="P22" s="107"/>
      <c r="Q22" s="108"/>
    </row>
    <row r="23" spans="1:21">
      <c r="A23" s="19" t="s">
        <v>55</v>
      </c>
      <c r="B23" s="18" t="s">
        <v>64</v>
      </c>
      <c r="H23" s="24" t="s">
        <v>69</v>
      </c>
      <c r="I23" s="24" t="s">
        <v>69</v>
      </c>
    </row>
    <row r="24" spans="1:21">
      <c r="A24" s="19"/>
      <c r="B24" s="18" t="s">
        <v>65</v>
      </c>
      <c r="H24" s="24" t="s">
        <v>69</v>
      </c>
      <c r="I24" s="24" t="s">
        <v>69</v>
      </c>
    </row>
    <row r="25" spans="1:21">
      <c r="A25" s="19" t="s">
        <v>56</v>
      </c>
      <c r="B25" s="18" t="s">
        <v>64</v>
      </c>
      <c r="H25" s="24" t="s">
        <v>69</v>
      </c>
      <c r="I25" s="24" t="s">
        <v>69</v>
      </c>
    </row>
    <row r="26" spans="1:21">
      <c r="A26" s="19"/>
      <c r="B26" s="18" t="s">
        <v>65</v>
      </c>
      <c r="H26" s="24" t="s">
        <v>69</v>
      </c>
      <c r="I26" s="24" t="s">
        <v>69</v>
      </c>
    </row>
    <row r="27" spans="1:21">
      <c r="A27" s="19" t="s">
        <v>57</v>
      </c>
      <c r="B27" s="18" t="s">
        <v>64</v>
      </c>
      <c r="H27" s="24" t="s">
        <v>69</v>
      </c>
      <c r="I27" s="24" t="s">
        <v>69</v>
      </c>
    </row>
    <row r="28" spans="1:21">
      <c r="A28" s="19"/>
      <c r="B28" s="18" t="s">
        <v>65</v>
      </c>
      <c r="H28" s="24" t="s">
        <v>69</v>
      </c>
      <c r="I28" s="24" t="s">
        <v>69</v>
      </c>
    </row>
    <row r="29" spans="1:21">
      <c r="A29" s="19" t="s">
        <v>58</v>
      </c>
      <c r="B29" s="18" t="s">
        <v>64</v>
      </c>
      <c r="H29" s="24" t="s">
        <v>69</v>
      </c>
      <c r="I29" s="24" t="s">
        <v>69</v>
      </c>
    </row>
    <row r="30" spans="1:21">
      <c r="A30" s="19"/>
      <c r="B30" s="18" t="s">
        <v>65</v>
      </c>
      <c r="H30" s="24" t="s">
        <v>69</v>
      </c>
      <c r="I30" s="24" t="s">
        <v>69</v>
      </c>
    </row>
    <row r="31" spans="1:21">
      <c r="A31" s="19" t="s">
        <v>59</v>
      </c>
      <c r="B31" s="18" t="s">
        <v>64</v>
      </c>
      <c r="H31" s="24" t="s">
        <v>69</v>
      </c>
      <c r="I31" s="24" t="s">
        <v>69</v>
      </c>
    </row>
    <row r="32" spans="1:21">
      <c r="A32" s="19"/>
      <c r="B32" s="18" t="s">
        <v>65</v>
      </c>
      <c r="H32" s="24" t="s">
        <v>69</v>
      </c>
      <c r="I32" s="24" t="s">
        <v>69</v>
      </c>
    </row>
    <row r="33" spans="1:11">
      <c r="A33" s="19" t="s">
        <v>60</v>
      </c>
      <c r="B33" s="18" t="s">
        <v>64</v>
      </c>
      <c r="H33" s="24" t="s">
        <v>69</v>
      </c>
      <c r="I33" s="24" t="s">
        <v>69</v>
      </c>
    </row>
    <row r="34" spans="1:11">
      <c r="A34" s="19"/>
      <c r="B34" s="18" t="s">
        <v>65</v>
      </c>
      <c r="H34" s="24" t="s">
        <v>69</v>
      </c>
      <c r="I34" s="24" t="s">
        <v>69</v>
      </c>
    </row>
    <row r="35" spans="1:11">
      <c r="A35" s="19" t="s">
        <v>61</v>
      </c>
      <c r="B35" s="18" t="s">
        <v>64</v>
      </c>
      <c r="C35" s="24">
        <v>0</v>
      </c>
      <c r="D35" s="24" t="s">
        <v>69</v>
      </c>
      <c r="E35" s="24" t="s">
        <v>69</v>
      </c>
      <c r="F35" s="24" t="s">
        <v>69</v>
      </c>
      <c r="G35" s="24" t="s">
        <v>69</v>
      </c>
      <c r="H35" s="24" t="s">
        <v>69</v>
      </c>
      <c r="I35" s="24" t="s">
        <v>69</v>
      </c>
      <c r="J35" s="24" t="s">
        <v>69</v>
      </c>
      <c r="K35" s="24" t="s">
        <v>69</v>
      </c>
    </row>
    <row r="36" spans="1:11">
      <c r="A36" s="19"/>
      <c r="B36" s="18" t="s">
        <v>65</v>
      </c>
      <c r="C36" s="24">
        <v>0</v>
      </c>
      <c r="D36" s="24" t="s">
        <v>69</v>
      </c>
      <c r="E36" s="24" t="s">
        <v>69</v>
      </c>
      <c r="F36" s="24" t="s">
        <v>69</v>
      </c>
      <c r="G36" s="24" t="s">
        <v>69</v>
      </c>
      <c r="H36" s="24" t="s">
        <v>69</v>
      </c>
      <c r="I36" s="24" t="s">
        <v>69</v>
      </c>
      <c r="J36" s="24" t="s">
        <v>69</v>
      </c>
      <c r="K36" s="24" t="s">
        <v>69</v>
      </c>
    </row>
    <row r="37" spans="1:11">
      <c r="A37" s="19" t="s">
        <v>62</v>
      </c>
      <c r="B37" s="18" t="s">
        <v>64</v>
      </c>
      <c r="C37" s="24">
        <v>0</v>
      </c>
      <c r="D37" s="24" t="s">
        <v>69</v>
      </c>
      <c r="E37" s="24" t="s">
        <v>69</v>
      </c>
      <c r="F37" s="24" t="s">
        <v>69</v>
      </c>
      <c r="G37" s="24" t="s">
        <v>69</v>
      </c>
      <c r="H37" s="24" t="s">
        <v>69</v>
      </c>
      <c r="I37" s="24" t="s">
        <v>69</v>
      </c>
      <c r="J37" s="24" t="s">
        <v>69</v>
      </c>
      <c r="K37" s="24" t="s">
        <v>69</v>
      </c>
    </row>
    <row r="38" spans="1:11">
      <c r="B38" s="18" t="s">
        <v>65</v>
      </c>
      <c r="C38" s="24">
        <v>0</v>
      </c>
      <c r="D38" s="24" t="s">
        <v>69</v>
      </c>
      <c r="E38" s="24" t="s">
        <v>69</v>
      </c>
      <c r="F38" s="24" t="s">
        <v>69</v>
      </c>
      <c r="G38" s="24" t="s">
        <v>69</v>
      </c>
      <c r="H38" s="24" t="s">
        <v>69</v>
      </c>
      <c r="I38" s="24" t="s">
        <v>69</v>
      </c>
      <c r="J38" s="24" t="s">
        <v>69</v>
      </c>
      <c r="K38" s="24" t="s">
        <v>69</v>
      </c>
    </row>
    <row r="39" spans="1:11" s="47" customFormat="1">
      <c r="A39" s="20" t="s">
        <v>68</v>
      </c>
      <c r="B39" s="21" t="s">
        <v>64</v>
      </c>
      <c r="C39" s="20"/>
      <c r="D39" s="37"/>
      <c r="E39" s="20"/>
      <c r="F39" s="20"/>
      <c r="G39" s="20"/>
      <c r="H39" s="20"/>
      <c r="I39" s="20"/>
      <c r="J39" s="20"/>
      <c r="K39" s="20"/>
    </row>
    <row r="40" spans="1:11" s="103" customFormat="1">
      <c r="A40" s="22"/>
      <c r="B40" s="23" t="s">
        <v>65</v>
      </c>
      <c r="C40" s="22"/>
      <c r="D40" s="22"/>
      <c r="E40" s="22"/>
      <c r="F40" s="22"/>
      <c r="G40" s="22"/>
      <c r="H40" s="22"/>
      <c r="I40" s="22"/>
      <c r="J40" s="22"/>
      <c r="K40" s="22"/>
    </row>
  </sheetData>
  <customSheetViews>
    <customSheetView guid="{4A56DCA2-EE2D-40DD-82F4-76121FFBC45C}">
      <pane xSplit="2" ySplit="4" topLeftCell="C5" activePane="bottomRight" state="frozen"/>
      <selection pane="bottomRight" activeCell="O26" sqref="O26"/>
      <pageMargins left="0.7" right="0.7" top="0.75" bottom="0.75" header="0.3" footer="0.3"/>
    </customSheetView>
  </customSheetView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
  <sheetViews>
    <sheetView workbookViewId="0">
      <pane xSplit="2" ySplit="5" topLeftCell="C6" activePane="bottomRight" state="frozen"/>
      <selection pane="topRight" activeCell="C1" sqref="C1"/>
      <selection pane="bottomLeft" activeCell="A6" sqref="A6"/>
      <selection pane="bottomRight" activeCell="A13" sqref="A13"/>
    </sheetView>
  </sheetViews>
  <sheetFormatPr defaultColWidth="9.109375" defaultRowHeight="14.4"/>
  <cols>
    <col min="2" max="2" width="17.44140625" customWidth="1"/>
    <col min="3" max="3" width="19.88671875" customWidth="1"/>
    <col min="4" max="4" width="13.44140625" customWidth="1"/>
    <col min="5" max="5" width="10.109375" customWidth="1"/>
    <col min="6" max="6" width="11.33203125" customWidth="1"/>
    <col min="7" max="7" width="10.6640625" style="12" customWidth="1"/>
    <col min="8" max="8" width="16" style="12" customWidth="1"/>
    <col min="9" max="9" width="9.109375" customWidth="1"/>
    <col min="10" max="10" width="11.44140625" customWidth="1"/>
    <col min="11" max="11" width="3.33203125" customWidth="1"/>
    <col min="13" max="13" width="24.5546875" customWidth="1"/>
    <col min="19" max="19" width="10.88671875" customWidth="1"/>
  </cols>
  <sheetData>
    <row r="1" spans="1:23" s="58" customFormat="1" ht="18">
      <c r="A1" s="3" t="s">
        <v>1</v>
      </c>
      <c r="B1" s="1"/>
      <c r="C1" s="3"/>
      <c r="D1" s="1"/>
      <c r="E1" s="1"/>
      <c r="F1" s="1"/>
      <c r="G1" s="41"/>
      <c r="H1" s="41"/>
      <c r="I1" s="1"/>
      <c r="J1" s="1"/>
    </row>
    <row r="2" spans="1:23" s="58" customFormat="1">
      <c r="A2" s="1" t="s">
        <v>73</v>
      </c>
      <c r="B2" s="1"/>
      <c r="C2" s="1"/>
      <c r="D2" s="1"/>
      <c r="E2" s="1"/>
      <c r="F2" s="1"/>
      <c r="G2" s="41"/>
      <c r="H2" s="41"/>
      <c r="I2" s="1"/>
      <c r="J2" s="1"/>
    </row>
    <row r="3" spans="1:23" s="8" customFormat="1">
      <c r="A3" s="25"/>
      <c r="B3" s="25"/>
      <c r="C3" s="25"/>
      <c r="D3" s="25"/>
      <c r="E3" s="16" t="s">
        <v>51</v>
      </c>
      <c r="F3" s="26"/>
      <c r="G3" s="56" t="s">
        <v>12</v>
      </c>
      <c r="H3" s="56"/>
      <c r="I3" s="16"/>
      <c r="J3" s="16"/>
    </row>
    <row r="4" spans="1:23" s="8" customFormat="1">
      <c r="A4" s="27" t="s">
        <v>7</v>
      </c>
      <c r="B4" s="27" t="s">
        <v>99</v>
      </c>
      <c r="C4" s="27" t="s">
        <v>100</v>
      </c>
      <c r="D4" s="27"/>
      <c r="E4" s="17" t="s">
        <v>4</v>
      </c>
      <c r="F4" s="17" t="s">
        <v>5</v>
      </c>
      <c r="G4" s="57" t="s">
        <v>70</v>
      </c>
      <c r="H4" s="57" t="s">
        <v>70</v>
      </c>
      <c r="I4" s="17" t="s">
        <v>71</v>
      </c>
      <c r="J4" s="17" t="s">
        <v>72</v>
      </c>
      <c r="L4" s="115" t="s">
        <v>156</v>
      </c>
      <c r="M4" s="8" t="s">
        <v>157</v>
      </c>
      <c r="N4" s="8" t="s">
        <v>158</v>
      </c>
      <c r="O4" s="8" t="s">
        <v>181</v>
      </c>
      <c r="R4" t="s">
        <v>96</v>
      </c>
      <c r="S4"/>
    </row>
    <row r="5" spans="1:23" s="8" customFormat="1">
      <c r="A5" s="27"/>
      <c r="B5" s="27"/>
      <c r="C5" s="27"/>
      <c r="D5" s="27"/>
      <c r="E5" s="17" t="s">
        <v>140</v>
      </c>
      <c r="F5" s="17" t="s">
        <v>141</v>
      </c>
      <c r="G5" s="57" t="s">
        <v>105</v>
      </c>
      <c r="H5" s="57"/>
      <c r="I5" s="17"/>
      <c r="J5" s="17"/>
      <c r="R5" s="50" t="s">
        <v>82</v>
      </c>
      <c r="S5" s="51" t="s">
        <v>97</v>
      </c>
    </row>
    <row r="6" spans="1:23">
      <c r="A6" t="s">
        <v>98</v>
      </c>
      <c r="B6" t="s">
        <v>17</v>
      </c>
      <c r="C6" s="110" t="s">
        <v>69</v>
      </c>
      <c r="D6" s="110" t="s">
        <v>69</v>
      </c>
      <c r="E6" s="12">
        <v>0</v>
      </c>
      <c r="F6" s="12">
        <v>0</v>
      </c>
      <c r="R6" s="52">
        <v>1979</v>
      </c>
      <c r="S6" s="53">
        <v>592500</v>
      </c>
    </row>
    <row r="7" spans="1:23">
      <c r="B7" t="s">
        <v>18</v>
      </c>
      <c r="C7" s="111" t="s">
        <v>83</v>
      </c>
      <c r="D7" s="9" t="s">
        <v>144</v>
      </c>
      <c r="E7" s="12">
        <v>95000</v>
      </c>
      <c r="F7" s="12">
        <v>150000</v>
      </c>
      <c r="G7" s="12">
        <v>90000</v>
      </c>
      <c r="H7" s="12">
        <v>90000</v>
      </c>
      <c r="I7" s="12">
        <v>2400</v>
      </c>
      <c r="L7" s="127">
        <f>M7/E7</f>
        <v>4.1578947368421056E-2</v>
      </c>
      <c r="M7">
        <v>3950</v>
      </c>
      <c r="R7" s="52">
        <v>1980</v>
      </c>
      <c r="S7" s="53">
        <v>873000</v>
      </c>
      <c r="W7" t="s">
        <v>223</v>
      </c>
    </row>
    <row r="8" spans="1:23">
      <c r="B8" t="s">
        <v>107</v>
      </c>
      <c r="C8" s="110" t="s">
        <v>69</v>
      </c>
      <c r="D8" s="110" t="s">
        <v>69</v>
      </c>
      <c r="E8" s="12">
        <v>0</v>
      </c>
      <c r="F8" s="12">
        <v>0</v>
      </c>
      <c r="L8" s="127"/>
      <c r="R8" s="52">
        <v>1981</v>
      </c>
      <c r="S8" s="53">
        <v>985000</v>
      </c>
      <c r="V8" s="62" t="str">
        <f>Summary!S31</f>
        <v>Klickitat (Skamania)</v>
      </c>
      <c r="W8" s="12">
        <f>Summary!V31+Summary!W31</f>
        <v>90000</v>
      </c>
    </row>
    <row r="9" spans="1:23">
      <c r="B9" t="s">
        <v>103</v>
      </c>
      <c r="C9" s="111" t="s">
        <v>104</v>
      </c>
      <c r="D9" s="9" t="s">
        <v>144</v>
      </c>
      <c r="E9" s="12">
        <v>175000</v>
      </c>
      <c r="F9" s="12">
        <v>263000</v>
      </c>
      <c r="H9" s="12">
        <v>162000</v>
      </c>
      <c r="L9" s="127">
        <v>2.4299999999999999E-2</v>
      </c>
      <c r="M9" s="12">
        <f>E9*L9</f>
        <v>4252.5</v>
      </c>
      <c r="R9" s="52">
        <v>1982</v>
      </c>
      <c r="S9" s="53">
        <v>1263500</v>
      </c>
      <c r="V9" s="62" t="str">
        <f>Summary!S32</f>
        <v>Deschutes (Round Butte)</v>
      </c>
      <c r="W9" s="12">
        <f>Summary!V32+Summary!W32</f>
        <v>570000</v>
      </c>
    </row>
    <row r="10" spans="1:23">
      <c r="C10" s="39"/>
      <c r="D10" s="9" t="s">
        <v>143</v>
      </c>
      <c r="E10" s="12">
        <v>670000</v>
      </c>
      <c r="F10" s="12">
        <v>830000</v>
      </c>
      <c r="H10" s="40" t="s">
        <v>106</v>
      </c>
      <c r="L10" s="127"/>
      <c r="R10" s="54">
        <v>1983</v>
      </c>
      <c r="S10" s="55">
        <v>1471500</v>
      </c>
      <c r="V10" s="62" t="str">
        <f>Summary!S33</f>
        <v>Umatilla (Umatilla)</v>
      </c>
      <c r="W10" s="12">
        <f>Summary!V33+Summary!W33</f>
        <v>150000</v>
      </c>
    </row>
    <row r="11" spans="1:23">
      <c r="B11" t="s">
        <v>19</v>
      </c>
      <c r="C11" s="110" t="s">
        <v>69</v>
      </c>
      <c r="D11" s="110" t="s">
        <v>69</v>
      </c>
      <c r="E11" s="109">
        <v>0</v>
      </c>
      <c r="F11" s="109">
        <v>0</v>
      </c>
      <c r="H11" s="40"/>
      <c r="L11" s="127"/>
      <c r="R11" s="54">
        <v>1984</v>
      </c>
      <c r="S11" s="55">
        <v>1587329</v>
      </c>
      <c r="V11" s="62" t="e">
        <f>Summary!#REF!</f>
        <v>#REF!</v>
      </c>
      <c r="W11" s="12" t="e">
        <f>Summary!#REF!+Summary!#REF!</f>
        <v>#REF!</v>
      </c>
    </row>
    <row r="12" spans="1:23">
      <c r="B12" t="s">
        <v>21</v>
      </c>
      <c r="C12" s="110" t="s">
        <v>69</v>
      </c>
      <c r="D12" s="110" t="s">
        <v>69</v>
      </c>
      <c r="E12" s="109">
        <v>0</v>
      </c>
      <c r="F12" s="109">
        <v>0</v>
      </c>
      <c r="H12" s="40"/>
      <c r="L12" s="127"/>
      <c r="R12" s="54">
        <v>1985</v>
      </c>
      <c r="S12" s="55">
        <v>1345923</v>
      </c>
      <c r="V12" s="62" t="str">
        <f>Summary!S34</f>
        <v>Walla Walla (Lyons Ferry)</v>
      </c>
      <c r="W12" s="12">
        <f>Summary!V34+Summary!W34</f>
        <v>100000</v>
      </c>
    </row>
    <row r="13" spans="1:23">
      <c r="B13" t="s">
        <v>28</v>
      </c>
      <c r="C13" s="111" t="s">
        <v>102</v>
      </c>
      <c r="D13" s="9" t="s">
        <v>144</v>
      </c>
      <c r="E13" s="109">
        <v>150000</v>
      </c>
      <c r="F13" s="109">
        <v>284000</v>
      </c>
      <c r="G13" s="12">
        <v>150000</v>
      </c>
      <c r="L13" s="127">
        <v>5.0000000000000001E-3</v>
      </c>
      <c r="M13" s="12">
        <f>E13*L13</f>
        <v>750</v>
      </c>
      <c r="O13">
        <v>1500</v>
      </c>
      <c r="R13" s="54">
        <v>1986</v>
      </c>
      <c r="S13" s="55">
        <v>1504450</v>
      </c>
      <c r="V13" s="62" t="str">
        <f>Summary!S35</f>
        <v>Touchet (Lyons Ferry)</v>
      </c>
      <c r="W13" s="12">
        <f>Summary!V35+Summary!W35</f>
        <v>50000</v>
      </c>
    </row>
    <row r="14" spans="1:23">
      <c r="C14" s="111"/>
      <c r="D14" s="9" t="s">
        <v>142</v>
      </c>
      <c r="E14" s="109">
        <v>0</v>
      </c>
      <c r="F14" s="109">
        <v>68000</v>
      </c>
      <c r="L14" s="127"/>
      <c r="R14" s="52">
        <v>1987</v>
      </c>
      <c r="S14" s="53">
        <v>1748868</v>
      </c>
      <c r="V14" s="62" t="str">
        <f>Summary!S36</f>
        <v xml:space="preserve">Yakima    </v>
      </c>
      <c r="W14" s="12">
        <f>Summary!V36+Summary!W36</f>
        <v>0</v>
      </c>
    </row>
    <row r="15" spans="1:23">
      <c r="B15" t="s">
        <v>138</v>
      </c>
      <c r="C15" s="111" t="s">
        <v>139</v>
      </c>
      <c r="D15" s="9" t="s">
        <v>144</v>
      </c>
      <c r="E15" s="109">
        <v>170000</v>
      </c>
      <c r="F15" s="109">
        <v>269000</v>
      </c>
      <c r="G15" s="63">
        <v>100000</v>
      </c>
      <c r="H15" s="12">
        <v>180000</v>
      </c>
      <c r="L15" s="127">
        <v>1.9E-2</v>
      </c>
      <c r="M15" s="12">
        <f>E15*L15</f>
        <v>3230</v>
      </c>
      <c r="N15" s="12">
        <f>M15</f>
        <v>3230</v>
      </c>
      <c r="R15" s="52">
        <v>1988</v>
      </c>
      <c r="S15" s="53">
        <v>2167000</v>
      </c>
    </row>
    <row r="16" spans="1:23">
      <c r="B16" t="s">
        <v>29</v>
      </c>
      <c r="C16" s="111" t="s">
        <v>101</v>
      </c>
      <c r="D16" s="9" t="s">
        <v>144</v>
      </c>
      <c r="E16" s="109">
        <v>107000</v>
      </c>
      <c r="F16" s="109">
        <v>241000</v>
      </c>
      <c r="G16" s="12">
        <v>100000</v>
      </c>
      <c r="L16" s="127">
        <v>1.15E-2</v>
      </c>
      <c r="M16" s="12">
        <f t="shared" ref="M16:M17" si="0">E16*L16</f>
        <v>1230.5</v>
      </c>
      <c r="R16" s="52">
        <v>1989</v>
      </c>
      <c r="S16" s="53">
        <v>1810287</v>
      </c>
    </row>
    <row r="17" spans="1:19">
      <c r="B17" t="s">
        <v>30</v>
      </c>
      <c r="C17" s="111" t="s">
        <v>101</v>
      </c>
      <c r="D17" s="9" t="s">
        <v>144</v>
      </c>
      <c r="E17" s="109">
        <v>153000</v>
      </c>
      <c r="F17" s="109">
        <v>183000</v>
      </c>
      <c r="G17" s="12">
        <v>135000</v>
      </c>
      <c r="H17" s="12">
        <v>150000</v>
      </c>
      <c r="L17" s="127">
        <v>1.1900000000000001E-2</v>
      </c>
      <c r="M17" s="12">
        <f t="shared" si="0"/>
        <v>1820.7</v>
      </c>
      <c r="R17" s="52">
        <v>1990</v>
      </c>
      <c r="S17" s="53">
        <v>1822491</v>
      </c>
    </row>
    <row r="18" spans="1:19">
      <c r="B18" t="s">
        <v>108</v>
      </c>
      <c r="C18" s="110" t="s">
        <v>69</v>
      </c>
      <c r="D18" s="110" t="s">
        <v>145</v>
      </c>
      <c r="E18" s="63">
        <v>300</v>
      </c>
      <c r="F18" s="12">
        <v>0</v>
      </c>
      <c r="G18" s="40" t="s">
        <v>146</v>
      </c>
      <c r="R18" s="54">
        <v>1991</v>
      </c>
      <c r="S18" s="55">
        <v>1913905</v>
      </c>
    </row>
    <row r="19" spans="1:19" s="59" customFormat="1">
      <c r="B19" s="33" t="s">
        <v>36</v>
      </c>
      <c r="C19" s="33"/>
      <c r="D19" s="33" t="s">
        <v>147</v>
      </c>
      <c r="E19" s="34">
        <f>E10+E14</f>
        <v>670000</v>
      </c>
      <c r="F19" s="34">
        <f>F10+F14</f>
        <v>898000</v>
      </c>
      <c r="G19" s="34">
        <f>G10+G14</f>
        <v>0</v>
      </c>
      <c r="H19" s="34"/>
      <c r="I19" s="33"/>
      <c r="J19" s="33"/>
      <c r="R19" s="54">
        <v>1992</v>
      </c>
      <c r="S19" s="55">
        <v>1382511</v>
      </c>
    </row>
    <row r="20" spans="1:19" s="59" customFormat="1">
      <c r="B20" s="33"/>
      <c r="C20" s="33"/>
      <c r="D20" s="33" t="s">
        <v>144</v>
      </c>
      <c r="E20" s="34">
        <f>E6+E7+E9+E13+E15+E16+E17</f>
        <v>850000</v>
      </c>
      <c r="F20" s="34">
        <f>F6+F7+F9+F13+F15+F16+F17</f>
        <v>1390000</v>
      </c>
      <c r="G20" s="34">
        <f>G6+G7+G9+G13+G15+G16+G17</f>
        <v>575000</v>
      </c>
      <c r="H20" s="34"/>
      <c r="I20" s="33"/>
      <c r="J20" s="33"/>
      <c r="R20" s="54">
        <v>1993</v>
      </c>
      <c r="S20" s="55">
        <v>1368682</v>
      </c>
    </row>
    <row r="21" spans="1:19" s="59" customFormat="1">
      <c r="B21" s="33"/>
      <c r="C21" s="33"/>
      <c r="D21" s="33" t="s">
        <v>145</v>
      </c>
      <c r="E21" s="34">
        <f>E18</f>
        <v>300</v>
      </c>
      <c r="F21" s="34">
        <f>F18</f>
        <v>0</v>
      </c>
      <c r="G21" s="112" t="s">
        <v>146</v>
      </c>
      <c r="H21" s="34"/>
      <c r="I21" s="33"/>
      <c r="J21" s="33"/>
      <c r="R21" s="54">
        <v>1994</v>
      </c>
      <c r="S21" s="55">
        <v>1440117</v>
      </c>
    </row>
    <row r="22" spans="1:19">
      <c r="R22" s="52">
        <v>1995</v>
      </c>
      <c r="S22" s="53">
        <v>1414719</v>
      </c>
    </row>
    <row r="23" spans="1:19">
      <c r="A23" t="s">
        <v>72</v>
      </c>
      <c r="B23" t="s">
        <v>17</v>
      </c>
      <c r="C23" s="110" t="s">
        <v>69</v>
      </c>
      <c r="D23" s="110"/>
      <c r="E23" s="12"/>
      <c r="F23" s="12"/>
      <c r="R23" s="52">
        <v>1996</v>
      </c>
      <c r="S23" s="53">
        <v>1411096</v>
      </c>
    </row>
    <row r="24" spans="1:19">
      <c r="B24" t="s">
        <v>18</v>
      </c>
      <c r="C24" s="111" t="s">
        <v>83</v>
      </c>
      <c r="D24" s="9"/>
      <c r="E24" s="12">
        <f>400*90/250</f>
        <v>144</v>
      </c>
      <c r="F24" s="12"/>
      <c r="G24" s="109"/>
      <c r="H24" s="109"/>
      <c r="R24" s="52">
        <v>1997</v>
      </c>
      <c r="S24" s="53">
        <v>1420394</v>
      </c>
    </row>
    <row r="25" spans="1:19">
      <c r="B25" t="s">
        <v>107</v>
      </c>
      <c r="C25" s="110" t="s">
        <v>69</v>
      </c>
      <c r="D25" s="110"/>
      <c r="E25" s="12"/>
      <c r="F25" s="12"/>
      <c r="G25" s="109"/>
      <c r="H25" s="109"/>
      <c r="R25" s="52">
        <v>1998</v>
      </c>
      <c r="S25" s="53">
        <v>1472296</v>
      </c>
    </row>
    <row r="26" spans="1:19">
      <c r="B26" t="s">
        <v>103</v>
      </c>
      <c r="C26" s="111" t="s">
        <v>104</v>
      </c>
      <c r="E26" s="12">
        <v>1100</v>
      </c>
      <c r="F26" s="12"/>
      <c r="G26" s="109"/>
      <c r="H26" s="109"/>
      <c r="R26" s="54">
        <v>1999</v>
      </c>
      <c r="S26" s="55">
        <v>1726741</v>
      </c>
    </row>
    <row r="27" spans="1:19">
      <c r="B27" t="s">
        <v>19</v>
      </c>
      <c r="C27" s="110" t="s">
        <v>69</v>
      </c>
      <c r="D27" s="110"/>
      <c r="E27" s="109"/>
      <c r="F27" s="109"/>
      <c r="G27" s="109"/>
      <c r="H27" s="109"/>
      <c r="R27" s="54">
        <v>2000</v>
      </c>
      <c r="S27" s="55">
        <v>1396898</v>
      </c>
    </row>
    <row r="28" spans="1:19">
      <c r="B28" t="s">
        <v>21</v>
      </c>
      <c r="C28" s="110" t="s">
        <v>69</v>
      </c>
      <c r="D28" s="110"/>
      <c r="E28" s="109"/>
      <c r="F28" s="109"/>
      <c r="G28" s="109"/>
      <c r="H28" s="109"/>
      <c r="R28" s="54">
        <v>2001</v>
      </c>
      <c r="S28" s="55">
        <v>1291813</v>
      </c>
    </row>
    <row r="29" spans="1:19">
      <c r="B29" t="s">
        <v>28</v>
      </c>
      <c r="C29" s="111" t="s">
        <v>102</v>
      </c>
      <c r="D29" s="9"/>
      <c r="E29" s="109">
        <v>110</v>
      </c>
      <c r="F29" s="109"/>
      <c r="G29" s="109"/>
      <c r="H29" s="109"/>
      <c r="R29" s="54">
        <v>2002</v>
      </c>
      <c r="S29" s="55">
        <v>1312693</v>
      </c>
    </row>
    <row r="30" spans="1:19">
      <c r="B30" t="s">
        <v>138</v>
      </c>
      <c r="C30" s="111" t="s">
        <v>139</v>
      </c>
      <c r="D30" s="9"/>
      <c r="E30" s="109">
        <v>300</v>
      </c>
      <c r="F30" s="109"/>
      <c r="G30" s="109"/>
      <c r="H30" s="109"/>
      <c r="R30" s="52">
        <v>2003</v>
      </c>
      <c r="S30" s="53">
        <v>1289063</v>
      </c>
    </row>
    <row r="31" spans="1:19">
      <c r="B31" t="s">
        <v>29</v>
      </c>
      <c r="C31" s="111" t="s">
        <v>101</v>
      </c>
      <c r="D31" s="9"/>
      <c r="E31" s="109">
        <v>35</v>
      </c>
      <c r="F31" s="109"/>
      <c r="G31" s="109"/>
      <c r="H31" s="109"/>
      <c r="R31" s="52">
        <v>2004</v>
      </c>
      <c r="S31" s="53">
        <v>1184775</v>
      </c>
    </row>
    <row r="32" spans="1:19">
      <c r="B32" t="s">
        <v>30</v>
      </c>
      <c r="C32" s="111" t="s">
        <v>101</v>
      </c>
      <c r="D32" s="9"/>
      <c r="E32" s="109">
        <v>88</v>
      </c>
      <c r="F32" s="109"/>
      <c r="G32" s="109"/>
      <c r="H32" s="109"/>
      <c r="R32" s="52">
        <v>2005</v>
      </c>
      <c r="S32" s="53">
        <v>1209657</v>
      </c>
    </row>
    <row r="33" spans="2:19">
      <c r="B33" t="s">
        <v>108</v>
      </c>
      <c r="C33" s="110" t="s">
        <v>69</v>
      </c>
      <c r="D33" s="110"/>
      <c r="E33" s="63"/>
      <c r="F33" s="12"/>
      <c r="G33" s="40"/>
      <c r="R33" s="52">
        <v>2006</v>
      </c>
      <c r="S33" s="53">
        <v>1556020</v>
      </c>
    </row>
    <row r="34" spans="2:19">
      <c r="B34" s="33" t="s">
        <v>36</v>
      </c>
      <c r="C34" s="33"/>
      <c r="D34" s="33"/>
      <c r="E34" s="34" t="e">
        <f>#REF!+#REF!</f>
        <v>#REF!</v>
      </c>
      <c r="F34" s="34" t="e">
        <f>#REF!+#REF!</f>
        <v>#REF!</v>
      </c>
      <c r="G34" s="34" t="e">
        <f>#REF!+#REF!</f>
        <v>#REF!</v>
      </c>
      <c r="H34" s="34"/>
      <c r="I34" s="33"/>
      <c r="J34" s="33"/>
      <c r="R34" s="54">
        <v>2007</v>
      </c>
      <c r="S34" s="55">
        <v>1403489</v>
      </c>
    </row>
    <row r="35" spans="2:19">
      <c r="R35" s="54">
        <v>2008</v>
      </c>
      <c r="S35" s="55">
        <v>1262643</v>
      </c>
    </row>
    <row r="36" spans="2:19">
      <c r="R36" s="54">
        <v>2009</v>
      </c>
      <c r="S36" s="55">
        <v>1284980</v>
      </c>
    </row>
    <row r="37" spans="2:19">
      <c r="R37" s="54">
        <v>2010</v>
      </c>
      <c r="S37" s="55">
        <v>1395770</v>
      </c>
    </row>
    <row r="38" spans="2:19">
      <c r="R38" s="52">
        <v>2011</v>
      </c>
      <c r="S38" s="53">
        <v>1357861</v>
      </c>
    </row>
    <row r="39" spans="2:19">
      <c r="R39" s="52">
        <v>2012</v>
      </c>
      <c r="S39" s="53">
        <v>1155480</v>
      </c>
    </row>
    <row r="40" spans="2:19">
      <c r="E40" s="49"/>
      <c r="R40" s="52">
        <v>2013</v>
      </c>
      <c r="S40" s="53">
        <v>1041435</v>
      </c>
    </row>
    <row r="41" spans="2:19">
      <c r="R41" s="52">
        <v>2014</v>
      </c>
      <c r="S41" s="53">
        <v>1172575</v>
      </c>
    </row>
  </sheetData>
  <customSheetViews>
    <customSheetView guid="{4A56DCA2-EE2D-40DD-82F4-76121FFBC45C}">
      <pane xSplit="2" ySplit="5" topLeftCell="C6" activePane="bottomRight" state="frozen"/>
      <selection pane="bottomRight" activeCell="M28" sqref="M28"/>
      <pageMargins left="0.7" right="0.7" top="0.75" bottom="0.75" header="0.3" footer="0.3"/>
      <pageSetup orientation="portrait" r:id="rId1"/>
    </customSheetView>
  </customSheetViews>
  <pageMargins left="0.7" right="0.7" top="0.75" bottom="0.75" header="0.3" footer="0.3"/>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70"/>
  <sheetViews>
    <sheetView workbookViewId="0">
      <pane ySplit="1" topLeftCell="A29" activePane="bottomLeft" state="frozen"/>
      <selection pane="bottomLeft" activeCell="E62" sqref="E62"/>
    </sheetView>
  </sheetViews>
  <sheetFormatPr defaultRowHeight="14.4"/>
  <cols>
    <col min="3" max="3" width="14.33203125" bestFit="1" customWidth="1"/>
    <col min="4" max="4" width="11.6640625" bestFit="1" customWidth="1"/>
    <col min="5" max="5" width="12" bestFit="1" customWidth="1"/>
    <col min="6" max="6" width="15.88671875" bestFit="1" customWidth="1"/>
    <col min="7" max="7" width="11.33203125" bestFit="1" customWidth="1"/>
    <col min="8" max="8" width="13.88671875" bestFit="1" customWidth="1"/>
    <col min="250" max="250" width="14.33203125" bestFit="1" customWidth="1"/>
    <col min="259" max="259" width="14.33203125" bestFit="1" customWidth="1"/>
    <col min="506" max="506" width="14.33203125" bestFit="1" customWidth="1"/>
    <col min="515" max="515" width="14.33203125" bestFit="1" customWidth="1"/>
    <col min="762" max="762" width="14.33203125" bestFit="1" customWidth="1"/>
    <col min="771" max="771" width="14.33203125" bestFit="1" customWidth="1"/>
    <col min="1018" max="1018" width="14.33203125" bestFit="1" customWidth="1"/>
    <col min="1027" max="1027" width="14.33203125" bestFit="1" customWidth="1"/>
    <col min="1274" max="1274" width="14.33203125" bestFit="1" customWidth="1"/>
    <col min="1283" max="1283" width="14.33203125" bestFit="1" customWidth="1"/>
    <col min="1530" max="1530" width="14.33203125" bestFit="1" customWidth="1"/>
    <col min="1539" max="1539" width="14.33203125" bestFit="1" customWidth="1"/>
    <col min="1786" max="1786" width="14.33203125" bestFit="1" customWidth="1"/>
    <col min="1795" max="1795" width="14.33203125" bestFit="1" customWidth="1"/>
    <col min="2042" max="2042" width="14.33203125" bestFit="1" customWidth="1"/>
    <col min="2051" max="2051" width="14.33203125" bestFit="1" customWidth="1"/>
    <col min="2298" max="2298" width="14.33203125" bestFit="1" customWidth="1"/>
    <col min="2307" max="2307" width="14.33203125" bestFit="1" customWidth="1"/>
    <col min="2554" max="2554" width="14.33203125" bestFit="1" customWidth="1"/>
    <col min="2563" max="2563" width="14.33203125" bestFit="1" customWidth="1"/>
    <col min="2810" max="2810" width="14.33203125" bestFit="1" customWidth="1"/>
    <col min="2819" max="2819" width="14.33203125" bestFit="1" customWidth="1"/>
    <col min="3066" max="3066" width="14.33203125" bestFit="1" customWidth="1"/>
    <col min="3075" max="3075" width="14.33203125" bestFit="1" customWidth="1"/>
    <col min="3322" max="3322" width="14.33203125" bestFit="1" customWidth="1"/>
    <col min="3331" max="3331" width="14.33203125" bestFit="1" customWidth="1"/>
    <col min="3578" max="3578" width="14.33203125" bestFit="1" customWidth="1"/>
    <col min="3587" max="3587" width="14.33203125" bestFit="1" customWidth="1"/>
    <col min="3834" max="3834" width="14.33203125" bestFit="1" customWidth="1"/>
    <col min="3843" max="3843" width="14.33203125" bestFit="1" customWidth="1"/>
    <col min="4090" max="4090" width="14.33203125" bestFit="1" customWidth="1"/>
    <col min="4099" max="4099" width="14.33203125" bestFit="1" customWidth="1"/>
    <col min="4346" max="4346" width="14.33203125" bestFit="1" customWidth="1"/>
    <col min="4355" max="4355" width="14.33203125" bestFit="1" customWidth="1"/>
    <col min="4602" max="4602" width="14.33203125" bestFit="1" customWidth="1"/>
    <col min="4611" max="4611" width="14.33203125" bestFit="1" customWidth="1"/>
    <col min="4858" max="4858" width="14.33203125" bestFit="1" customWidth="1"/>
    <col min="4867" max="4867" width="14.33203125" bestFit="1" customWidth="1"/>
    <col min="5114" max="5114" width="14.33203125" bestFit="1" customWidth="1"/>
    <col min="5123" max="5123" width="14.33203125" bestFit="1" customWidth="1"/>
    <col min="5370" max="5370" width="14.33203125" bestFit="1" customWidth="1"/>
    <col min="5379" max="5379" width="14.33203125" bestFit="1" customWidth="1"/>
    <col min="5626" max="5626" width="14.33203125" bestFit="1" customWidth="1"/>
    <col min="5635" max="5635" width="14.33203125" bestFit="1" customWidth="1"/>
    <col min="5882" max="5882" width="14.33203125" bestFit="1" customWidth="1"/>
    <col min="5891" max="5891" width="14.33203125" bestFit="1" customWidth="1"/>
    <col min="6138" max="6138" width="14.33203125" bestFit="1" customWidth="1"/>
    <col min="6147" max="6147" width="14.33203125" bestFit="1" customWidth="1"/>
    <col min="6394" max="6394" width="14.33203125" bestFit="1" customWidth="1"/>
    <col min="6403" max="6403" width="14.33203125" bestFit="1" customWidth="1"/>
    <col min="6650" max="6650" width="14.33203125" bestFit="1" customWidth="1"/>
    <col min="6659" max="6659" width="14.33203125" bestFit="1" customWidth="1"/>
    <col min="6906" max="6906" width="14.33203125" bestFit="1" customWidth="1"/>
    <col min="6915" max="6915" width="14.33203125" bestFit="1" customWidth="1"/>
    <col min="7162" max="7162" width="14.33203125" bestFit="1" customWidth="1"/>
    <col min="7171" max="7171" width="14.33203125" bestFit="1" customWidth="1"/>
    <col min="7418" max="7418" width="14.33203125" bestFit="1" customWidth="1"/>
    <col min="7427" max="7427" width="14.33203125" bestFit="1" customWidth="1"/>
    <col min="7674" max="7674" width="14.33203125" bestFit="1" customWidth="1"/>
    <col min="7683" max="7683" width="14.33203125" bestFit="1" customWidth="1"/>
    <col min="7930" max="7930" width="14.33203125" bestFit="1" customWidth="1"/>
    <col min="7939" max="7939" width="14.33203125" bestFit="1" customWidth="1"/>
    <col min="8186" max="8186" width="14.33203125" bestFit="1" customWidth="1"/>
    <col min="8195" max="8195" width="14.33203125" bestFit="1" customWidth="1"/>
    <col min="8442" max="8442" width="14.33203125" bestFit="1" customWidth="1"/>
    <col min="8451" max="8451" width="14.33203125" bestFit="1" customWidth="1"/>
    <col min="8698" max="8698" width="14.33203125" bestFit="1" customWidth="1"/>
    <col min="8707" max="8707" width="14.33203125" bestFit="1" customWidth="1"/>
    <col min="8954" max="8954" width="14.33203125" bestFit="1" customWidth="1"/>
    <col min="8963" max="8963" width="14.33203125" bestFit="1" customWidth="1"/>
    <col min="9210" max="9210" width="14.33203125" bestFit="1" customWidth="1"/>
    <col min="9219" max="9219" width="14.33203125" bestFit="1" customWidth="1"/>
    <col min="9466" max="9466" width="14.33203125" bestFit="1" customWidth="1"/>
    <col min="9475" max="9475" width="14.33203125" bestFit="1" customWidth="1"/>
    <col min="9722" max="9722" width="14.33203125" bestFit="1" customWidth="1"/>
    <col min="9731" max="9731" width="14.33203125" bestFit="1" customWidth="1"/>
    <col min="9978" max="9978" width="14.33203125" bestFit="1" customWidth="1"/>
    <col min="9987" max="9987" width="14.33203125" bestFit="1" customWidth="1"/>
    <col min="10234" max="10234" width="14.33203125" bestFit="1" customWidth="1"/>
    <col min="10243" max="10243" width="14.33203125" bestFit="1" customWidth="1"/>
    <col min="10490" max="10490" width="14.33203125" bestFit="1" customWidth="1"/>
    <col min="10499" max="10499" width="14.33203125" bestFit="1" customWidth="1"/>
    <col min="10746" max="10746" width="14.33203125" bestFit="1" customWidth="1"/>
    <col min="10755" max="10755" width="14.33203125" bestFit="1" customWidth="1"/>
    <col min="11002" max="11002" width="14.33203125" bestFit="1" customWidth="1"/>
    <col min="11011" max="11011" width="14.33203125" bestFit="1" customWidth="1"/>
    <col min="11258" max="11258" width="14.33203125" bestFit="1" customWidth="1"/>
    <col min="11267" max="11267" width="14.33203125" bestFit="1" customWidth="1"/>
    <col min="11514" max="11514" width="14.33203125" bestFit="1" customWidth="1"/>
    <col min="11523" max="11523" width="14.33203125" bestFit="1" customWidth="1"/>
    <col min="11770" max="11770" width="14.33203125" bestFit="1" customWidth="1"/>
    <col min="11779" max="11779" width="14.33203125" bestFit="1" customWidth="1"/>
    <col min="12026" max="12026" width="14.33203125" bestFit="1" customWidth="1"/>
    <col min="12035" max="12035" width="14.33203125" bestFit="1" customWidth="1"/>
    <col min="12282" max="12282" width="14.33203125" bestFit="1" customWidth="1"/>
    <col min="12291" max="12291" width="14.33203125" bestFit="1" customWidth="1"/>
    <col min="12538" max="12538" width="14.33203125" bestFit="1" customWidth="1"/>
    <col min="12547" max="12547" width="14.33203125" bestFit="1" customWidth="1"/>
    <col min="12794" max="12794" width="14.33203125" bestFit="1" customWidth="1"/>
    <col min="12803" max="12803" width="14.33203125" bestFit="1" customWidth="1"/>
    <col min="13050" max="13050" width="14.33203125" bestFit="1" customWidth="1"/>
    <col min="13059" max="13059" width="14.33203125" bestFit="1" customWidth="1"/>
    <col min="13306" max="13306" width="14.33203125" bestFit="1" customWidth="1"/>
    <col min="13315" max="13315" width="14.33203125" bestFit="1" customWidth="1"/>
    <col min="13562" max="13562" width="14.33203125" bestFit="1" customWidth="1"/>
    <col min="13571" max="13571" width="14.33203125" bestFit="1" customWidth="1"/>
    <col min="13818" max="13818" width="14.33203125" bestFit="1" customWidth="1"/>
    <col min="13827" max="13827" width="14.33203125" bestFit="1" customWidth="1"/>
    <col min="14074" max="14074" width="14.33203125" bestFit="1" customWidth="1"/>
    <col min="14083" max="14083" width="14.33203125" bestFit="1" customWidth="1"/>
    <col min="14330" max="14330" width="14.33203125" bestFit="1" customWidth="1"/>
    <col min="14339" max="14339" width="14.33203125" bestFit="1" customWidth="1"/>
    <col min="14586" max="14586" width="14.33203125" bestFit="1" customWidth="1"/>
    <col min="14595" max="14595" width="14.33203125" bestFit="1" customWidth="1"/>
    <col min="14842" max="14842" width="14.33203125" bestFit="1" customWidth="1"/>
    <col min="14851" max="14851" width="14.33203125" bestFit="1" customWidth="1"/>
    <col min="15098" max="15098" width="14.33203125" bestFit="1" customWidth="1"/>
    <col min="15107" max="15107" width="14.33203125" bestFit="1" customWidth="1"/>
    <col min="15354" max="15354" width="14.33203125" bestFit="1" customWidth="1"/>
    <col min="15363" max="15363" width="14.33203125" bestFit="1" customWidth="1"/>
    <col min="15610" max="15610" width="14.33203125" bestFit="1" customWidth="1"/>
    <col min="15619" max="15619" width="14.33203125" bestFit="1" customWidth="1"/>
    <col min="15866" max="15866" width="14.33203125" bestFit="1" customWidth="1"/>
    <col min="15875" max="15875" width="14.33203125" bestFit="1" customWidth="1"/>
    <col min="16122" max="16122" width="14.33203125" bestFit="1" customWidth="1"/>
    <col min="16131" max="16131" width="14.33203125" bestFit="1" customWidth="1"/>
  </cols>
  <sheetData>
    <row r="1" spans="2:11">
      <c r="C1" t="s">
        <v>164</v>
      </c>
      <c r="D1" t="s">
        <v>165</v>
      </c>
      <c r="E1" t="s">
        <v>166</v>
      </c>
      <c r="F1" t="s">
        <v>167</v>
      </c>
      <c r="G1" s="12" t="s">
        <v>168</v>
      </c>
      <c r="H1" t="s">
        <v>169</v>
      </c>
    </row>
    <row r="2" spans="2:11" ht="15" thickBot="1">
      <c r="B2" s="119">
        <v>1959</v>
      </c>
      <c r="C2" s="120">
        <v>5324</v>
      </c>
      <c r="F2" s="12">
        <v>1003</v>
      </c>
      <c r="H2" s="49">
        <f t="shared" ref="H2:H57" si="0">SUM(C2:G2)</f>
        <v>6327</v>
      </c>
    </row>
    <row r="3" spans="2:11" ht="15" thickBot="1">
      <c r="B3" s="121">
        <v>1960</v>
      </c>
      <c r="C3" s="122">
        <v>1996</v>
      </c>
      <c r="F3" s="12">
        <v>1147</v>
      </c>
      <c r="G3" s="12"/>
      <c r="H3" s="49">
        <f t="shared" si="0"/>
        <v>3143</v>
      </c>
    </row>
    <row r="4" spans="2:11" ht="15" thickBot="1">
      <c r="B4" s="121">
        <v>1961</v>
      </c>
      <c r="C4" s="122">
        <v>4437</v>
      </c>
      <c r="F4" s="12">
        <v>1465</v>
      </c>
      <c r="G4" s="12">
        <v>556</v>
      </c>
      <c r="H4" s="49">
        <f t="shared" si="0"/>
        <v>6458</v>
      </c>
      <c r="K4">
        <v>0</v>
      </c>
    </row>
    <row r="5" spans="2:11" ht="15" thickBot="1">
      <c r="B5" s="121">
        <v>1962</v>
      </c>
      <c r="C5" s="122">
        <v>2773</v>
      </c>
      <c r="F5" s="12">
        <v>1024</v>
      </c>
      <c r="G5" s="12">
        <v>2454</v>
      </c>
      <c r="H5" s="49">
        <f t="shared" si="0"/>
        <v>6251</v>
      </c>
      <c r="K5">
        <v>500</v>
      </c>
    </row>
    <row r="6" spans="2:11" ht="15" thickBot="1">
      <c r="B6" s="121">
        <v>1963</v>
      </c>
      <c r="C6" s="122">
        <v>2329</v>
      </c>
      <c r="F6" s="12">
        <v>2397</v>
      </c>
      <c r="G6" s="12">
        <v>262</v>
      </c>
      <c r="H6" s="49">
        <f t="shared" si="0"/>
        <v>4988</v>
      </c>
    </row>
    <row r="7" spans="2:11" ht="15" thickBot="1">
      <c r="B7" s="121">
        <v>1964</v>
      </c>
      <c r="C7" s="122">
        <v>2662</v>
      </c>
      <c r="D7" s="12">
        <v>3098</v>
      </c>
      <c r="E7" s="12"/>
      <c r="F7" s="12">
        <v>2214</v>
      </c>
      <c r="G7" s="12">
        <v>1243</v>
      </c>
      <c r="H7" s="49">
        <f t="shared" si="0"/>
        <v>9217</v>
      </c>
    </row>
    <row r="8" spans="2:11" ht="15" thickBot="1">
      <c r="B8" s="121">
        <v>1965</v>
      </c>
      <c r="C8" s="122">
        <v>3180</v>
      </c>
      <c r="F8" s="12">
        <v>1308</v>
      </c>
      <c r="G8" s="12">
        <v>2557</v>
      </c>
      <c r="H8" s="49">
        <f t="shared" si="0"/>
        <v>7045</v>
      </c>
    </row>
    <row r="9" spans="2:11" ht="15" thickBot="1">
      <c r="B9" s="121">
        <v>1966</v>
      </c>
      <c r="C9" s="122">
        <v>6981</v>
      </c>
      <c r="D9" s="12">
        <v>10235</v>
      </c>
      <c r="E9" s="12">
        <v>3289</v>
      </c>
      <c r="F9" s="12">
        <v>5169</v>
      </c>
      <c r="G9" s="12">
        <v>2729</v>
      </c>
      <c r="H9" s="49">
        <f t="shared" si="0"/>
        <v>28403</v>
      </c>
    </row>
    <row r="10" spans="2:11" ht="15" thickBot="1">
      <c r="B10" s="121">
        <v>1967</v>
      </c>
      <c r="C10" s="122">
        <v>5546</v>
      </c>
      <c r="D10" s="12">
        <v>5928</v>
      </c>
      <c r="E10" s="12">
        <v>2102</v>
      </c>
      <c r="F10" s="12">
        <v>4097</v>
      </c>
      <c r="G10" s="12">
        <v>1221</v>
      </c>
      <c r="H10" s="49">
        <f t="shared" si="0"/>
        <v>18894</v>
      </c>
    </row>
    <row r="11" spans="2:11" ht="15" thickBot="1">
      <c r="B11" s="121">
        <v>1968</v>
      </c>
      <c r="C11" s="122">
        <v>3784</v>
      </c>
      <c r="D11" s="12">
        <v>2490</v>
      </c>
      <c r="E11" s="12">
        <v>970</v>
      </c>
      <c r="F11" s="12">
        <v>1420</v>
      </c>
      <c r="G11" s="12">
        <v>76</v>
      </c>
      <c r="H11" s="49">
        <f t="shared" si="0"/>
        <v>8740</v>
      </c>
    </row>
    <row r="12" spans="2:11" ht="15" thickBot="1">
      <c r="B12" s="121">
        <v>1969</v>
      </c>
      <c r="C12" s="122">
        <v>2981</v>
      </c>
      <c r="D12" s="12">
        <v>5311</v>
      </c>
      <c r="E12" s="12">
        <v>675</v>
      </c>
      <c r="F12" s="12">
        <v>1724</v>
      </c>
      <c r="G12" s="12">
        <v>1436</v>
      </c>
      <c r="H12" s="49">
        <f t="shared" si="0"/>
        <v>12127</v>
      </c>
    </row>
    <row r="13" spans="2:11" ht="15" thickBot="1">
      <c r="B13" s="121">
        <v>1970</v>
      </c>
      <c r="C13" s="122">
        <v>4648</v>
      </c>
      <c r="D13" s="12">
        <v>2371</v>
      </c>
      <c r="E13" s="12">
        <v>3036</v>
      </c>
      <c r="F13" s="12">
        <v>1992</v>
      </c>
      <c r="G13" s="12">
        <v>1254</v>
      </c>
      <c r="H13" s="49">
        <f t="shared" si="0"/>
        <v>13301</v>
      </c>
    </row>
    <row r="14" spans="2:11" ht="15" thickBot="1">
      <c r="B14" s="121">
        <v>1971</v>
      </c>
      <c r="C14" s="121"/>
      <c r="D14" s="12">
        <v>3161</v>
      </c>
      <c r="E14" s="12"/>
      <c r="F14" s="12"/>
      <c r="G14" s="12">
        <v>1254</v>
      </c>
      <c r="H14" s="49">
        <f t="shared" si="0"/>
        <v>4415</v>
      </c>
    </row>
    <row r="15" spans="2:11" ht="15" thickBot="1">
      <c r="B15" s="121">
        <v>1972</v>
      </c>
      <c r="C15" s="122">
        <v>1378</v>
      </c>
      <c r="D15" s="12">
        <v>3003</v>
      </c>
      <c r="E15" s="12">
        <v>1265</v>
      </c>
      <c r="F15" s="12">
        <v>1747</v>
      </c>
      <c r="G15" s="12">
        <v>1306</v>
      </c>
      <c r="H15" s="49">
        <f t="shared" si="0"/>
        <v>8699</v>
      </c>
    </row>
    <row r="16" spans="2:11" ht="15" thickBot="1">
      <c r="B16" s="121">
        <v>1973</v>
      </c>
      <c r="C16" s="122">
        <v>1635</v>
      </c>
      <c r="D16" s="12">
        <v>1362</v>
      </c>
      <c r="E16" s="12">
        <v>795</v>
      </c>
      <c r="F16" s="12">
        <v>1097</v>
      </c>
      <c r="G16" s="12">
        <v>819</v>
      </c>
      <c r="H16" s="49">
        <f t="shared" si="0"/>
        <v>5708</v>
      </c>
    </row>
    <row r="17" spans="2:8" ht="15" thickBot="1">
      <c r="B17" s="121">
        <v>1974</v>
      </c>
      <c r="C17" s="122">
        <v>1512</v>
      </c>
      <c r="E17" s="12">
        <v>1181</v>
      </c>
      <c r="F17" s="12">
        <v>951</v>
      </c>
      <c r="G17" s="12">
        <v>828</v>
      </c>
      <c r="H17" s="49">
        <f t="shared" si="0"/>
        <v>4472</v>
      </c>
    </row>
    <row r="18" spans="2:8" ht="15" thickBot="1">
      <c r="B18" s="121">
        <v>1975</v>
      </c>
      <c r="C18" s="122">
        <v>4991</v>
      </c>
      <c r="E18" s="12">
        <v>1771</v>
      </c>
      <c r="F18" s="12">
        <v>1239</v>
      </c>
      <c r="G18" s="12">
        <v>1484</v>
      </c>
      <c r="H18" s="49">
        <f t="shared" si="0"/>
        <v>9485</v>
      </c>
    </row>
    <row r="19" spans="2:8" ht="15" thickBot="1">
      <c r="B19" s="121">
        <v>1976</v>
      </c>
      <c r="C19" s="122">
        <v>2797</v>
      </c>
      <c r="D19" s="12">
        <v>2371</v>
      </c>
      <c r="E19" s="12">
        <v>2446</v>
      </c>
      <c r="F19" s="12">
        <v>1199</v>
      </c>
      <c r="G19" s="12">
        <v>772</v>
      </c>
      <c r="H19" s="49">
        <f t="shared" si="0"/>
        <v>9585</v>
      </c>
    </row>
    <row r="20" spans="2:8" ht="15" thickBot="1">
      <c r="B20" s="121">
        <v>1977</v>
      </c>
      <c r="C20" s="121"/>
      <c r="D20" s="12">
        <v>1940</v>
      </c>
      <c r="E20" s="12">
        <v>3458</v>
      </c>
      <c r="F20" s="12">
        <v>2157</v>
      </c>
      <c r="G20" s="12">
        <v>1023</v>
      </c>
      <c r="H20" s="49">
        <f t="shared" si="0"/>
        <v>8578</v>
      </c>
    </row>
    <row r="21" spans="2:8" ht="15" thickBot="1">
      <c r="B21" s="121">
        <v>1978</v>
      </c>
      <c r="C21" s="122">
        <v>3176</v>
      </c>
      <c r="D21" s="12">
        <v>1868</v>
      </c>
      <c r="E21" s="12">
        <v>2418</v>
      </c>
      <c r="F21" s="12">
        <v>1078</v>
      </c>
      <c r="G21" s="12">
        <v>588</v>
      </c>
      <c r="H21" s="49">
        <f t="shared" si="0"/>
        <v>9128</v>
      </c>
    </row>
    <row r="22" spans="2:8" ht="15" thickBot="1">
      <c r="B22" s="121">
        <v>1979</v>
      </c>
      <c r="C22" s="121">
        <v>111</v>
      </c>
      <c r="D22">
        <v>757</v>
      </c>
      <c r="E22">
        <v>337</v>
      </c>
      <c r="F22" s="12">
        <v>215</v>
      </c>
      <c r="G22" s="12">
        <v>214</v>
      </c>
      <c r="H22" s="49">
        <f t="shared" si="0"/>
        <v>1634</v>
      </c>
    </row>
    <row r="23" spans="2:8" ht="15" thickBot="1">
      <c r="B23" s="121">
        <v>1980</v>
      </c>
      <c r="C23" s="122">
        <v>2329</v>
      </c>
      <c r="D23" s="12">
        <v>2633</v>
      </c>
      <c r="E23" s="12">
        <v>815</v>
      </c>
      <c r="F23" s="12">
        <v>1031</v>
      </c>
      <c r="G23" s="12">
        <v>451</v>
      </c>
      <c r="H23" s="49">
        <f t="shared" si="0"/>
        <v>7259</v>
      </c>
    </row>
    <row r="24" spans="2:8" ht="15" thickBot="1">
      <c r="B24" s="121">
        <v>1981</v>
      </c>
      <c r="C24" s="122">
        <v>2420</v>
      </c>
      <c r="D24" s="12">
        <v>2390</v>
      </c>
      <c r="E24" s="12">
        <v>1318</v>
      </c>
      <c r="F24" s="12">
        <v>701</v>
      </c>
      <c r="G24" s="12">
        <v>467</v>
      </c>
      <c r="H24" s="49">
        <f t="shared" si="0"/>
        <v>7296</v>
      </c>
    </row>
    <row r="25" spans="2:8" ht="15" thickBot="1">
      <c r="B25" s="121">
        <v>1982</v>
      </c>
      <c r="C25" s="122">
        <v>1714</v>
      </c>
      <c r="D25" s="12">
        <v>2473</v>
      </c>
      <c r="E25" s="12">
        <v>1160</v>
      </c>
      <c r="F25" s="12">
        <v>801</v>
      </c>
      <c r="G25" s="12">
        <v>824</v>
      </c>
      <c r="H25" s="49">
        <f t="shared" si="0"/>
        <v>6972</v>
      </c>
    </row>
    <row r="26" spans="2:8" ht="15" thickBot="1">
      <c r="B26" s="121">
        <v>1983</v>
      </c>
      <c r="C26" s="122">
        <v>1815</v>
      </c>
      <c r="D26" s="12">
        <v>1153</v>
      </c>
      <c r="E26" s="12">
        <v>884</v>
      </c>
      <c r="F26">
        <v>964</v>
      </c>
      <c r="G26" s="12">
        <v>821</v>
      </c>
      <c r="H26" s="49">
        <f t="shared" si="0"/>
        <v>5637</v>
      </c>
    </row>
    <row r="27" spans="2:8" ht="15" thickBot="1">
      <c r="B27" s="121">
        <v>1984</v>
      </c>
      <c r="C27" s="122">
        <v>1916</v>
      </c>
      <c r="D27">
        <v>704</v>
      </c>
      <c r="E27">
        <v>739</v>
      </c>
      <c r="F27" s="12">
        <v>1150</v>
      </c>
      <c r="G27">
        <v>687</v>
      </c>
      <c r="H27" s="49">
        <f t="shared" si="0"/>
        <v>5196</v>
      </c>
    </row>
    <row r="28" spans="2:8" ht="15" thickBot="1">
      <c r="B28" s="121">
        <v>1985</v>
      </c>
      <c r="C28" s="122">
        <v>2521</v>
      </c>
      <c r="D28" s="12">
        <v>5264</v>
      </c>
      <c r="E28" s="12">
        <v>2373</v>
      </c>
      <c r="F28" s="12">
        <v>2143</v>
      </c>
      <c r="G28" s="12">
        <v>1423</v>
      </c>
      <c r="H28" s="49">
        <f t="shared" si="0"/>
        <v>13724</v>
      </c>
    </row>
    <row r="29" spans="2:8" ht="15" thickBot="1">
      <c r="B29" s="121">
        <v>1986</v>
      </c>
      <c r="C29" s="122">
        <v>7468</v>
      </c>
      <c r="D29" s="12">
        <v>4895</v>
      </c>
      <c r="E29" s="12">
        <v>3538</v>
      </c>
      <c r="F29" s="12">
        <v>3275</v>
      </c>
      <c r="G29" s="12">
        <v>1069</v>
      </c>
      <c r="H29" s="49">
        <f t="shared" si="0"/>
        <v>20245</v>
      </c>
    </row>
    <row r="30" spans="2:8" ht="15" thickBot="1">
      <c r="B30" s="121">
        <v>1987</v>
      </c>
      <c r="C30" s="122">
        <v>10557</v>
      </c>
      <c r="D30" s="12">
        <v>4754</v>
      </c>
      <c r="E30" s="12">
        <v>2899</v>
      </c>
      <c r="F30" s="12">
        <v>3520</v>
      </c>
      <c r="G30" s="12">
        <v>1947</v>
      </c>
      <c r="H30" s="49">
        <f t="shared" si="0"/>
        <v>23677</v>
      </c>
    </row>
    <row r="31" spans="2:8" ht="15" thickBot="1">
      <c r="B31" s="121">
        <v>1988</v>
      </c>
      <c r="C31" s="122">
        <v>5546</v>
      </c>
      <c r="D31" s="12">
        <v>2603</v>
      </c>
      <c r="E31" s="12">
        <v>3471</v>
      </c>
      <c r="F31" s="12">
        <v>4235</v>
      </c>
      <c r="G31" s="12">
        <v>1958</v>
      </c>
      <c r="H31" s="49">
        <f t="shared" si="0"/>
        <v>17813</v>
      </c>
    </row>
    <row r="32" spans="2:8" ht="15" thickBot="1">
      <c r="B32" s="121">
        <v>1989</v>
      </c>
      <c r="C32" s="122">
        <v>2366</v>
      </c>
      <c r="D32">
        <v>687</v>
      </c>
      <c r="E32" s="12">
        <v>1433</v>
      </c>
      <c r="F32">
        <v>839</v>
      </c>
      <c r="G32" s="12">
        <v>239</v>
      </c>
      <c r="H32" s="49">
        <f t="shared" si="0"/>
        <v>5564</v>
      </c>
    </row>
    <row r="33" spans="2:8" ht="15" thickBot="1">
      <c r="B33" s="121">
        <v>1990</v>
      </c>
      <c r="C33" s="122">
        <v>2133</v>
      </c>
      <c r="D33">
        <v>369</v>
      </c>
      <c r="E33">
        <v>961</v>
      </c>
      <c r="F33" s="12">
        <v>1321</v>
      </c>
      <c r="G33">
        <v>332</v>
      </c>
      <c r="H33" s="49">
        <f t="shared" si="0"/>
        <v>5116</v>
      </c>
    </row>
    <row r="34" spans="2:8" ht="15" thickBot="1">
      <c r="B34" s="121">
        <v>1991</v>
      </c>
      <c r="C34" s="122">
        <v>1264</v>
      </c>
      <c r="D34">
        <v>415</v>
      </c>
      <c r="F34" s="12">
        <v>853</v>
      </c>
      <c r="G34" s="12">
        <v>331</v>
      </c>
      <c r="H34" s="49">
        <f t="shared" si="0"/>
        <v>2863</v>
      </c>
    </row>
    <row r="35" spans="2:8" ht="15" thickBot="1">
      <c r="B35" s="121">
        <v>1992</v>
      </c>
      <c r="C35" s="122">
        <v>1889</v>
      </c>
      <c r="D35" s="12">
        <v>2154</v>
      </c>
      <c r="E35" s="12">
        <v>2810</v>
      </c>
      <c r="F35" s="12">
        <v>1950</v>
      </c>
      <c r="G35" s="12">
        <v>473</v>
      </c>
      <c r="H35" s="49">
        <f t="shared" si="0"/>
        <v>9276</v>
      </c>
    </row>
    <row r="36" spans="2:8" ht="15" thickBot="1">
      <c r="B36" s="121">
        <v>1993</v>
      </c>
      <c r="C36" s="121">
        <v>972</v>
      </c>
      <c r="D36">
        <v>855</v>
      </c>
      <c r="E36">
        <v>805</v>
      </c>
      <c r="F36" s="12">
        <v>528</v>
      </c>
      <c r="G36" s="12">
        <v>367</v>
      </c>
      <c r="H36" s="49">
        <f t="shared" si="0"/>
        <v>3527</v>
      </c>
    </row>
    <row r="37" spans="2:8" ht="15" thickBot="1">
      <c r="B37" s="121">
        <v>1994</v>
      </c>
      <c r="C37" s="121">
        <v>577</v>
      </c>
      <c r="D37" s="12">
        <v>1050</v>
      </c>
      <c r="E37" s="12">
        <v>981</v>
      </c>
      <c r="F37">
        <v>943</v>
      </c>
      <c r="G37" s="12">
        <v>522</v>
      </c>
      <c r="H37" s="49">
        <f t="shared" si="0"/>
        <v>4073</v>
      </c>
    </row>
    <row r="38" spans="2:8" ht="15" thickBot="1">
      <c r="B38" s="121">
        <v>1995</v>
      </c>
      <c r="C38" s="121">
        <v>755</v>
      </c>
      <c r="D38">
        <v>640</v>
      </c>
      <c r="E38">
        <v>450</v>
      </c>
      <c r="F38" s="12">
        <v>185</v>
      </c>
      <c r="G38">
        <v>168</v>
      </c>
      <c r="H38" s="49">
        <f t="shared" si="0"/>
        <v>2198</v>
      </c>
    </row>
    <row r="39" spans="2:8" ht="15" thickBot="1">
      <c r="B39" s="121">
        <v>1996</v>
      </c>
      <c r="C39" s="122">
        <v>1041</v>
      </c>
      <c r="D39" s="12">
        <v>1981</v>
      </c>
      <c r="E39" s="12">
        <v>564</v>
      </c>
      <c r="F39">
        <v>361</v>
      </c>
      <c r="G39" s="12">
        <v>135</v>
      </c>
      <c r="H39" s="49">
        <f t="shared" si="0"/>
        <v>4082</v>
      </c>
    </row>
    <row r="40" spans="2:8" ht="15" thickBot="1">
      <c r="B40" s="121">
        <v>1997</v>
      </c>
      <c r="C40" s="121">
        <v>911</v>
      </c>
      <c r="D40">
        <v>961</v>
      </c>
      <c r="E40">
        <v>436</v>
      </c>
      <c r="F40">
        <v>341</v>
      </c>
      <c r="G40">
        <v>173</v>
      </c>
      <c r="H40" s="49">
        <f t="shared" si="0"/>
        <v>2822</v>
      </c>
    </row>
    <row r="41" spans="2:8" ht="15" thickBot="1">
      <c r="B41" s="121">
        <v>1998</v>
      </c>
      <c r="C41" s="121">
        <v>625</v>
      </c>
      <c r="D41">
        <v>978</v>
      </c>
      <c r="E41">
        <v>457</v>
      </c>
      <c r="F41" s="12">
        <v>704</v>
      </c>
      <c r="G41">
        <v>110</v>
      </c>
      <c r="H41" s="49">
        <f t="shared" si="0"/>
        <v>2874</v>
      </c>
    </row>
    <row r="42" spans="2:8" ht="15" thickBot="1">
      <c r="B42" s="121">
        <v>1999</v>
      </c>
      <c r="C42" s="122">
        <v>1894</v>
      </c>
      <c r="D42" s="12">
        <v>1626</v>
      </c>
      <c r="E42" s="12">
        <v>945</v>
      </c>
      <c r="F42" s="12">
        <v>326</v>
      </c>
      <c r="G42" s="12">
        <v>103</v>
      </c>
      <c r="H42" s="49">
        <f t="shared" si="0"/>
        <v>4894</v>
      </c>
    </row>
    <row r="43" spans="2:8" ht="15" thickBot="1">
      <c r="B43" s="121">
        <v>2000</v>
      </c>
      <c r="C43" s="122">
        <v>5524</v>
      </c>
      <c r="D43" s="12">
        <v>2143</v>
      </c>
      <c r="E43" s="12">
        <v>1066</v>
      </c>
      <c r="F43" s="12">
        <v>567</v>
      </c>
      <c r="G43" s="12">
        <v>263</v>
      </c>
      <c r="H43" s="49">
        <f t="shared" si="0"/>
        <v>9563</v>
      </c>
    </row>
    <row r="44" spans="2:8" ht="15" thickBot="1">
      <c r="B44" s="121">
        <v>2001</v>
      </c>
      <c r="C44" s="122">
        <v>5544</v>
      </c>
      <c r="D44" s="12">
        <v>2235</v>
      </c>
      <c r="E44" s="12">
        <v>1063</v>
      </c>
      <c r="F44" s="12">
        <v>566</v>
      </c>
      <c r="G44" s="12">
        <v>526</v>
      </c>
      <c r="H44" s="49">
        <f t="shared" si="0"/>
        <v>9934</v>
      </c>
    </row>
    <row r="45" spans="2:8" ht="15" thickBot="1">
      <c r="B45" s="121">
        <v>2002</v>
      </c>
      <c r="C45" s="122">
        <v>7381</v>
      </c>
      <c r="D45" s="12">
        <v>4097</v>
      </c>
      <c r="E45" s="12">
        <v>3140</v>
      </c>
      <c r="F45" s="12">
        <v>1599</v>
      </c>
      <c r="G45" s="12">
        <v>987</v>
      </c>
      <c r="H45" s="49">
        <f t="shared" si="0"/>
        <v>17204</v>
      </c>
    </row>
    <row r="46" spans="2:8" ht="15" thickBot="1">
      <c r="B46" s="121">
        <v>2003</v>
      </c>
      <c r="C46" s="122">
        <v>2200</v>
      </c>
      <c r="D46" s="12">
        <v>2878</v>
      </c>
      <c r="E46" s="12">
        <v>1104</v>
      </c>
      <c r="F46" s="12">
        <v>771</v>
      </c>
      <c r="G46" s="12">
        <v>708</v>
      </c>
      <c r="H46" s="49">
        <f t="shared" si="0"/>
        <v>7661</v>
      </c>
    </row>
    <row r="47" spans="2:8" ht="15" thickBot="1">
      <c r="B47" s="121">
        <v>2004</v>
      </c>
      <c r="C47" s="122">
        <v>1031</v>
      </c>
      <c r="D47" s="12">
        <v>1027</v>
      </c>
      <c r="E47" s="12">
        <v>723</v>
      </c>
      <c r="F47" s="12">
        <v>415</v>
      </c>
      <c r="G47" s="12">
        <v>304</v>
      </c>
      <c r="H47" s="49">
        <f t="shared" si="0"/>
        <v>3500</v>
      </c>
    </row>
    <row r="48" spans="2:8" ht="15" thickBot="1">
      <c r="B48" s="121">
        <v>2005</v>
      </c>
      <c r="C48" s="121">
        <v>516</v>
      </c>
      <c r="D48" s="12">
        <v>1674</v>
      </c>
      <c r="E48" s="12">
        <v>234</v>
      </c>
      <c r="F48">
        <v>392</v>
      </c>
      <c r="G48" s="12">
        <v>206</v>
      </c>
      <c r="H48" s="49">
        <f t="shared" si="0"/>
        <v>3022</v>
      </c>
    </row>
    <row r="49" spans="2:18" ht="15" thickBot="1">
      <c r="B49" s="121">
        <v>2006</v>
      </c>
      <c r="C49" s="121">
        <v>508</v>
      </c>
      <c r="D49">
        <v>707</v>
      </c>
      <c r="E49">
        <v>214</v>
      </c>
      <c r="F49" s="12">
        <v>148</v>
      </c>
      <c r="G49">
        <v>269</v>
      </c>
      <c r="H49" s="49">
        <f t="shared" si="0"/>
        <v>1846</v>
      </c>
    </row>
    <row r="50" spans="2:18" ht="15" thickBot="1">
      <c r="B50" s="121">
        <v>2007</v>
      </c>
      <c r="C50" s="122">
        <v>1449</v>
      </c>
      <c r="D50" s="12">
        <v>1264</v>
      </c>
      <c r="E50" s="12">
        <v>707</v>
      </c>
      <c r="F50" s="12">
        <v>590</v>
      </c>
      <c r="G50" s="12">
        <v>618</v>
      </c>
      <c r="H50" s="49">
        <f t="shared" si="0"/>
        <v>4628</v>
      </c>
    </row>
    <row r="51" spans="2:18" ht="15" thickBot="1">
      <c r="B51" s="121">
        <v>2008</v>
      </c>
      <c r="C51" s="121">
        <v>840</v>
      </c>
      <c r="D51" s="12">
        <v>1241</v>
      </c>
      <c r="E51" s="12">
        <v>972</v>
      </c>
      <c r="F51" s="12">
        <v>914</v>
      </c>
      <c r="G51" s="12">
        <v>1142</v>
      </c>
      <c r="H51" s="49">
        <f t="shared" si="0"/>
        <v>5109</v>
      </c>
    </row>
    <row r="52" spans="2:18" ht="15" thickBot="1">
      <c r="B52" s="121">
        <v>2009</v>
      </c>
      <c r="C52" s="122">
        <v>3563</v>
      </c>
      <c r="D52" s="12">
        <v>3904</v>
      </c>
      <c r="E52" s="12">
        <v>2968</v>
      </c>
      <c r="F52" s="12">
        <v>732</v>
      </c>
      <c r="G52" s="12">
        <v>1756</v>
      </c>
      <c r="H52" s="49">
        <f t="shared" si="0"/>
        <v>12923</v>
      </c>
    </row>
    <row r="53" spans="2:18" ht="15" thickBot="1">
      <c r="B53" s="121">
        <v>2010</v>
      </c>
      <c r="C53" s="122">
        <v>1124</v>
      </c>
      <c r="D53" s="12">
        <v>2918</v>
      </c>
      <c r="E53" s="12">
        <v>2597</v>
      </c>
      <c r="F53" s="12">
        <v>736</v>
      </c>
      <c r="G53" s="12">
        <v>416</v>
      </c>
      <c r="H53" s="49">
        <f t="shared" si="0"/>
        <v>7791</v>
      </c>
    </row>
    <row r="54" spans="2:18" ht="15" thickBot="1">
      <c r="B54" s="121">
        <v>2011</v>
      </c>
      <c r="C54" s="122">
        <v>2191</v>
      </c>
      <c r="D54" s="12">
        <v>2890</v>
      </c>
      <c r="E54" s="12">
        <v>5372</v>
      </c>
      <c r="F54" s="12">
        <v>1057</v>
      </c>
      <c r="G54" s="12">
        <v>910</v>
      </c>
      <c r="H54" s="49">
        <f t="shared" si="0"/>
        <v>12420</v>
      </c>
    </row>
    <row r="55" spans="2:18" ht="15" thickBot="1">
      <c r="B55" s="121">
        <v>2012</v>
      </c>
      <c r="C55" s="122">
        <v>3538</v>
      </c>
      <c r="D55" s="12">
        <v>4588</v>
      </c>
      <c r="E55" s="12">
        <v>5117</v>
      </c>
      <c r="F55" s="12">
        <v>1035</v>
      </c>
      <c r="G55" s="12">
        <v>2057</v>
      </c>
      <c r="H55" s="49">
        <f t="shared" si="0"/>
        <v>16335</v>
      </c>
    </row>
    <row r="56" spans="2:18" ht="15" thickBot="1">
      <c r="B56" s="121">
        <v>2013</v>
      </c>
      <c r="C56" s="122">
        <v>1121</v>
      </c>
      <c r="D56" s="12">
        <v>2094</v>
      </c>
      <c r="E56" s="12">
        <v>5248</v>
      </c>
      <c r="F56" s="12">
        <v>1490</v>
      </c>
      <c r="G56" s="12">
        <v>1704</v>
      </c>
      <c r="H56" s="49">
        <f t="shared" si="0"/>
        <v>11657</v>
      </c>
    </row>
    <row r="57" spans="2:18" ht="15" thickBot="1">
      <c r="B57" s="123">
        <v>2014</v>
      </c>
      <c r="C57" s="124">
        <v>9070</v>
      </c>
      <c r="D57" s="12">
        <v>2190</v>
      </c>
      <c r="E57" s="12">
        <v>6510</v>
      </c>
      <c r="F57" s="12">
        <v>1247</v>
      </c>
      <c r="G57" s="12">
        <v>1488</v>
      </c>
      <c r="H57" s="49">
        <f t="shared" si="0"/>
        <v>20505</v>
      </c>
    </row>
    <row r="59" spans="2:18">
      <c r="B59" t="s">
        <v>170</v>
      </c>
      <c r="C59">
        <f t="shared" ref="C59:H59" si="1">MAX(C2:C57)</f>
        <v>10557</v>
      </c>
      <c r="D59">
        <f t="shared" si="1"/>
        <v>10235</v>
      </c>
      <c r="E59">
        <f t="shared" si="1"/>
        <v>6510</v>
      </c>
      <c r="F59">
        <f t="shared" si="1"/>
        <v>5169</v>
      </c>
      <c r="G59">
        <f t="shared" si="1"/>
        <v>2729</v>
      </c>
      <c r="H59">
        <f t="shared" si="1"/>
        <v>28403</v>
      </c>
    </row>
    <row r="60" spans="2:18">
      <c r="B60" t="s">
        <v>171</v>
      </c>
      <c r="C60">
        <f t="shared" ref="C60:H60" si="2">MIN(C2:C57)</f>
        <v>111</v>
      </c>
      <c r="D60">
        <f t="shared" si="2"/>
        <v>369</v>
      </c>
      <c r="E60">
        <f t="shared" si="2"/>
        <v>214</v>
      </c>
      <c r="F60">
        <f t="shared" si="2"/>
        <v>148</v>
      </c>
      <c r="G60">
        <f t="shared" si="2"/>
        <v>76</v>
      </c>
      <c r="H60">
        <f t="shared" si="2"/>
        <v>1634</v>
      </c>
    </row>
    <row r="61" spans="2:18">
      <c r="B61" t="s">
        <v>172</v>
      </c>
      <c r="C61" s="49">
        <f t="shared" ref="C61:H61" si="3">AVERAGE(C2:C57)</f>
        <v>2936.1851851851852</v>
      </c>
      <c r="D61" s="49">
        <f t="shared" si="3"/>
        <v>2465.2083333333335</v>
      </c>
      <c r="E61" s="49">
        <f t="shared" si="3"/>
        <v>1868.4468085106382</v>
      </c>
      <c r="F61" s="49">
        <f t="shared" si="3"/>
        <v>1328.6</v>
      </c>
      <c r="G61" s="49">
        <f t="shared" si="3"/>
        <v>889.44444444444446</v>
      </c>
      <c r="H61" s="49">
        <f t="shared" si="3"/>
        <v>8675.0714285714294</v>
      </c>
    </row>
    <row r="63" spans="2:18">
      <c r="B63" t="s">
        <v>180</v>
      </c>
      <c r="C63" s="12">
        <f>GEOMEAN(C48:C57)</f>
        <v>1586.0089453548565</v>
      </c>
      <c r="D63" s="12">
        <f t="shared" ref="D63:H63" si="4">GEOMEAN(D48:D57)</f>
        <v>2046.0822430687408</v>
      </c>
      <c r="E63" s="12">
        <f t="shared" si="4"/>
        <v>1736.3518702127628</v>
      </c>
      <c r="F63" s="12">
        <f t="shared" si="4"/>
        <v>713.64182376093959</v>
      </c>
      <c r="G63" s="12">
        <f t="shared" si="4"/>
        <v>818.88706800924547</v>
      </c>
      <c r="H63" s="12">
        <f t="shared" si="4"/>
        <v>7601.335935901775</v>
      </c>
      <c r="M63" s="8" t="s">
        <v>117</v>
      </c>
      <c r="N63" s="8"/>
      <c r="O63" s="8"/>
      <c r="P63" s="8"/>
      <c r="Q63" s="8" t="s">
        <v>173</v>
      </c>
      <c r="R63" s="8"/>
    </row>
    <row r="64" spans="2:18">
      <c r="M64" s="125" t="s">
        <v>38</v>
      </c>
      <c r="N64" s="125" t="s">
        <v>39</v>
      </c>
      <c r="O64" s="125" t="s">
        <v>40</v>
      </c>
      <c r="P64" s="125" t="s">
        <v>171</v>
      </c>
      <c r="Q64" s="125" t="s">
        <v>172</v>
      </c>
      <c r="R64" s="125" t="s">
        <v>170</v>
      </c>
    </row>
    <row r="65" spans="11:18">
      <c r="K65" t="s">
        <v>174</v>
      </c>
      <c r="M65">
        <v>2250</v>
      </c>
      <c r="N65">
        <v>3375</v>
      </c>
      <c r="O65">
        <v>4500</v>
      </c>
      <c r="P65">
        <v>111</v>
      </c>
      <c r="Q65">
        <v>2936</v>
      </c>
      <c r="R65">
        <v>10557</v>
      </c>
    </row>
    <row r="66" spans="11:18">
      <c r="K66" t="s">
        <v>175</v>
      </c>
      <c r="M66">
        <v>1500</v>
      </c>
      <c r="N66">
        <v>2250</v>
      </c>
      <c r="O66">
        <v>3000</v>
      </c>
      <c r="P66">
        <v>369</v>
      </c>
      <c r="Q66">
        <v>2465</v>
      </c>
      <c r="R66">
        <v>10235</v>
      </c>
    </row>
    <row r="67" spans="11:18">
      <c r="K67" t="s">
        <v>176</v>
      </c>
      <c r="M67">
        <v>1000</v>
      </c>
      <c r="N67">
        <v>1500</v>
      </c>
      <c r="O67">
        <v>2000</v>
      </c>
      <c r="P67">
        <v>214</v>
      </c>
      <c r="Q67">
        <v>1868</v>
      </c>
      <c r="R67">
        <v>6510</v>
      </c>
    </row>
    <row r="68" spans="11:18">
      <c r="K68" t="s">
        <v>177</v>
      </c>
      <c r="M68">
        <v>500</v>
      </c>
      <c r="N68">
        <v>750</v>
      </c>
      <c r="O68">
        <v>1000</v>
      </c>
      <c r="P68">
        <v>76</v>
      </c>
      <c r="Q68">
        <v>889</v>
      </c>
      <c r="R68">
        <v>2729</v>
      </c>
    </row>
    <row r="69" spans="11:18">
      <c r="K69" t="s">
        <v>167</v>
      </c>
      <c r="M69">
        <v>1000</v>
      </c>
      <c r="N69">
        <v>1500</v>
      </c>
      <c r="O69">
        <v>2000</v>
      </c>
      <c r="P69">
        <v>148</v>
      </c>
      <c r="Q69">
        <v>1329</v>
      </c>
      <c r="R69">
        <v>5169</v>
      </c>
    </row>
    <row r="70" spans="11:18">
      <c r="K70" t="s">
        <v>68</v>
      </c>
      <c r="M70">
        <v>6250</v>
      </c>
      <c r="N70">
        <v>9375</v>
      </c>
      <c r="O70">
        <v>12500</v>
      </c>
      <c r="P70">
        <f>SUM(P65:P69)</f>
        <v>918</v>
      </c>
      <c r="Q70">
        <f t="shared" ref="Q70:R70" si="5">SUM(Q65:Q69)</f>
        <v>9487</v>
      </c>
      <c r="R70">
        <f t="shared" si="5"/>
        <v>35200</v>
      </c>
    </row>
  </sheetData>
  <customSheetViews>
    <customSheetView guid="{4A56DCA2-EE2D-40DD-82F4-76121FFBC45C}">
      <pane ySplit="1" topLeftCell="A29" activePane="bottomLeft" state="frozen"/>
      <selection pane="bottomLeft" activeCell="E62" sqref="E62"/>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A88"/>
  <sheetViews>
    <sheetView workbookViewId="0">
      <pane xSplit="1" ySplit="29" topLeftCell="N58" activePane="bottomRight" state="frozen"/>
      <selection pane="topRight" activeCell="B1" sqref="B1"/>
      <selection pane="bottomLeft" activeCell="A30" sqref="A30"/>
      <selection pane="bottomRight" activeCell="V86" sqref="V86"/>
    </sheetView>
  </sheetViews>
  <sheetFormatPr defaultRowHeight="14.4"/>
  <cols>
    <col min="2" max="10" width="9.109375" style="12"/>
    <col min="11" max="11" width="1.88671875" style="12" customWidth="1"/>
    <col min="12" max="22" width="9.109375" style="12"/>
    <col min="23" max="23" width="1.88671875" style="12" customWidth="1"/>
    <col min="24" max="32" width="9.109375" style="12"/>
    <col min="33" max="33" width="2.44140625" style="12" customWidth="1"/>
    <col min="34" max="42" width="9.109375" style="12"/>
    <col min="43" max="43" width="2.44140625" customWidth="1"/>
    <col min="44" max="50" width="9.109375" style="171"/>
    <col min="51" max="51" width="1.44140625" customWidth="1"/>
    <col min="52" max="52" width="11.44140625" style="9" customWidth="1"/>
    <col min="62" max="62" width="3.5546875" customWidth="1"/>
  </cols>
  <sheetData>
    <row r="1" spans="1:102" s="8" customFormat="1">
      <c r="A1" s="8" t="s">
        <v>229</v>
      </c>
      <c r="B1" s="169" t="s">
        <v>230</v>
      </c>
      <c r="C1" s="169"/>
      <c r="D1" s="169"/>
      <c r="E1" s="169"/>
      <c r="F1" s="169"/>
      <c r="G1" s="169"/>
      <c r="H1" s="169"/>
      <c r="I1" s="169"/>
      <c r="J1" s="169"/>
      <c r="K1" s="169"/>
      <c r="L1" s="169" t="s">
        <v>231</v>
      </c>
      <c r="M1" s="169"/>
      <c r="N1" s="169"/>
      <c r="O1" s="169"/>
      <c r="P1" s="169"/>
      <c r="Q1" s="169"/>
      <c r="R1" s="169"/>
      <c r="S1" s="169"/>
      <c r="T1" s="169"/>
      <c r="U1" s="169"/>
      <c r="V1" s="169"/>
      <c r="W1" s="169"/>
      <c r="X1" s="169" t="s">
        <v>232</v>
      </c>
      <c r="Y1" s="169"/>
      <c r="Z1" s="169"/>
      <c r="AA1" s="169"/>
      <c r="AB1" s="169"/>
      <c r="AC1" s="169"/>
      <c r="AD1" s="169"/>
      <c r="AE1" s="169"/>
      <c r="AF1" s="169"/>
      <c r="AG1" s="169"/>
      <c r="AH1" s="169" t="s">
        <v>233</v>
      </c>
      <c r="AI1" s="169"/>
      <c r="AJ1" s="169"/>
      <c r="AK1" s="169"/>
      <c r="AL1" s="169"/>
      <c r="AM1" s="169"/>
      <c r="AN1" s="169"/>
      <c r="AO1" s="169"/>
      <c r="AP1" s="169"/>
      <c r="AR1" s="170" t="s">
        <v>244</v>
      </c>
      <c r="AS1" s="170"/>
      <c r="AT1" s="170"/>
      <c r="AU1" s="170"/>
      <c r="AV1" s="170"/>
      <c r="AW1" s="170"/>
      <c r="AX1" s="170"/>
      <c r="AZ1" s="176" t="s">
        <v>282</v>
      </c>
      <c r="BF1" s="8" t="s">
        <v>289</v>
      </c>
    </row>
    <row r="2" spans="1:102" s="8" customFormat="1">
      <c r="B2" s="169"/>
      <c r="C2" s="169"/>
      <c r="D2" s="169"/>
      <c r="E2" s="169"/>
      <c r="F2" s="169"/>
      <c r="G2" s="169"/>
      <c r="H2" s="169"/>
      <c r="I2" s="169"/>
      <c r="J2" s="169"/>
      <c r="K2" s="169"/>
      <c r="L2" s="169"/>
      <c r="M2" s="169"/>
      <c r="N2" s="169"/>
      <c r="O2" s="169"/>
      <c r="P2" s="169"/>
      <c r="Q2" s="169"/>
      <c r="R2" s="169"/>
      <c r="S2" s="169"/>
      <c r="T2" s="169"/>
      <c r="U2" s="169" t="s">
        <v>234</v>
      </c>
      <c r="V2" s="169" t="s">
        <v>234</v>
      </c>
      <c r="W2" s="169"/>
      <c r="X2" s="169"/>
      <c r="Y2" s="169"/>
      <c r="Z2" s="169"/>
      <c r="AA2" s="169"/>
      <c r="AB2" s="169"/>
      <c r="AC2" s="169"/>
      <c r="AD2" s="169"/>
      <c r="AE2" s="169"/>
      <c r="AF2" s="169"/>
      <c r="AG2" s="169"/>
      <c r="AH2" s="169"/>
      <c r="AI2" s="169"/>
      <c r="AJ2" s="169"/>
      <c r="AK2" s="169"/>
      <c r="AL2" s="169"/>
      <c r="AM2" s="169"/>
      <c r="AN2" s="169"/>
      <c r="AO2" s="169"/>
      <c r="AP2" s="169"/>
      <c r="AR2" s="170" t="s">
        <v>245</v>
      </c>
      <c r="AS2" s="170"/>
      <c r="AT2" s="170"/>
      <c r="AU2" s="170"/>
      <c r="AV2" s="170"/>
      <c r="AW2" s="170"/>
      <c r="AX2" s="170"/>
      <c r="AZ2" s="115"/>
    </row>
    <row r="3" spans="1:102" s="8" customFormat="1">
      <c r="B3" s="169"/>
      <c r="C3" s="169"/>
      <c r="D3" s="169"/>
      <c r="E3" s="169"/>
      <c r="F3" s="169"/>
      <c r="G3" s="169"/>
      <c r="H3" s="169"/>
      <c r="I3" s="169"/>
      <c r="J3" s="169"/>
      <c r="K3" s="169"/>
      <c r="L3" s="169"/>
      <c r="M3" s="169"/>
      <c r="N3" s="169"/>
      <c r="O3" s="169"/>
      <c r="P3" s="169"/>
      <c r="Q3" s="169"/>
      <c r="R3" s="169"/>
      <c r="S3" s="169"/>
      <c r="T3" s="169"/>
      <c r="U3" s="169" t="s">
        <v>235</v>
      </c>
      <c r="V3" s="169" t="s">
        <v>235</v>
      </c>
      <c r="W3" s="169"/>
      <c r="X3" s="169"/>
      <c r="Y3" s="169"/>
      <c r="Z3" s="169"/>
      <c r="AA3" s="169"/>
      <c r="AB3" s="169"/>
      <c r="AC3" s="169"/>
      <c r="AD3" s="169"/>
      <c r="AE3" s="169"/>
      <c r="AF3" s="169"/>
      <c r="AG3" s="169"/>
      <c r="AH3" s="169"/>
      <c r="AI3" s="169"/>
      <c r="AJ3" s="169"/>
      <c r="AK3" s="169"/>
      <c r="AL3" s="169"/>
      <c r="AM3" s="169"/>
      <c r="AN3" s="169"/>
      <c r="AO3" s="169"/>
      <c r="AP3" s="169"/>
      <c r="AR3" s="170" t="s">
        <v>246</v>
      </c>
      <c r="AS3" s="170" t="s">
        <v>246</v>
      </c>
      <c r="AT3" s="170" t="s">
        <v>246</v>
      </c>
      <c r="AU3" s="170" t="s">
        <v>247</v>
      </c>
      <c r="AV3" s="170" t="s">
        <v>247</v>
      </c>
      <c r="AW3" s="170" t="s">
        <v>247</v>
      </c>
      <c r="AX3" s="170"/>
      <c r="AZ3" s="115"/>
      <c r="BB3" s="8" t="s">
        <v>284</v>
      </c>
      <c r="BC3" s="8" t="s">
        <v>286</v>
      </c>
      <c r="BK3" s="8" t="s">
        <v>310</v>
      </c>
      <c r="BX3" s="8" t="s">
        <v>342</v>
      </c>
      <c r="CJ3" s="8" t="s">
        <v>342</v>
      </c>
    </row>
    <row r="4" spans="1:102" s="8" customFormat="1">
      <c r="B4" s="169" t="s">
        <v>83</v>
      </c>
      <c r="C4" s="169"/>
      <c r="D4" s="169" t="s">
        <v>236</v>
      </c>
      <c r="E4" s="169"/>
      <c r="F4" s="169" t="s">
        <v>237</v>
      </c>
      <c r="G4" s="169"/>
      <c r="H4" s="169" t="s">
        <v>68</v>
      </c>
      <c r="I4" s="169"/>
      <c r="J4" s="169"/>
      <c r="K4" s="169"/>
      <c r="L4" s="169" t="s">
        <v>83</v>
      </c>
      <c r="M4" s="169"/>
      <c r="N4" s="169" t="s">
        <v>236</v>
      </c>
      <c r="O4" s="169"/>
      <c r="P4" s="169" t="s">
        <v>237</v>
      </c>
      <c r="Q4" s="169"/>
      <c r="R4" s="169" t="s">
        <v>68</v>
      </c>
      <c r="S4" s="169"/>
      <c r="T4" s="169"/>
      <c r="U4" s="169" t="s">
        <v>238</v>
      </c>
      <c r="V4" s="169" t="s">
        <v>297</v>
      </c>
      <c r="W4" s="169"/>
      <c r="X4" s="169" t="s">
        <v>83</v>
      </c>
      <c r="Y4" s="169"/>
      <c r="Z4" s="169" t="s">
        <v>236</v>
      </c>
      <c r="AA4" s="169"/>
      <c r="AB4" s="169" t="s">
        <v>237</v>
      </c>
      <c r="AC4" s="169"/>
      <c r="AD4" s="169" t="s">
        <v>68</v>
      </c>
      <c r="AE4" s="169"/>
      <c r="AF4" s="169"/>
      <c r="AG4" s="169"/>
      <c r="AH4" s="169" t="s">
        <v>83</v>
      </c>
      <c r="AI4" s="169"/>
      <c r="AJ4" s="169" t="s">
        <v>236</v>
      </c>
      <c r="AK4" s="169"/>
      <c r="AL4" s="169" t="s">
        <v>237</v>
      </c>
      <c r="AM4" s="169"/>
      <c r="AN4" s="169" t="s">
        <v>68</v>
      </c>
      <c r="AO4" s="169"/>
      <c r="AP4" s="169"/>
      <c r="AR4" s="170" t="s">
        <v>248</v>
      </c>
      <c r="AS4" s="170" t="s">
        <v>248</v>
      </c>
      <c r="AT4" s="170" t="s">
        <v>248</v>
      </c>
      <c r="AU4" s="170" t="s">
        <v>248</v>
      </c>
      <c r="AV4" s="170" t="s">
        <v>249</v>
      </c>
      <c r="AW4" s="170" t="s">
        <v>249</v>
      </c>
      <c r="AX4" s="170"/>
      <c r="AZ4" s="115"/>
      <c r="BB4" s="8" t="s">
        <v>285</v>
      </c>
      <c r="BI4" s="8" t="s">
        <v>291</v>
      </c>
      <c r="BX4" s="210" t="s">
        <v>343</v>
      </c>
      <c r="CJ4" s="210" t="s">
        <v>360</v>
      </c>
      <c r="CX4" s="210" t="s">
        <v>366</v>
      </c>
    </row>
    <row r="5" spans="1:102" s="8" customFormat="1">
      <c r="B5" s="169" t="s">
        <v>239</v>
      </c>
      <c r="C5" s="169" t="s">
        <v>240</v>
      </c>
      <c r="D5" s="169" t="s">
        <v>239</v>
      </c>
      <c r="E5" s="169" t="s">
        <v>240</v>
      </c>
      <c r="F5" s="169" t="s">
        <v>239</v>
      </c>
      <c r="G5" s="169" t="s">
        <v>240</v>
      </c>
      <c r="H5" s="169" t="s">
        <v>239</v>
      </c>
      <c r="I5" s="169" t="s">
        <v>240</v>
      </c>
      <c r="J5" s="169" t="s">
        <v>241</v>
      </c>
      <c r="K5" s="169"/>
      <c r="L5" s="169" t="s">
        <v>239</v>
      </c>
      <c r="M5" s="169" t="s">
        <v>240</v>
      </c>
      <c r="N5" s="169" t="s">
        <v>239</v>
      </c>
      <c r="O5" s="169" t="s">
        <v>240</v>
      </c>
      <c r="P5" s="169" t="s">
        <v>239</v>
      </c>
      <c r="Q5" s="169" t="s">
        <v>240</v>
      </c>
      <c r="R5" s="169" t="s">
        <v>239</v>
      </c>
      <c r="S5" s="169" t="s">
        <v>240</v>
      </c>
      <c r="T5" s="169" t="s">
        <v>241</v>
      </c>
      <c r="U5" s="169" t="s">
        <v>242</v>
      </c>
      <c r="V5" s="169" t="s">
        <v>242</v>
      </c>
      <c r="W5" s="169"/>
      <c r="X5" s="169" t="s">
        <v>239</v>
      </c>
      <c r="Y5" s="169" t="s">
        <v>240</v>
      </c>
      <c r="Z5" s="169" t="s">
        <v>239</v>
      </c>
      <c r="AA5" s="169" t="s">
        <v>240</v>
      </c>
      <c r="AB5" s="169" t="s">
        <v>239</v>
      </c>
      <c r="AC5" s="169" t="s">
        <v>240</v>
      </c>
      <c r="AD5" s="169" t="s">
        <v>239</v>
      </c>
      <c r="AE5" s="169" t="s">
        <v>240</v>
      </c>
      <c r="AF5" s="169" t="s">
        <v>241</v>
      </c>
      <c r="AG5" s="169"/>
      <c r="AH5" s="169" t="s">
        <v>239</v>
      </c>
      <c r="AI5" s="169" t="s">
        <v>240</v>
      </c>
      <c r="AJ5" s="169" t="s">
        <v>239</v>
      </c>
      <c r="AK5" s="169" t="s">
        <v>240</v>
      </c>
      <c r="AL5" s="169" t="s">
        <v>239</v>
      </c>
      <c r="AM5" s="169" t="s">
        <v>240</v>
      </c>
      <c r="AN5" s="169" t="s">
        <v>239</v>
      </c>
      <c r="AO5" s="169" t="s">
        <v>240</v>
      </c>
      <c r="AP5" s="169" t="s">
        <v>241</v>
      </c>
      <c r="AR5" s="170" t="s">
        <v>250</v>
      </c>
      <c r="AS5" s="170" t="s">
        <v>251</v>
      </c>
      <c r="AT5" s="170" t="s">
        <v>252</v>
      </c>
      <c r="AU5" s="170" t="s">
        <v>250</v>
      </c>
      <c r="AV5" s="170" t="s">
        <v>251</v>
      </c>
      <c r="AW5" s="170" t="s">
        <v>252</v>
      </c>
      <c r="AX5" s="170" t="s">
        <v>253</v>
      </c>
      <c r="AZ5" s="115"/>
      <c r="BA5" s="8" t="s">
        <v>281</v>
      </c>
      <c r="BB5" s="8" t="s">
        <v>283</v>
      </c>
      <c r="BC5" s="8" t="s">
        <v>283</v>
      </c>
      <c r="BD5" s="8" t="s">
        <v>253</v>
      </c>
      <c r="BF5" s="8" t="s">
        <v>253</v>
      </c>
      <c r="BG5" s="8" t="s">
        <v>290</v>
      </c>
      <c r="BH5" s="8" t="s">
        <v>283</v>
      </c>
      <c r="BI5" s="8" t="s">
        <v>292</v>
      </c>
      <c r="BK5" t="s">
        <v>298</v>
      </c>
      <c r="BL5" t="s">
        <v>299</v>
      </c>
      <c r="BM5" t="s">
        <v>300</v>
      </c>
      <c r="BN5" t="s">
        <v>301</v>
      </c>
      <c r="BO5" t="s">
        <v>302</v>
      </c>
      <c r="BP5" t="s">
        <v>303</v>
      </c>
      <c r="BQ5" t="s">
        <v>304</v>
      </c>
      <c r="BR5" t="s">
        <v>305</v>
      </c>
      <c r="BS5" t="s">
        <v>306</v>
      </c>
      <c r="BT5" t="s">
        <v>307</v>
      </c>
      <c r="BU5" t="s">
        <v>308</v>
      </c>
      <c r="BV5" t="s">
        <v>309</v>
      </c>
    </row>
    <row r="6" spans="1:102" hidden="1">
      <c r="A6">
        <v>1938</v>
      </c>
      <c r="V6" s="180">
        <v>107011</v>
      </c>
    </row>
    <row r="7" spans="1:102" hidden="1">
      <c r="A7">
        <v>1939</v>
      </c>
      <c r="V7" s="180">
        <v>121932</v>
      </c>
    </row>
    <row r="8" spans="1:102" hidden="1">
      <c r="A8">
        <v>1940</v>
      </c>
      <c r="V8" s="180">
        <v>185161</v>
      </c>
    </row>
    <row r="9" spans="1:102" hidden="1">
      <c r="A9">
        <v>1941</v>
      </c>
      <c r="V9" s="180">
        <v>118087</v>
      </c>
    </row>
    <row r="10" spans="1:102" hidden="1">
      <c r="A10">
        <v>1942</v>
      </c>
      <c r="V10" s="180">
        <v>151395</v>
      </c>
    </row>
    <row r="11" spans="1:102" hidden="1">
      <c r="A11">
        <v>1943</v>
      </c>
      <c r="V11" s="180">
        <v>92151</v>
      </c>
    </row>
    <row r="12" spans="1:102" hidden="1">
      <c r="A12">
        <v>1944</v>
      </c>
      <c r="V12" s="180">
        <v>100473</v>
      </c>
    </row>
    <row r="13" spans="1:102" hidden="1">
      <c r="A13">
        <v>1945</v>
      </c>
      <c r="V13" s="180">
        <v>120086</v>
      </c>
    </row>
    <row r="14" spans="1:102" hidden="1">
      <c r="A14">
        <v>1946</v>
      </c>
      <c r="V14" s="180">
        <v>142806</v>
      </c>
    </row>
    <row r="15" spans="1:102" hidden="1">
      <c r="A15">
        <v>1947</v>
      </c>
      <c r="V15" s="180">
        <v>135434</v>
      </c>
    </row>
    <row r="16" spans="1:102" hidden="1">
      <c r="A16">
        <v>1948</v>
      </c>
      <c r="V16" s="180">
        <v>139062</v>
      </c>
    </row>
    <row r="17" spans="1:42" hidden="1">
      <c r="A17">
        <v>1949</v>
      </c>
      <c r="V17" s="180">
        <v>119285</v>
      </c>
    </row>
    <row r="18" spans="1:42" hidden="1">
      <c r="A18">
        <v>1950</v>
      </c>
      <c r="V18" s="180">
        <v>114087</v>
      </c>
    </row>
    <row r="19" spans="1:42" hidden="1">
      <c r="A19">
        <v>1951</v>
      </c>
      <c r="V19" s="180">
        <v>149539</v>
      </c>
    </row>
    <row r="20" spans="1:42" hidden="1">
      <c r="A20">
        <v>1952</v>
      </c>
      <c r="V20" s="180">
        <v>260990</v>
      </c>
    </row>
    <row r="21" spans="1:42" hidden="1">
      <c r="A21">
        <v>1953</v>
      </c>
      <c r="V21" s="180">
        <v>223914</v>
      </c>
    </row>
    <row r="22" spans="1:42" hidden="1">
      <c r="A22">
        <v>1954</v>
      </c>
      <c r="V22" s="180">
        <v>176260</v>
      </c>
    </row>
    <row r="23" spans="1:42" hidden="1">
      <c r="A23">
        <v>1955</v>
      </c>
      <c r="V23" s="180">
        <v>198411</v>
      </c>
    </row>
    <row r="24" spans="1:42" hidden="1">
      <c r="A24">
        <v>1956</v>
      </c>
      <c r="V24" s="180">
        <v>131116</v>
      </c>
    </row>
    <row r="25" spans="1:42" hidden="1">
      <c r="A25">
        <v>1957</v>
      </c>
      <c r="V25" s="180">
        <v>139184</v>
      </c>
    </row>
    <row r="26" spans="1:42" hidden="1">
      <c r="A26">
        <v>1958</v>
      </c>
      <c r="V26" s="180">
        <v>131347</v>
      </c>
    </row>
    <row r="27" spans="1:42" hidden="1">
      <c r="A27">
        <v>1959</v>
      </c>
      <c r="V27" s="180">
        <v>129026</v>
      </c>
    </row>
    <row r="28" spans="1:42" hidden="1">
      <c r="A28">
        <v>1960</v>
      </c>
      <c r="V28" s="180">
        <v>113676</v>
      </c>
    </row>
    <row r="29" spans="1:42" hidden="1">
      <c r="A29">
        <v>1961</v>
      </c>
      <c r="V29" s="180">
        <v>139726</v>
      </c>
    </row>
    <row r="30" spans="1:42">
      <c r="A30">
        <v>1962</v>
      </c>
      <c r="J30" s="12">
        <v>193994.30061349695</v>
      </c>
      <c r="T30" s="12">
        <v>38395</v>
      </c>
      <c r="U30" s="12">
        <v>125630</v>
      </c>
      <c r="AF30" s="12">
        <v>38395</v>
      </c>
      <c r="AP30" s="12">
        <v>70915.699955165037</v>
      </c>
    </row>
    <row r="31" spans="1:42">
      <c r="A31">
        <v>1963</v>
      </c>
      <c r="J31" s="12">
        <v>159979.90120842404</v>
      </c>
      <c r="T31" s="12">
        <v>39639.069426741051</v>
      </c>
      <c r="U31" s="12">
        <v>89778.930573258956</v>
      </c>
      <c r="AF31" s="12">
        <v>37005</v>
      </c>
      <c r="AP31" s="12">
        <v>72466.021680427992</v>
      </c>
    </row>
    <row r="32" spans="1:42">
      <c r="A32">
        <v>1964</v>
      </c>
      <c r="J32" s="12">
        <v>91023.239235834728</v>
      </c>
      <c r="T32" s="12">
        <v>48500.404406975904</v>
      </c>
      <c r="U32" s="12">
        <v>68751.595593024103</v>
      </c>
      <c r="AF32" s="12">
        <v>45729</v>
      </c>
      <c r="AP32" s="12">
        <v>26117.991314246126</v>
      </c>
    </row>
    <row r="33" spans="1:56">
      <c r="A33">
        <v>1965</v>
      </c>
      <c r="J33" s="12">
        <v>107210.41794355222</v>
      </c>
      <c r="T33" s="12">
        <v>88336.574080720413</v>
      </c>
      <c r="U33" s="12">
        <v>78108.425919279587</v>
      </c>
      <c r="AF33" s="12">
        <v>81331</v>
      </c>
      <c r="AP33" s="12">
        <v>48163.767986449806</v>
      </c>
    </row>
    <row r="34" spans="1:56">
      <c r="A34">
        <v>1966</v>
      </c>
      <c r="J34" s="12">
        <v>147306.85237999959</v>
      </c>
      <c r="T34" s="12">
        <v>43173.15199581044</v>
      </c>
      <c r="U34" s="12">
        <v>100487.84800418955</v>
      </c>
      <c r="AF34" s="12">
        <v>33857</v>
      </c>
      <c r="AP34" s="12">
        <v>52416.15385669002</v>
      </c>
    </row>
    <row r="35" spans="1:56">
      <c r="A35">
        <v>1967</v>
      </c>
      <c r="J35" s="12">
        <v>82589.029177539778</v>
      </c>
      <c r="T35" s="12">
        <v>62633.007164944567</v>
      </c>
      <c r="U35" s="12">
        <v>59238.992835055433</v>
      </c>
      <c r="AF35" s="12">
        <v>54513</v>
      </c>
      <c r="AP35" s="12">
        <v>28853.712631587114</v>
      </c>
    </row>
    <row r="36" spans="1:56">
      <c r="A36">
        <v>1968</v>
      </c>
      <c r="J36" s="12">
        <v>154752.45311509821</v>
      </c>
      <c r="T36" s="12">
        <v>5117.7017648143974</v>
      </c>
      <c r="U36" s="12">
        <v>101856.2982351856</v>
      </c>
      <c r="AF36" s="12">
        <v>4668</v>
      </c>
      <c r="AP36" s="12">
        <v>53405.102383008074</v>
      </c>
    </row>
    <row r="37" spans="1:56">
      <c r="A37">
        <v>1969</v>
      </c>
      <c r="J37" s="12">
        <v>96529.052275430411</v>
      </c>
      <c r="T37" s="12">
        <v>63453.335834338432</v>
      </c>
      <c r="U37" s="12">
        <v>78328.664165661568</v>
      </c>
      <c r="AF37" s="12">
        <v>57143</v>
      </c>
      <c r="AP37" s="12">
        <v>25579.332986989059</v>
      </c>
    </row>
    <row r="38" spans="1:56">
      <c r="A38">
        <v>1970</v>
      </c>
      <c r="J38" s="12">
        <v>82448.709108842231</v>
      </c>
      <c r="T38" s="12">
        <v>46241.378127803808</v>
      </c>
      <c r="U38" s="12">
        <v>67268.621872196192</v>
      </c>
      <c r="AF38" s="12">
        <v>40864</v>
      </c>
      <c r="AP38" s="12">
        <v>21306.951830876773</v>
      </c>
    </row>
    <row r="39" spans="1:56">
      <c r="A39">
        <v>1971</v>
      </c>
      <c r="J39" s="12">
        <v>104708.30631302416</v>
      </c>
      <c r="T39" s="12">
        <v>103902.86436951018</v>
      </c>
      <c r="U39" s="12">
        <v>90063.135630489822</v>
      </c>
      <c r="AF39" s="12">
        <v>90136</v>
      </c>
      <c r="AP39" s="12">
        <v>30799.118695181034</v>
      </c>
    </row>
    <row r="40" spans="1:56">
      <c r="A40">
        <v>1972</v>
      </c>
      <c r="J40" s="12">
        <v>100954.53513380938</v>
      </c>
      <c r="T40" s="12">
        <v>102973.45052425057</v>
      </c>
      <c r="U40" s="12">
        <v>82912.549475749431</v>
      </c>
      <c r="AF40" s="12">
        <v>86964</v>
      </c>
      <c r="AP40" s="12">
        <v>35527.957120076986</v>
      </c>
    </row>
    <row r="41" spans="1:56">
      <c r="A41">
        <v>1973</v>
      </c>
      <c r="J41" s="12">
        <v>62077.405093922935</v>
      </c>
      <c r="T41" s="12">
        <v>103245.10047090969</v>
      </c>
      <c r="U41" s="12">
        <v>54577.899529090311</v>
      </c>
      <c r="AF41" s="12">
        <v>85713</v>
      </c>
      <c r="AP41" s="12">
        <v>17443.289228322988</v>
      </c>
    </row>
    <row r="42" spans="1:56">
      <c r="A42">
        <v>1974</v>
      </c>
      <c r="J42" s="12">
        <v>18494.817643896131</v>
      </c>
      <c r="T42" s="12">
        <v>119772.58544738159</v>
      </c>
      <c r="U42" s="12">
        <v>17281.414552618415</v>
      </c>
      <c r="AF42" s="12">
        <v>108237</v>
      </c>
      <c r="AP42" s="12">
        <v>12134.915442102785</v>
      </c>
    </row>
    <row r="43" spans="1:56">
      <c r="A43">
        <v>1975</v>
      </c>
      <c r="J43" s="12">
        <v>20554.247491638802</v>
      </c>
      <c r="T43" s="12">
        <v>64985.752508361198</v>
      </c>
      <c r="U43" s="12">
        <v>20554.247491638802</v>
      </c>
      <c r="AF43" s="12">
        <v>59060</v>
      </c>
      <c r="AP43" s="12">
        <v>6175.313299553557</v>
      </c>
    </row>
    <row r="44" spans="1:56">
      <c r="A44">
        <v>1976</v>
      </c>
      <c r="J44" s="12">
        <v>36612.087357733355</v>
      </c>
      <c r="T44" s="12">
        <v>87564.912642266645</v>
      </c>
      <c r="U44" s="12">
        <v>36612.087357733355</v>
      </c>
      <c r="AF44" s="12">
        <v>79244</v>
      </c>
      <c r="AP44" s="12">
        <v>16296.452359794657</v>
      </c>
    </row>
    <row r="45" spans="1:56">
      <c r="A45">
        <v>1977</v>
      </c>
      <c r="J45" s="12">
        <v>80943.649999056186</v>
      </c>
      <c r="T45" s="12">
        <v>114026.05985251244</v>
      </c>
      <c r="U45" s="12">
        <v>79410.940147487563</v>
      </c>
      <c r="AF45" s="12">
        <v>92805</v>
      </c>
      <c r="AP45" s="12">
        <v>22387.606799629899</v>
      </c>
      <c r="AZ45" s="175" t="s">
        <v>255</v>
      </c>
      <c r="BA45" s="12">
        <v>6600</v>
      </c>
      <c r="BB45" s="12">
        <v>6100</v>
      </c>
      <c r="BC45" s="49">
        <v>900</v>
      </c>
      <c r="BD45" s="12">
        <f>SUM(BA45:BC45)</f>
        <v>13600</v>
      </c>
    </row>
    <row r="46" spans="1:56">
      <c r="A46">
        <v>1978</v>
      </c>
      <c r="J46" s="12">
        <v>39348.25209590076</v>
      </c>
      <c r="T46" s="12">
        <v>65651.364263866592</v>
      </c>
      <c r="U46" s="12">
        <v>38779.635736133408</v>
      </c>
      <c r="AF46" s="12">
        <v>53644</v>
      </c>
      <c r="AP46" s="12">
        <v>5693.7151865798523</v>
      </c>
      <c r="AZ46" s="175" t="s">
        <v>256</v>
      </c>
      <c r="BA46" s="12">
        <v>2800</v>
      </c>
      <c r="BB46" s="12">
        <v>3200</v>
      </c>
      <c r="BC46" s="49">
        <v>300</v>
      </c>
      <c r="BD46" s="12">
        <f t="shared" ref="BD46:BD56" si="0">SUM(BA46:BC46)</f>
        <v>6300</v>
      </c>
    </row>
    <row r="47" spans="1:56">
      <c r="A47">
        <v>1979</v>
      </c>
      <c r="J47" s="12">
        <v>34560.884905049599</v>
      </c>
      <c r="T47" s="12">
        <v>79811.516521259298</v>
      </c>
      <c r="U47" s="12">
        <v>34195.483478740702</v>
      </c>
      <c r="AF47" s="12">
        <v>73581</v>
      </c>
      <c r="AP47" s="12">
        <v>6601.9304069572227</v>
      </c>
      <c r="AZ47" s="175" t="s">
        <v>257</v>
      </c>
      <c r="BA47" s="12">
        <v>4200</v>
      </c>
      <c r="BB47" s="12">
        <v>5400</v>
      </c>
      <c r="BC47" s="49">
        <v>600</v>
      </c>
      <c r="BD47" s="12">
        <f t="shared" si="0"/>
        <v>10200</v>
      </c>
    </row>
    <row r="48" spans="1:56">
      <c r="A48">
        <v>1980</v>
      </c>
      <c r="J48" s="12">
        <v>64723.292380561958</v>
      </c>
      <c r="T48" s="12">
        <v>65529.523859878813</v>
      </c>
      <c r="U48" s="12">
        <v>63724.476140121187</v>
      </c>
      <c r="AF48" s="12">
        <v>60409</v>
      </c>
      <c r="AP48" s="12">
        <v>5113.1832813071496</v>
      </c>
      <c r="AZ48" s="175" t="s">
        <v>258</v>
      </c>
      <c r="BA48" s="12">
        <v>4100</v>
      </c>
      <c r="BB48" s="12">
        <v>5500</v>
      </c>
      <c r="BC48" s="49">
        <v>500</v>
      </c>
      <c r="BD48" s="12">
        <f t="shared" si="0"/>
        <v>10100</v>
      </c>
    </row>
    <row r="49" spans="1:105">
      <c r="A49">
        <v>1981</v>
      </c>
      <c r="J49" s="12">
        <v>54715.797744081363</v>
      </c>
      <c r="T49" s="12">
        <v>105607.73624974878</v>
      </c>
      <c r="U49" s="12">
        <v>53662.263750251223</v>
      </c>
      <c r="AF49" s="12">
        <v>98977</v>
      </c>
      <c r="AP49" s="12">
        <v>7082.9023409992506</v>
      </c>
      <c r="AZ49" s="175" t="s">
        <v>259</v>
      </c>
      <c r="BA49" s="12">
        <v>6900</v>
      </c>
      <c r="BB49" s="12">
        <v>3800</v>
      </c>
      <c r="BC49" s="49">
        <v>1200</v>
      </c>
      <c r="BD49" s="12">
        <f t="shared" si="0"/>
        <v>11900</v>
      </c>
    </row>
    <row r="50" spans="1:105">
      <c r="A50">
        <v>1982</v>
      </c>
      <c r="J50" s="12">
        <v>91118.752907487258</v>
      </c>
      <c r="T50" s="12">
        <v>67955.736275565127</v>
      </c>
      <c r="U50" s="12">
        <v>89684.263724434873</v>
      </c>
      <c r="AF50" s="12">
        <v>64076</v>
      </c>
      <c r="AP50" s="12">
        <v>7378.8161204646995</v>
      </c>
      <c r="AZ50" s="175" t="s">
        <v>260</v>
      </c>
      <c r="BA50" s="12">
        <v>6567</v>
      </c>
      <c r="BB50" s="12">
        <v>3524</v>
      </c>
      <c r="BC50" s="49">
        <v>1249</v>
      </c>
      <c r="BD50" s="12">
        <f t="shared" si="0"/>
        <v>11340</v>
      </c>
    </row>
    <row r="51" spans="1:105">
      <c r="A51">
        <v>1983</v>
      </c>
      <c r="J51" s="12">
        <v>133582.07630817383</v>
      </c>
      <c r="T51" s="12">
        <v>81953.78546640079</v>
      </c>
      <c r="U51" s="12">
        <v>131825.21453359921</v>
      </c>
      <c r="AF51" s="12">
        <v>74785</v>
      </c>
      <c r="AP51" s="12">
        <v>22479.870264210709</v>
      </c>
      <c r="AZ51" s="175" t="s">
        <v>261</v>
      </c>
      <c r="BA51" s="12">
        <v>8228</v>
      </c>
      <c r="BB51" s="12">
        <v>7250</v>
      </c>
      <c r="BC51" s="49">
        <v>7684</v>
      </c>
      <c r="BD51" s="12">
        <f t="shared" si="0"/>
        <v>23162</v>
      </c>
    </row>
    <row r="52" spans="1:105">
      <c r="A52">
        <v>1984</v>
      </c>
      <c r="J52" s="12">
        <v>163450.99179974775</v>
      </c>
      <c r="T52" s="12">
        <v>154895.10590490571</v>
      </c>
      <c r="U52" s="12">
        <v>160691.89409509429</v>
      </c>
      <c r="AF52" s="12">
        <v>115728</v>
      </c>
      <c r="AP52" s="12">
        <v>43874.000757958587</v>
      </c>
      <c r="AZ52" s="175" t="s">
        <v>262</v>
      </c>
      <c r="BA52" s="12">
        <v>7721</v>
      </c>
      <c r="BB52" s="12">
        <v>7563</v>
      </c>
      <c r="BC52" s="49">
        <v>3824</v>
      </c>
      <c r="BD52" s="12">
        <f t="shared" si="0"/>
        <v>19108</v>
      </c>
    </row>
    <row r="53" spans="1:105">
      <c r="A53">
        <v>1985</v>
      </c>
      <c r="J53" s="12">
        <v>226138.18025983765</v>
      </c>
      <c r="T53" s="12">
        <v>121717.27749435013</v>
      </c>
      <c r="U53" s="12">
        <v>222243.72250564987</v>
      </c>
      <c r="AF53" s="12">
        <v>89409</v>
      </c>
      <c r="AP53" s="12">
        <v>27347.776502424593</v>
      </c>
      <c r="AZ53" s="175" t="s">
        <v>263</v>
      </c>
      <c r="BA53" s="12">
        <v>9624</v>
      </c>
      <c r="BB53" s="12">
        <v>7382</v>
      </c>
      <c r="BC53" s="49">
        <v>5056</v>
      </c>
      <c r="BD53" s="12">
        <f t="shared" si="0"/>
        <v>22062</v>
      </c>
    </row>
    <row r="54" spans="1:105">
      <c r="A54">
        <v>1986</v>
      </c>
      <c r="J54" s="12">
        <v>210860.90843191923</v>
      </c>
      <c r="T54" s="12">
        <v>173418.45594751718</v>
      </c>
      <c r="U54" s="12">
        <v>206472.54405248282</v>
      </c>
      <c r="AF54" s="12">
        <v>140003</v>
      </c>
      <c r="AP54" s="12">
        <v>53596.289691437079</v>
      </c>
      <c r="AZ54" s="175" t="s">
        <v>264</v>
      </c>
      <c r="BA54" s="12">
        <v>6207</v>
      </c>
      <c r="BB54" s="12">
        <v>9064</v>
      </c>
      <c r="BC54" s="49">
        <v>9803</v>
      </c>
      <c r="BD54" s="12">
        <f t="shared" si="0"/>
        <v>25074</v>
      </c>
    </row>
    <row r="55" spans="1:105">
      <c r="A55">
        <v>1987</v>
      </c>
      <c r="J55" s="12">
        <v>125935.33473821741</v>
      </c>
      <c r="T55" s="12">
        <v>179162.93606994624</v>
      </c>
      <c r="U55" s="12">
        <v>123918.06393005376</v>
      </c>
      <c r="AF55" s="12">
        <v>128325</v>
      </c>
      <c r="AP55" s="12">
        <v>54532.493297419496</v>
      </c>
      <c r="AZ55" s="175" t="s">
        <v>265</v>
      </c>
      <c r="BA55" s="12">
        <v>5367</v>
      </c>
      <c r="BB55" s="12">
        <v>9209</v>
      </c>
      <c r="BC55" s="49">
        <v>8367</v>
      </c>
      <c r="BD55" s="12">
        <f t="shared" si="0"/>
        <v>22943</v>
      </c>
      <c r="BF55" s="177">
        <v>2480</v>
      </c>
      <c r="BG55" s="177">
        <v>2315</v>
      </c>
      <c r="BH55" s="177">
        <v>165</v>
      </c>
      <c r="BI55" s="177"/>
    </row>
    <row r="56" spans="1:105" ht="15" thickBot="1">
      <c r="A56">
        <v>1988</v>
      </c>
      <c r="J56" s="12">
        <v>159821.30118820714</v>
      </c>
      <c r="T56" s="12">
        <v>123570.19343850116</v>
      </c>
      <c r="U56" s="12">
        <v>155501.80656149884</v>
      </c>
      <c r="AF56" s="12">
        <v>87350</v>
      </c>
      <c r="AP56" s="12">
        <v>32571.667081879554</v>
      </c>
      <c r="AZ56" s="175" t="s">
        <v>266</v>
      </c>
      <c r="BA56" s="12">
        <v>3546</v>
      </c>
      <c r="BB56" s="12">
        <v>3849</v>
      </c>
      <c r="BC56" s="49">
        <v>2909</v>
      </c>
      <c r="BD56" s="12">
        <f t="shared" si="0"/>
        <v>10304</v>
      </c>
      <c r="BF56" s="177">
        <v>2474</v>
      </c>
      <c r="BG56" s="177">
        <v>2104</v>
      </c>
      <c r="BH56" s="177">
        <v>370</v>
      </c>
      <c r="BI56" s="177"/>
    </row>
    <row r="57" spans="1:105" ht="72.599999999999994" thickBot="1">
      <c r="A57">
        <v>1989</v>
      </c>
      <c r="J57" s="12">
        <v>214402.27268925519</v>
      </c>
      <c r="T57" s="12">
        <v>78082.115784826892</v>
      </c>
      <c r="U57" s="12">
        <v>209715.88421517311</v>
      </c>
      <c r="AF57" s="12">
        <v>60230</v>
      </c>
      <c r="AP57" s="12">
        <v>20385.830965526675</v>
      </c>
      <c r="AZ57" s="175" t="s">
        <v>267</v>
      </c>
      <c r="BA57" s="12">
        <v>4278</v>
      </c>
      <c r="BB57" s="12">
        <v>2758</v>
      </c>
      <c r="BC57" s="12">
        <v>3659</v>
      </c>
      <c r="BD57" s="12">
        <v>10695</v>
      </c>
      <c r="BF57" s="177">
        <v>1667</v>
      </c>
      <c r="BG57" s="177">
        <v>1422</v>
      </c>
      <c r="BH57" s="177">
        <v>245</v>
      </c>
      <c r="BX57" s="183"/>
      <c r="BY57" s="364" t="s">
        <v>311</v>
      </c>
      <c r="BZ57" s="364"/>
      <c r="CA57" s="364"/>
      <c r="CB57" s="185"/>
      <c r="CC57" s="365" t="s">
        <v>312</v>
      </c>
      <c r="CD57" s="366"/>
      <c r="CE57" s="366"/>
      <c r="CF57" s="187"/>
      <c r="CG57" s="188"/>
      <c r="CH57" s="187"/>
      <c r="CJ57" s="211"/>
      <c r="CK57" s="212"/>
      <c r="CL57" s="213"/>
      <c r="CM57" s="214" t="s">
        <v>344</v>
      </c>
      <c r="CN57" s="215"/>
      <c r="CO57" s="213"/>
      <c r="CP57" s="214" t="s">
        <v>345</v>
      </c>
      <c r="CQ57" s="216"/>
      <c r="CR57" s="217"/>
      <c r="CS57" s="217"/>
      <c r="CT57" s="218"/>
      <c r="CU57" s="219"/>
      <c r="CV57" s="220"/>
      <c r="CX57" s="234" t="s">
        <v>313</v>
      </c>
      <c r="CY57" s="235" t="s">
        <v>361</v>
      </c>
      <c r="CZ57" s="235" t="s">
        <v>362</v>
      </c>
      <c r="DA57" s="236" t="s">
        <v>363</v>
      </c>
    </row>
    <row r="58" spans="1:105" ht="31.2" thickBot="1">
      <c r="A58">
        <v>1990</v>
      </c>
      <c r="J58" s="12">
        <v>80065.597620409826</v>
      </c>
      <c r="T58" s="12">
        <v>104687.88426897906</v>
      </c>
      <c r="U58" s="12">
        <v>78339.115731020938</v>
      </c>
      <c r="AF58" s="12">
        <v>83639</v>
      </c>
      <c r="AP58" s="12">
        <v>20296.479390342396</v>
      </c>
      <c r="AZ58" s="175" t="s">
        <v>268</v>
      </c>
      <c r="BA58" s="12">
        <v>3653</v>
      </c>
      <c r="BB58" s="12">
        <v>1990</v>
      </c>
      <c r="BC58" s="12">
        <v>2852</v>
      </c>
      <c r="BD58" s="12">
        <v>8495</v>
      </c>
      <c r="BF58" s="177">
        <v>1111</v>
      </c>
      <c r="BG58" s="177">
        <v>724</v>
      </c>
      <c r="BH58" s="177">
        <v>387</v>
      </c>
      <c r="BX58" s="189" t="s">
        <v>313</v>
      </c>
      <c r="BY58" s="186" t="s">
        <v>314</v>
      </c>
      <c r="BZ58" s="186" t="s">
        <v>84</v>
      </c>
      <c r="CA58" s="186" t="s">
        <v>68</v>
      </c>
      <c r="CB58" s="191" t="s">
        <v>315</v>
      </c>
      <c r="CC58" s="192" t="s">
        <v>314</v>
      </c>
      <c r="CD58" s="191" t="s">
        <v>316</v>
      </c>
      <c r="CE58" s="186" t="s">
        <v>84</v>
      </c>
      <c r="CF58" s="193" t="s">
        <v>68</v>
      </c>
      <c r="CG58" s="191" t="s">
        <v>317</v>
      </c>
      <c r="CH58" s="194" t="s">
        <v>318</v>
      </c>
      <c r="CJ58" s="221" t="s">
        <v>313</v>
      </c>
      <c r="CK58" s="222" t="s">
        <v>346</v>
      </c>
      <c r="CL58" s="223" t="s">
        <v>84</v>
      </c>
      <c r="CM58" s="223" t="s">
        <v>314</v>
      </c>
      <c r="CN58" s="222" t="s">
        <v>68</v>
      </c>
      <c r="CO58" s="223" t="s">
        <v>347</v>
      </c>
      <c r="CP58" s="223" t="s">
        <v>348</v>
      </c>
      <c r="CQ58" s="222" t="s">
        <v>68</v>
      </c>
      <c r="CR58" s="224" t="s">
        <v>349</v>
      </c>
      <c r="CS58" s="223" t="s">
        <v>350</v>
      </c>
      <c r="CT58" s="225" t="s">
        <v>351</v>
      </c>
      <c r="CU58" s="226" t="s">
        <v>352</v>
      </c>
      <c r="CV58" s="220"/>
      <c r="CX58" s="237" t="s">
        <v>320</v>
      </c>
      <c r="CY58" s="238">
        <v>877</v>
      </c>
      <c r="CZ58" s="239">
        <v>0.02</v>
      </c>
      <c r="DA58" s="240">
        <v>18</v>
      </c>
    </row>
    <row r="59" spans="1:105" ht="15.6">
      <c r="A59">
        <v>1991</v>
      </c>
      <c r="J59" s="12">
        <v>171179.72559336049</v>
      </c>
      <c r="T59" s="12">
        <v>107043.92180477761</v>
      </c>
      <c r="U59" s="12">
        <v>167501.07819522239</v>
      </c>
      <c r="AF59" s="12">
        <v>88056</v>
      </c>
      <c r="AP59" s="12">
        <v>21520.717069543229</v>
      </c>
      <c r="AZ59" s="175" t="s">
        <v>269</v>
      </c>
      <c r="BA59" s="12">
        <v>4826</v>
      </c>
      <c r="BB59" s="12">
        <v>3778</v>
      </c>
      <c r="BC59" s="12">
        <v>8409</v>
      </c>
      <c r="BD59" s="12">
        <v>17013</v>
      </c>
      <c r="BF59" s="177">
        <v>2769</v>
      </c>
      <c r="BG59" s="177">
        <v>2247</v>
      </c>
      <c r="BH59" s="177">
        <v>522</v>
      </c>
      <c r="BX59" s="189" t="s">
        <v>276</v>
      </c>
      <c r="BY59" s="195">
        <v>3800</v>
      </c>
      <c r="BZ59" s="195">
        <v>14637</v>
      </c>
      <c r="CA59" s="195">
        <v>18437</v>
      </c>
      <c r="CB59" s="196">
        <v>1998</v>
      </c>
      <c r="CC59" s="197">
        <v>135</v>
      </c>
      <c r="CD59" s="198">
        <v>3.5499999999999997E-2</v>
      </c>
      <c r="CE59" s="199">
        <v>760</v>
      </c>
      <c r="CF59" s="200">
        <v>895</v>
      </c>
      <c r="CG59" s="195">
        <v>16414</v>
      </c>
      <c r="CH59" s="194"/>
      <c r="CJ59" s="189" t="s">
        <v>264</v>
      </c>
      <c r="CK59" s="227">
        <v>9834</v>
      </c>
      <c r="CL59" s="227">
        <v>1426</v>
      </c>
      <c r="CM59" s="184">
        <v>54</v>
      </c>
      <c r="CN59" s="227">
        <v>1480</v>
      </c>
      <c r="CO59" s="227">
        <v>5107</v>
      </c>
      <c r="CP59" s="184">
        <v>901</v>
      </c>
      <c r="CQ59" s="227">
        <v>6008</v>
      </c>
      <c r="CR59" s="227">
        <v>2346</v>
      </c>
      <c r="CS59" s="184"/>
      <c r="CT59" s="228">
        <v>3301</v>
      </c>
      <c r="CU59" s="229">
        <v>0.27</v>
      </c>
      <c r="CV59" s="220"/>
      <c r="CX59" s="237" t="s">
        <v>321</v>
      </c>
      <c r="CY59" s="238">
        <v>950</v>
      </c>
      <c r="CZ59" s="239">
        <v>0.02</v>
      </c>
      <c r="DA59" s="240">
        <v>19</v>
      </c>
    </row>
    <row r="60" spans="1:105" ht="15.6">
      <c r="A60">
        <v>1992</v>
      </c>
      <c r="J60" s="12">
        <v>215684.93719036516</v>
      </c>
      <c r="T60" s="12">
        <v>105755.27878845604</v>
      </c>
      <c r="U60" s="12">
        <v>209219.72121154395</v>
      </c>
      <c r="AF60" s="12">
        <v>88128</v>
      </c>
      <c r="AP60" s="12">
        <v>25159.912166018083</v>
      </c>
      <c r="AZ60" s="175" t="s">
        <v>270</v>
      </c>
      <c r="BA60" s="12">
        <v>904</v>
      </c>
      <c r="BB60" s="12">
        <v>2539</v>
      </c>
      <c r="BC60" s="12">
        <v>4261</v>
      </c>
      <c r="BD60" s="12">
        <v>7704</v>
      </c>
      <c r="BF60" s="177">
        <v>1914</v>
      </c>
      <c r="BG60" s="177">
        <v>1298</v>
      </c>
      <c r="BH60" s="177">
        <v>616</v>
      </c>
      <c r="BI60" s="177">
        <v>15</v>
      </c>
      <c r="BX60" s="189" t="s">
        <v>319</v>
      </c>
      <c r="BY60" s="195">
        <v>4790</v>
      </c>
      <c r="BZ60" s="195">
        <v>16413</v>
      </c>
      <c r="CA60" s="195">
        <v>21203</v>
      </c>
      <c r="CB60" s="196">
        <v>1999</v>
      </c>
      <c r="CC60" s="197">
        <v>277</v>
      </c>
      <c r="CD60" s="198">
        <v>5.7799999999999997E-2</v>
      </c>
      <c r="CE60" s="199">
        <v>401</v>
      </c>
      <c r="CF60" s="200">
        <v>678</v>
      </c>
      <c r="CG60" s="195">
        <v>7762</v>
      </c>
      <c r="CH60" s="194"/>
      <c r="CJ60" s="189" t="s">
        <v>265</v>
      </c>
      <c r="CK60" s="227">
        <v>3751</v>
      </c>
      <c r="CL60" s="227">
        <v>1480</v>
      </c>
      <c r="CM60" s="184">
        <v>34</v>
      </c>
      <c r="CN60" s="227">
        <v>1514</v>
      </c>
      <c r="CO60" s="227">
        <v>1141</v>
      </c>
      <c r="CP60" s="184">
        <v>201</v>
      </c>
      <c r="CQ60" s="227">
        <v>1342</v>
      </c>
      <c r="CR60" s="184">
        <v>895</v>
      </c>
      <c r="CS60" s="190"/>
      <c r="CT60" s="230">
        <v>1130</v>
      </c>
      <c r="CU60" s="229">
        <v>0.18</v>
      </c>
      <c r="CV60" s="220"/>
      <c r="CX60" s="237" t="s">
        <v>322</v>
      </c>
      <c r="CY60" s="238">
        <v>654</v>
      </c>
      <c r="CZ60" s="239">
        <v>0.02</v>
      </c>
      <c r="DA60" s="240">
        <v>13</v>
      </c>
    </row>
    <row r="61" spans="1:105" ht="15.6">
      <c r="A61">
        <v>1993</v>
      </c>
      <c r="J61" s="12">
        <v>99609.194991718759</v>
      </c>
      <c r="T61" s="12">
        <v>92899.06194342165</v>
      </c>
      <c r="U61" s="12">
        <v>95477.93805657835</v>
      </c>
      <c r="AF61" s="12">
        <v>76477</v>
      </c>
      <c r="AP61" s="12">
        <v>14913.599997385449</v>
      </c>
      <c r="AZ61" s="175" t="s">
        <v>271</v>
      </c>
      <c r="BA61" s="12">
        <v>1487</v>
      </c>
      <c r="BB61" s="12">
        <v>1159</v>
      </c>
      <c r="BC61" s="12">
        <v>4293</v>
      </c>
      <c r="BD61" s="12">
        <v>6939</v>
      </c>
      <c r="BF61" s="177">
        <v>1290</v>
      </c>
      <c r="BG61" s="177">
        <v>945</v>
      </c>
      <c r="BH61" s="177">
        <v>345</v>
      </c>
      <c r="BI61" s="177">
        <v>14</v>
      </c>
      <c r="BX61" s="189" t="s">
        <v>320</v>
      </c>
      <c r="BY61" s="195">
        <v>8985</v>
      </c>
      <c r="BZ61" s="195">
        <v>19452</v>
      </c>
      <c r="CA61" s="195">
        <v>28437</v>
      </c>
      <c r="CB61" s="196">
        <v>2000</v>
      </c>
      <c r="CC61" s="189"/>
      <c r="CD61" s="198">
        <v>0</v>
      </c>
      <c r="CE61" s="190"/>
      <c r="CF61" s="194"/>
      <c r="CG61" s="195">
        <v>5392</v>
      </c>
      <c r="CH61" s="200">
        <v>272</v>
      </c>
      <c r="CJ61" s="189" t="s">
        <v>266</v>
      </c>
      <c r="CK61" s="227">
        <v>4208</v>
      </c>
      <c r="CL61" s="227">
        <v>1718</v>
      </c>
      <c r="CM61" s="184">
        <v>0</v>
      </c>
      <c r="CN61" s="227">
        <v>1718</v>
      </c>
      <c r="CO61" s="227">
        <v>1263</v>
      </c>
      <c r="CP61" s="184">
        <v>223</v>
      </c>
      <c r="CQ61" s="227">
        <v>1486</v>
      </c>
      <c r="CR61" s="227">
        <v>1004</v>
      </c>
      <c r="CS61" s="190"/>
      <c r="CT61" s="228">
        <v>1227</v>
      </c>
      <c r="CU61" s="229">
        <v>0.18</v>
      </c>
      <c r="CV61" s="220"/>
      <c r="CX61" s="237" t="s">
        <v>323</v>
      </c>
      <c r="CY61" s="238">
        <v>507</v>
      </c>
      <c r="CZ61" s="239">
        <v>0.02</v>
      </c>
      <c r="DA61" s="240">
        <v>10</v>
      </c>
    </row>
    <row r="62" spans="1:105" ht="15.6">
      <c r="A62">
        <v>1994</v>
      </c>
      <c r="J62" s="12">
        <v>67725.481989220731</v>
      </c>
      <c r="T62" s="12">
        <v>95897.338459819235</v>
      </c>
      <c r="U62" s="12">
        <v>66080.661540180765</v>
      </c>
      <c r="AF62" s="12">
        <v>84767</v>
      </c>
      <c r="AP62" s="12">
        <v>12444.923768825191</v>
      </c>
      <c r="AZ62" s="175" t="s">
        <v>272</v>
      </c>
      <c r="BA62" s="12">
        <v>482</v>
      </c>
      <c r="BB62" s="12">
        <v>1781</v>
      </c>
      <c r="BC62" s="12">
        <v>4391</v>
      </c>
      <c r="BD62" s="12">
        <v>6654</v>
      </c>
      <c r="BF62" s="177">
        <v>1531</v>
      </c>
      <c r="BG62" s="177">
        <v>875</v>
      </c>
      <c r="BH62" s="177">
        <v>656</v>
      </c>
      <c r="BI62" s="177">
        <v>40</v>
      </c>
      <c r="BX62" s="189" t="s">
        <v>321</v>
      </c>
      <c r="BY62" s="195">
        <v>8749</v>
      </c>
      <c r="BZ62" s="195">
        <v>34636</v>
      </c>
      <c r="CA62" s="195">
        <v>43385</v>
      </c>
      <c r="CB62" s="196">
        <v>2001</v>
      </c>
      <c r="CC62" s="197">
        <v>99</v>
      </c>
      <c r="CD62" s="198">
        <v>1.1299999999999999E-2</v>
      </c>
      <c r="CE62" s="199">
        <v>301</v>
      </c>
      <c r="CF62" s="200">
        <v>400</v>
      </c>
      <c r="CG62" s="195">
        <v>13151</v>
      </c>
      <c r="CH62" s="200">
        <v>334</v>
      </c>
      <c r="CJ62" s="189" t="s">
        <v>267</v>
      </c>
      <c r="CK62" s="227">
        <v>1702</v>
      </c>
      <c r="CL62" s="184">
        <v>833</v>
      </c>
      <c r="CM62" s="184">
        <v>0</v>
      </c>
      <c r="CN62" s="184">
        <v>833</v>
      </c>
      <c r="CO62" s="184">
        <v>536</v>
      </c>
      <c r="CP62" s="184">
        <v>95</v>
      </c>
      <c r="CQ62" s="184">
        <v>631</v>
      </c>
      <c r="CR62" s="184">
        <v>238</v>
      </c>
      <c r="CS62" s="184">
        <v>95</v>
      </c>
      <c r="CT62" s="230">
        <v>333</v>
      </c>
      <c r="CU62" s="229">
        <v>0.28999999999999998</v>
      </c>
      <c r="CV62" s="220"/>
      <c r="CX62" s="237" t="s">
        <v>324</v>
      </c>
      <c r="CY62" s="238">
        <v>273</v>
      </c>
      <c r="CZ62" s="239">
        <v>0.02</v>
      </c>
      <c r="DA62" s="240">
        <v>5</v>
      </c>
    </row>
    <row r="63" spans="1:105" ht="15.6">
      <c r="A63">
        <v>1995</v>
      </c>
      <c r="J63" s="12">
        <v>112280.86855782381</v>
      </c>
      <c r="T63" s="12">
        <v>93832.565461346632</v>
      </c>
      <c r="U63" s="12">
        <v>108615.43453865337</v>
      </c>
      <c r="AF63" s="12">
        <v>83265</v>
      </c>
      <c r="AP63" s="12">
        <v>14273.356981820725</v>
      </c>
      <c r="AZ63" s="175" t="s">
        <v>273</v>
      </c>
      <c r="BA63" s="12">
        <v>1662</v>
      </c>
      <c r="BB63" s="12">
        <v>2708</v>
      </c>
      <c r="BC63" s="12">
        <v>11855</v>
      </c>
      <c r="BD63" s="12">
        <v>16225</v>
      </c>
      <c r="BF63" s="177">
        <v>2081</v>
      </c>
      <c r="BG63" s="177">
        <v>1296</v>
      </c>
      <c r="BH63" s="177">
        <v>785</v>
      </c>
      <c r="BI63" s="177">
        <v>35</v>
      </c>
      <c r="BX63" s="189" t="s">
        <v>322</v>
      </c>
      <c r="BY63" s="195">
        <v>9363</v>
      </c>
      <c r="BZ63" s="195">
        <v>24083</v>
      </c>
      <c r="CA63" s="195">
        <v>33446</v>
      </c>
      <c r="CB63" s="196">
        <v>2002</v>
      </c>
      <c r="CC63" s="197">
        <v>80</v>
      </c>
      <c r="CD63" s="198">
        <v>8.5000000000000006E-3</v>
      </c>
      <c r="CE63" s="199">
        <v>535</v>
      </c>
      <c r="CF63" s="200">
        <v>615</v>
      </c>
      <c r="CG63" s="195">
        <v>12899</v>
      </c>
      <c r="CH63" s="200">
        <v>692</v>
      </c>
      <c r="CJ63" s="189" t="s">
        <v>268</v>
      </c>
      <c r="CK63" s="227">
        <v>2957</v>
      </c>
      <c r="CL63" s="227">
        <v>1055</v>
      </c>
      <c r="CM63" s="184">
        <v>0</v>
      </c>
      <c r="CN63" s="227">
        <v>1055</v>
      </c>
      <c r="CO63" s="227">
        <v>1464</v>
      </c>
      <c r="CP63" s="184">
        <v>258</v>
      </c>
      <c r="CQ63" s="227">
        <v>1722</v>
      </c>
      <c r="CR63" s="184">
        <v>180</v>
      </c>
      <c r="CS63" s="184">
        <v>72</v>
      </c>
      <c r="CT63" s="230">
        <v>438</v>
      </c>
      <c r="CU63" s="229">
        <v>0.59</v>
      </c>
      <c r="CV63" s="220"/>
      <c r="CX63" s="237" t="s">
        <v>325</v>
      </c>
      <c r="CY63" s="238">
        <v>342</v>
      </c>
      <c r="CZ63" s="239">
        <v>0.02</v>
      </c>
      <c r="DA63" s="240">
        <v>7</v>
      </c>
    </row>
    <row r="64" spans="1:105" ht="15.6">
      <c r="A64">
        <v>1996</v>
      </c>
      <c r="J64" s="12">
        <v>122067.61599419832</v>
      </c>
      <c r="T64" s="12">
        <v>86125.642932489442</v>
      </c>
      <c r="U64" s="12">
        <v>119090.35706751056</v>
      </c>
      <c r="AF64" s="12">
        <v>76389</v>
      </c>
      <c r="AP64" s="12">
        <v>12243.63612940157</v>
      </c>
      <c r="AZ64" s="175" t="s">
        <v>274</v>
      </c>
      <c r="BA64" s="12">
        <v>3458</v>
      </c>
      <c r="BB64" s="12">
        <v>5932</v>
      </c>
      <c r="BC64" s="12">
        <v>23618</v>
      </c>
      <c r="BD64" s="12">
        <v>33008</v>
      </c>
      <c r="BF64" s="177">
        <v>2477</v>
      </c>
      <c r="BG64" s="177">
        <v>1014</v>
      </c>
      <c r="BH64" s="177">
        <v>1463</v>
      </c>
      <c r="BI64" s="177">
        <v>67</v>
      </c>
      <c r="BX64" s="189" t="s">
        <v>323</v>
      </c>
      <c r="BY64" s="195">
        <v>5524</v>
      </c>
      <c r="BZ64" s="195">
        <v>11808</v>
      </c>
      <c r="CA64" s="195">
        <v>17332</v>
      </c>
      <c r="CB64" s="196">
        <v>2003</v>
      </c>
      <c r="CC64" s="197">
        <v>62</v>
      </c>
      <c r="CD64" s="198">
        <v>1.12E-2</v>
      </c>
      <c r="CE64" s="199">
        <v>111</v>
      </c>
      <c r="CF64" s="200">
        <v>173</v>
      </c>
      <c r="CG64" s="195">
        <v>14491</v>
      </c>
      <c r="CH64" s="200">
        <v>762</v>
      </c>
      <c r="CJ64" s="189" t="s">
        <v>269</v>
      </c>
      <c r="CK64" s="227">
        <v>3595</v>
      </c>
      <c r="CL64" s="184">
        <v>823</v>
      </c>
      <c r="CM64" s="184">
        <v>8</v>
      </c>
      <c r="CN64" s="184">
        <v>831</v>
      </c>
      <c r="CO64" s="227">
        <v>1620</v>
      </c>
      <c r="CP64" s="184">
        <v>286</v>
      </c>
      <c r="CQ64" s="227">
        <v>1906</v>
      </c>
      <c r="CR64" s="184">
        <v>858</v>
      </c>
      <c r="CS64" s="190"/>
      <c r="CT64" s="230">
        <v>1152</v>
      </c>
      <c r="CU64" s="229">
        <v>0.25</v>
      </c>
      <c r="CV64" s="220"/>
      <c r="CX64" s="237" t="s">
        <v>327</v>
      </c>
      <c r="CY64" s="238">
        <v>423</v>
      </c>
      <c r="CZ64" s="239">
        <v>0.02</v>
      </c>
      <c r="DA64" s="240">
        <v>8</v>
      </c>
    </row>
    <row r="65" spans="1:105" ht="15.6">
      <c r="A65">
        <v>1997</v>
      </c>
      <c r="J65" s="12">
        <v>129607.07182899977</v>
      </c>
      <c r="T65" s="12">
        <v>131351.26445779213</v>
      </c>
      <c r="U65" s="12">
        <v>127033.73554220787</v>
      </c>
      <c r="AF65" s="12">
        <v>117219</v>
      </c>
      <c r="AP65" s="12">
        <v>14566.358045123816</v>
      </c>
      <c r="AZ65" s="175" t="s">
        <v>275</v>
      </c>
      <c r="BA65" s="12">
        <v>1820</v>
      </c>
      <c r="BB65" s="12">
        <v>5042</v>
      </c>
      <c r="BC65" s="12">
        <v>17703</v>
      </c>
      <c r="BD65" s="12">
        <v>24565</v>
      </c>
      <c r="BF65" s="177">
        <v>1765</v>
      </c>
      <c r="BG65" s="177">
        <v>862</v>
      </c>
      <c r="BH65" s="177">
        <v>903</v>
      </c>
      <c r="BI65" s="177">
        <v>89</v>
      </c>
      <c r="BX65" s="189" t="s">
        <v>324</v>
      </c>
      <c r="BY65" s="195">
        <v>3161</v>
      </c>
      <c r="BZ65" s="195">
        <v>9326</v>
      </c>
      <c r="CA65" s="195">
        <v>12487</v>
      </c>
      <c r="CB65" s="196">
        <v>2004</v>
      </c>
      <c r="CC65" s="197">
        <v>30</v>
      </c>
      <c r="CD65" s="198">
        <v>9.4999999999999998E-3</v>
      </c>
      <c r="CE65" s="199">
        <v>195</v>
      </c>
      <c r="CF65" s="200">
        <v>225</v>
      </c>
      <c r="CG65" s="195">
        <v>14521</v>
      </c>
      <c r="CH65" s="200">
        <v>771</v>
      </c>
      <c r="CJ65" s="189" t="s">
        <v>270</v>
      </c>
      <c r="CK65" s="227">
        <v>3251</v>
      </c>
      <c r="CL65" s="227">
        <v>1260</v>
      </c>
      <c r="CM65" s="184">
        <v>0</v>
      </c>
      <c r="CN65" s="227">
        <v>1260</v>
      </c>
      <c r="CO65" s="227">
        <v>1033</v>
      </c>
      <c r="CP65" s="184">
        <v>182</v>
      </c>
      <c r="CQ65" s="227">
        <v>1215</v>
      </c>
      <c r="CR65" s="184">
        <v>776</v>
      </c>
      <c r="CS65" s="190"/>
      <c r="CT65" s="230">
        <v>958</v>
      </c>
      <c r="CU65" s="229">
        <v>0.19</v>
      </c>
      <c r="CV65" s="220"/>
      <c r="CX65" s="237" t="s">
        <v>330</v>
      </c>
      <c r="CY65" s="238">
        <v>264</v>
      </c>
      <c r="CZ65" s="239">
        <v>0.02</v>
      </c>
      <c r="DA65" s="240">
        <v>5</v>
      </c>
    </row>
    <row r="66" spans="1:105" ht="15.6">
      <c r="A66">
        <v>1998</v>
      </c>
      <c r="J66" s="12">
        <v>93713.465566023922</v>
      </c>
      <c r="T66" s="12">
        <v>93224.89519245633</v>
      </c>
      <c r="U66" s="12">
        <v>91869.10480754367</v>
      </c>
      <c r="AF66" s="12">
        <v>84713</v>
      </c>
      <c r="AP66" s="12">
        <v>12170.328064148331</v>
      </c>
      <c r="AZ66" s="175" t="s">
        <v>276</v>
      </c>
      <c r="BA66" s="12">
        <v>3800</v>
      </c>
      <c r="BB66" s="12">
        <v>3527</v>
      </c>
      <c r="BC66" s="12">
        <v>11110</v>
      </c>
      <c r="BD66" s="12">
        <v>18437</v>
      </c>
      <c r="BF66" s="177">
        <v>1886</v>
      </c>
      <c r="BG66" s="177">
        <v>1135</v>
      </c>
      <c r="BH66" s="177">
        <v>751</v>
      </c>
      <c r="BI66" s="177">
        <v>54</v>
      </c>
      <c r="BX66" s="189" t="s">
        <v>325</v>
      </c>
      <c r="BY66" s="195">
        <v>3432</v>
      </c>
      <c r="BZ66" s="195">
        <v>10706</v>
      </c>
      <c r="CA66" s="195">
        <v>14138</v>
      </c>
      <c r="CB66" s="196">
        <v>2005</v>
      </c>
      <c r="CC66" s="197">
        <v>53</v>
      </c>
      <c r="CD66" s="198">
        <v>1.54E-2</v>
      </c>
      <c r="CE66" s="199">
        <v>350</v>
      </c>
      <c r="CF66" s="194" t="s">
        <v>326</v>
      </c>
      <c r="CG66" s="195">
        <v>15771</v>
      </c>
      <c r="CH66" s="200">
        <v>542</v>
      </c>
      <c r="CJ66" s="189" t="s">
        <v>271</v>
      </c>
      <c r="CK66" s="227">
        <v>3402</v>
      </c>
      <c r="CL66" s="227">
        <v>1211</v>
      </c>
      <c r="CM66" s="184">
        <v>25</v>
      </c>
      <c r="CN66" s="227">
        <v>1236</v>
      </c>
      <c r="CO66" s="227">
        <v>1151</v>
      </c>
      <c r="CP66" s="184">
        <v>203</v>
      </c>
      <c r="CQ66" s="227">
        <v>1354</v>
      </c>
      <c r="CR66" s="184">
        <v>812</v>
      </c>
      <c r="CS66" s="190"/>
      <c r="CT66" s="230">
        <v>1040</v>
      </c>
      <c r="CU66" s="229">
        <v>0.2</v>
      </c>
      <c r="CV66" s="220"/>
      <c r="CX66" s="237" t="s">
        <v>331</v>
      </c>
      <c r="CY66" s="238">
        <v>170</v>
      </c>
      <c r="CZ66" s="239">
        <v>0.02</v>
      </c>
      <c r="DA66" s="240">
        <v>3</v>
      </c>
    </row>
    <row r="67" spans="1:105" ht="15.6">
      <c r="A67">
        <v>1999</v>
      </c>
      <c r="B67" s="12">
        <v>1316.5829145728644</v>
      </c>
      <c r="C67" s="12">
        <v>6151.419558359622</v>
      </c>
      <c r="D67" s="12">
        <v>37923.809512123036</v>
      </c>
      <c r="E67" s="12">
        <v>56892.818789552017</v>
      </c>
      <c r="F67" s="12">
        <v>0</v>
      </c>
      <c r="G67" s="12">
        <v>0</v>
      </c>
      <c r="H67" s="12">
        <v>39240.3924266959</v>
      </c>
      <c r="I67" s="12">
        <v>63044.23834791164</v>
      </c>
      <c r="J67" s="12">
        <v>102284.63077460753</v>
      </c>
      <c r="L67" s="12">
        <v>1310</v>
      </c>
      <c r="M67" s="12">
        <v>5850</v>
      </c>
      <c r="N67" s="12">
        <v>37732.567909501857</v>
      </c>
      <c r="O67" s="12">
        <v>54426.287039617418</v>
      </c>
      <c r="P67" s="12">
        <v>0</v>
      </c>
      <c r="Q67" s="12">
        <v>0</v>
      </c>
      <c r="R67" s="12">
        <v>39042.567909501857</v>
      </c>
      <c r="S67" s="12">
        <v>60276.287039617418</v>
      </c>
      <c r="T67" s="12">
        <v>99318.854949119268</v>
      </c>
      <c r="U67" s="12">
        <v>107169.14505088073</v>
      </c>
      <c r="X67" s="12">
        <v>1252.3599999999999</v>
      </c>
      <c r="Y67" s="12">
        <v>5589.732</v>
      </c>
      <c r="Z67" s="12">
        <v>33952.114095999998</v>
      </c>
      <c r="AA67" s="12">
        <v>45582.888239999986</v>
      </c>
      <c r="AB67" s="12">
        <v>0</v>
      </c>
      <c r="AC67" s="12">
        <v>0</v>
      </c>
      <c r="AD67" s="12">
        <v>35204.474095999998</v>
      </c>
      <c r="AE67" s="12">
        <v>51172.620239999989</v>
      </c>
      <c r="AF67" s="12">
        <v>86377.09433599998</v>
      </c>
      <c r="AH67" s="12">
        <v>6.5829145728643219</v>
      </c>
      <c r="AI67" s="12">
        <v>304.41955835962148</v>
      </c>
      <c r="AJ67" s="12">
        <v>2409.0458133782695</v>
      </c>
      <c r="AK67" s="12">
        <v>9211.9733502214876</v>
      </c>
      <c r="AL67" s="12">
        <v>0</v>
      </c>
      <c r="AM67" s="12">
        <v>0</v>
      </c>
      <c r="AN67" s="12">
        <v>2415.6287279511339</v>
      </c>
      <c r="AO67" s="12">
        <v>9516.3929085811087</v>
      </c>
      <c r="AP67" s="12">
        <v>11932.021636532243</v>
      </c>
      <c r="AS67" s="171">
        <v>9.5233075044365966E-3</v>
      </c>
      <c r="AT67" s="171">
        <v>1.4373170082512644E-2</v>
      </c>
      <c r="AV67" s="171">
        <v>0.10791803370293204</v>
      </c>
      <c r="AW67" s="171">
        <v>0.11941322357659226</v>
      </c>
      <c r="AX67" s="171">
        <v>7.7137878175001104E-2</v>
      </c>
      <c r="AZ67" s="175" t="s">
        <v>277</v>
      </c>
      <c r="BA67" s="12">
        <v>4790</v>
      </c>
      <c r="BB67" s="12">
        <v>2628</v>
      </c>
      <c r="BC67" s="12">
        <v>13785</v>
      </c>
      <c r="BD67" s="12">
        <v>21203</v>
      </c>
      <c r="BF67" s="177">
        <v>2892</v>
      </c>
      <c r="BG67" s="177">
        <v>2160</v>
      </c>
      <c r="BH67" s="177">
        <v>732</v>
      </c>
      <c r="BI67" s="177">
        <v>74</v>
      </c>
      <c r="BX67" s="189" t="s">
        <v>327</v>
      </c>
      <c r="BY67" s="195">
        <v>3986</v>
      </c>
      <c r="BZ67" s="195">
        <v>25778</v>
      </c>
      <c r="CA67" s="195">
        <v>29764</v>
      </c>
      <c r="CB67" s="196">
        <v>2006</v>
      </c>
      <c r="CC67" s="189" t="s">
        <v>328</v>
      </c>
      <c r="CD67" s="182"/>
      <c r="CE67" s="191" t="s">
        <v>329</v>
      </c>
      <c r="CF67" s="194" t="s">
        <v>328</v>
      </c>
      <c r="CG67" s="195">
        <v>11740</v>
      </c>
      <c r="CH67" s="200">
        <v>753</v>
      </c>
      <c r="CJ67" s="189" t="s">
        <v>272</v>
      </c>
      <c r="CK67" s="227">
        <v>1915</v>
      </c>
      <c r="CL67" s="184">
        <v>857</v>
      </c>
      <c r="CM67" s="184">
        <v>34</v>
      </c>
      <c r="CN67" s="184">
        <v>891</v>
      </c>
      <c r="CO67" s="184">
        <v>482</v>
      </c>
      <c r="CP67" s="184">
        <v>85</v>
      </c>
      <c r="CQ67" s="184">
        <v>567</v>
      </c>
      <c r="CR67" s="184">
        <v>457</v>
      </c>
      <c r="CS67" s="190"/>
      <c r="CT67" s="230">
        <v>576</v>
      </c>
      <c r="CU67" s="229">
        <v>0.15</v>
      </c>
      <c r="CV67" s="220"/>
      <c r="CX67" s="237" t="s">
        <v>332</v>
      </c>
      <c r="CY67" s="238">
        <v>568</v>
      </c>
      <c r="CZ67" s="239">
        <v>0.02</v>
      </c>
      <c r="DA67" s="240">
        <v>11</v>
      </c>
    </row>
    <row r="68" spans="1:105" ht="15.6">
      <c r="A68">
        <v>2000</v>
      </c>
      <c r="B68" s="12">
        <v>5751.0040160642575</v>
      </c>
      <c r="C68" s="12">
        <v>11392.259414225942</v>
      </c>
      <c r="D68" s="12">
        <v>37599.436226278165</v>
      </c>
      <c r="E68" s="12">
        <v>60180.140879901657</v>
      </c>
      <c r="F68" s="12">
        <v>0</v>
      </c>
      <c r="G68" s="12">
        <v>0</v>
      </c>
      <c r="H68" s="12">
        <v>43350.440242342425</v>
      </c>
      <c r="I68" s="12">
        <v>71572.400294127598</v>
      </c>
      <c r="J68" s="12">
        <v>114922.84053647003</v>
      </c>
      <c r="L68" s="12">
        <v>5728</v>
      </c>
      <c r="M68" s="12">
        <v>10891</v>
      </c>
      <c r="N68" s="12">
        <v>37321.408508402659</v>
      </c>
      <c r="O68" s="12">
        <v>57287.602474792751</v>
      </c>
      <c r="P68" s="12">
        <v>0</v>
      </c>
      <c r="Q68" s="12">
        <v>0</v>
      </c>
      <c r="R68" s="12">
        <v>43049.408508402659</v>
      </c>
      <c r="S68" s="12">
        <v>68178.602474792744</v>
      </c>
      <c r="T68" s="12">
        <v>111228.0109831954</v>
      </c>
      <c r="U68" s="12">
        <v>163949.98901680461</v>
      </c>
      <c r="X68" s="12">
        <v>5474.0559999999996</v>
      </c>
      <c r="Y68" s="12">
        <v>10366.864</v>
      </c>
      <c r="Z68" s="12">
        <v>33844.843747999999</v>
      </c>
      <c r="AA68" s="12">
        <v>46769.326207999999</v>
      </c>
      <c r="AB68" s="12">
        <v>0</v>
      </c>
      <c r="AC68" s="12">
        <v>0</v>
      </c>
      <c r="AD68" s="12">
        <v>39318.899747999996</v>
      </c>
      <c r="AE68" s="12">
        <v>57136.190208</v>
      </c>
      <c r="AF68" s="12">
        <v>96455.089955999996</v>
      </c>
      <c r="AH68" s="12">
        <v>25.00401606425703</v>
      </c>
      <c r="AI68" s="12">
        <v>548.25941422594144</v>
      </c>
      <c r="AJ68" s="12">
        <v>2196.8800045208432</v>
      </c>
      <c r="AK68" s="12">
        <v>11258.251540989517</v>
      </c>
      <c r="AL68" s="12">
        <v>0</v>
      </c>
      <c r="AM68" s="12">
        <v>0</v>
      </c>
      <c r="AN68" s="12">
        <v>2221.8840205851002</v>
      </c>
      <c r="AO68" s="12">
        <v>11806.510955215459</v>
      </c>
      <c r="AP68" s="12">
        <v>14028.394975800558</v>
      </c>
      <c r="AS68" s="171">
        <v>1.5428535771114785E-2</v>
      </c>
      <c r="AT68" s="171">
        <v>1.6038968753712725E-2</v>
      </c>
      <c r="AV68" s="171">
        <v>0.14407585885279031</v>
      </c>
      <c r="AW68" s="171">
        <v>0.14243670981110543</v>
      </c>
      <c r="AX68" s="171">
        <v>0.102496152027968</v>
      </c>
      <c r="AZ68" s="175" t="s">
        <v>278</v>
      </c>
      <c r="BA68" s="12">
        <v>8985</v>
      </c>
      <c r="BB68" s="12">
        <v>4380</v>
      </c>
      <c r="BC68" s="12">
        <v>15072</v>
      </c>
      <c r="BD68" s="12">
        <v>28437</v>
      </c>
      <c r="BF68" s="177">
        <v>3662</v>
      </c>
      <c r="BG68" s="177">
        <v>2596</v>
      </c>
      <c r="BH68" s="177">
        <v>1066</v>
      </c>
      <c r="BI68" s="177">
        <v>87</v>
      </c>
      <c r="BX68" s="189" t="s">
        <v>330</v>
      </c>
      <c r="BY68" s="195">
        <v>3482</v>
      </c>
      <c r="BZ68" s="195">
        <v>14049</v>
      </c>
      <c r="CA68" s="195">
        <v>17531</v>
      </c>
      <c r="CB68" s="196">
        <v>2007</v>
      </c>
      <c r="CC68" s="189" t="s">
        <v>328</v>
      </c>
      <c r="CD68" s="182"/>
      <c r="CE68" s="191" t="s">
        <v>329</v>
      </c>
      <c r="CF68" s="194" t="s">
        <v>328</v>
      </c>
      <c r="CG68" s="195">
        <v>7608</v>
      </c>
      <c r="CH68" s="200">
        <v>460</v>
      </c>
      <c r="CJ68" s="189" t="s">
        <v>273</v>
      </c>
      <c r="CK68" s="227">
        <v>1805</v>
      </c>
      <c r="CL68" s="184">
        <v>864</v>
      </c>
      <c r="CM68" s="184">
        <v>9</v>
      </c>
      <c r="CN68" s="184">
        <v>873</v>
      </c>
      <c r="CO68" s="184">
        <v>433</v>
      </c>
      <c r="CP68" s="184">
        <v>76</v>
      </c>
      <c r="CQ68" s="184">
        <v>509</v>
      </c>
      <c r="CR68" s="184">
        <v>423</v>
      </c>
      <c r="CS68" s="184">
        <v>169</v>
      </c>
      <c r="CT68" s="230">
        <v>508</v>
      </c>
      <c r="CU68" s="229">
        <v>0.15</v>
      </c>
      <c r="CV68" s="220"/>
      <c r="CX68" s="237" t="s">
        <v>333</v>
      </c>
      <c r="CY68" s="238">
        <v>271</v>
      </c>
      <c r="CZ68" s="239">
        <v>0.02</v>
      </c>
      <c r="DA68" s="240">
        <v>5</v>
      </c>
    </row>
    <row r="69" spans="1:105" ht="15.6">
      <c r="A69">
        <v>2001</v>
      </c>
      <c r="B69" s="12">
        <v>7975.92778335005</v>
      </c>
      <c r="C69" s="12">
        <v>21371.399176954732</v>
      </c>
      <c r="D69" s="12">
        <v>82880.6971665155</v>
      </c>
      <c r="E69" s="12">
        <v>179082.71622811543</v>
      </c>
      <c r="F69" s="12">
        <v>0</v>
      </c>
      <c r="G69" s="12">
        <v>0</v>
      </c>
      <c r="H69" s="12">
        <v>90856.624949865552</v>
      </c>
      <c r="I69" s="12">
        <v>200454.11540507016</v>
      </c>
      <c r="J69" s="12">
        <v>291310.7403549357</v>
      </c>
      <c r="L69" s="12">
        <v>7952</v>
      </c>
      <c r="M69" s="12">
        <v>20773</v>
      </c>
      <c r="N69" s="12">
        <v>82463.063782207159</v>
      </c>
      <c r="O69" s="12">
        <v>174847.67544289856</v>
      </c>
      <c r="P69" s="12">
        <v>0</v>
      </c>
      <c r="Q69" s="12">
        <v>0</v>
      </c>
      <c r="R69" s="12">
        <v>90415.063782207159</v>
      </c>
      <c r="S69" s="12">
        <v>195620.67544289856</v>
      </c>
      <c r="T69" s="12">
        <v>286035.73922510573</v>
      </c>
      <c r="U69" s="12">
        <v>347037.26077489427</v>
      </c>
      <c r="X69" s="12">
        <v>7440.5479999999998</v>
      </c>
      <c r="Y69" s="12">
        <v>19380.987999999998</v>
      </c>
      <c r="Z69" s="12">
        <v>75205.754119999998</v>
      </c>
      <c r="AA69" s="12">
        <v>146034.94461999999</v>
      </c>
      <c r="AB69" s="12">
        <v>0</v>
      </c>
      <c r="AC69" s="12">
        <v>0</v>
      </c>
      <c r="AD69" s="12">
        <v>82646.302119999993</v>
      </c>
      <c r="AE69" s="12">
        <v>165415.93261999998</v>
      </c>
      <c r="AF69" s="12">
        <v>248062.23473999999</v>
      </c>
      <c r="AH69" s="12">
        <v>192.92778335005016</v>
      </c>
      <c r="AI69" s="12">
        <v>1098.3991769547324</v>
      </c>
      <c r="AJ69" s="12">
        <v>4213.5903464318053</v>
      </c>
      <c r="AK69" s="12">
        <v>26326.498006358102</v>
      </c>
      <c r="AL69" s="12">
        <v>0</v>
      </c>
      <c r="AM69" s="12">
        <v>0</v>
      </c>
      <c r="AN69" s="12">
        <v>4406.5181297818554</v>
      </c>
      <c r="AO69" s="12">
        <v>27424.897183312834</v>
      </c>
      <c r="AP69" s="12">
        <v>31831.415313094691</v>
      </c>
      <c r="AS69" s="171">
        <v>1.0839224216059453E-2</v>
      </c>
      <c r="AT69" s="171">
        <v>1.2973062303751446E-2</v>
      </c>
      <c r="AV69" s="171">
        <v>0.10700747543288001</v>
      </c>
      <c r="AW69" s="171">
        <v>0.10552463436989414</v>
      </c>
      <c r="AX69" s="171">
        <v>7.9575308236863623E-2</v>
      </c>
      <c r="AZ69" s="175" t="s">
        <v>279</v>
      </c>
      <c r="BA69" s="12">
        <v>8749</v>
      </c>
      <c r="BB69" s="12">
        <v>9373</v>
      </c>
      <c r="BC69" s="12">
        <v>25263</v>
      </c>
      <c r="BD69" s="12">
        <v>31784</v>
      </c>
      <c r="BF69" s="177">
        <v>5520</v>
      </c>
      <c r="BG69" s="177">
        <v>3562</v>
      </c>
      <c r="BH69" s="177">
        <v>1958</v>
      </c>
      <c r="BI69" s="177">
        <v>147</v>
      </c>
      <c r="BX69" s="189" t="s">
        <v>331</v>
      </c>
      <c r="BY69" s="195">
        <v>4048</v>
      </c>
      <c r="BZ69" s="195">
        <v>14995</v>
      </c>
      <c r="CA69" s="195">
        <v>19043</v>
      </c>
      <c r="CB69" s="196">
        <v>2008</v>
      </c>
      <c r="CC69" s="189" t="s">
        <v>328</v>
      </c>
      <c r="CD69" s="182"/>
      <c r="CE69" s="191" t="s">
        <v>329</v>
      </c>
      <c r="CF69" s="194" t="s">
        <v>328</v>
      </c>
      <c r="CG69" s="195">
        <v>7614</v>
      </c>
      <c r="CH69" s="200">
        <v>415</v>
      </c>
      <c r="CJ69" s="189" t="s">
        <v>274</v>
      </c>
      <c r="CK69" s="227">
        <v>1082</v>
      </c>
      <c r="CL69" s="184">
        <v>608</v>
      </c>
      <c r="CM69" s="184">
        <v>14</v>
      </c>
      <c r="CN69" s="184">
        <v>622</v>
      </c>
      <c r="CO69" s="184">
        <v>241</v>
      </c>
      <c r="CP69" s="184">
        <v>43</v>
      </c>
      <c r="CQ69" s="184">
        <v>284</v>
      </c>
      <c r="CR69" s="184">
        <v>176</v>
      </c>
      <c r="CS69" s="184">
        <v>71</v>
      </c>
      <c r="CT69" s="230">
        <v>233</v>
      </c>
      <c r="CU69" s="229">
        <v>0.18</v>
      </c>
      <c r="CV69" s="220"/>
      <c r="CX69" s="237" t="s">
        <v>335</v>
      </c>
      <c r="CY69" s="238">
        <v>653</v>
      </c>
      <c r="CZ69" s="239">
        <v>0.02</v>
      </c>
      <c r="DA69" s="240">
        <v>13</v>
      </c>
    </row>
    <row r="70" spans="1:105" ht="15.6">
      <c r="A70">
        <v>2002</v>
      </c>
      <c r="B70" s="12">
        <v>9709.8393574297188</v>
      </c>
      <c r="C70" s="12">
        <v>15925.155925155927</v>
      </c>
      <c r="D70" s="12">
        <v>57379.932671598392</v>
      </c>
      <c r="E70" s="12">
        <v>148457.52342085543</v>
      </c>
      <c r="F70" s="12">
        <v>0</v>
      </c>
      <c r="G70" s="12">
        <v>0</v>
      </c>
      <c r="H70" s="12">
        <v>67089.772029028114</v>
      </c>
      <c r="I70" s="12">
        <v>164382.67934601137</v>
      </c>
      <c r="J70" s="12">
        <v>231472.45137503947</v>
      </c>
      <c r="L70" s="12">
        <v>9671</v>
      </c>
      <c r="M70" s="12">
        <v>15320</v>
      </c>
      <c r="N70" s="12">
        <v>57038.782248415926</v>
      </c>
      <c r="O70" s="12">
        <v>143987.96714943892</v>
      </c>
      <c r="P70" s="12">
        <v>0</v>
      </c>
      <c r="Q70" s="12">
        <v>0</v>
      </c>
      <c r="R70" s="12">
        <v>66709.782248415926</v>
      </c>
      <c r="S70" s="12">
        <v>159307.96714943892</v>
      </c>
      <c r="T70" s="12">
        <v>226017.74939785484</v>
      </c>
      <c r="U70" s="12">
        <v>254291.25060214516</v>
      </c>
      <c r="X70" s="12">
        <v>9095.384</v>
      </c>
      <c r="Y70" s="12">
        <v>14360.075999999999</v>
      </c>
      <c r="Z70" s="12">
        <v>52775.577047999992</v>
      </c>
      <c r="AA70" s="12">
        <v>122689.15345199998</v>
      </c>
      <c r="AB70" s="12">
        <v>0</v>
      </c>
      <c r="AC70" s="12">
        <v>0</v>
      </c>
      <c r="AD70" s="12">
        <v>61870.96104799999</v>
      </c>
      <c r="AE70" s="12">
        <v>137049.22945199997</v>
      </c>
      <c r="AF70" s="12">
        <v>198920.19049999997</v>
      </c>
      <c r="AH70" s="12">
        <v>195.83935742971886</v>
      </c>
      <c r="AI70" s="12">
        <v>904.15592515592516</v>
      </c>
      <c r="AJ70" s="12">
        <v>2175.3541695063459</v>
      </c>
      <c r="AK70" s="12">
        <v>20121.588847633702</v>
      </c>
      <c r="AL70" s="12">
        <v>0</v>
      </c>
      <c r="AM70" s="12">
        <v>0</v>
      </c>
      <c r="AN70" s="12">
        <v>2371.1935269360647</v>
      </c>
      <c r="AO70" s="12">
        <v>21025.744772789629</v>
      </c>
      <c r="AP70" s="12">
        <v>23396.938299725694</v>
      </c>
      <c r="AS70" s="171">
        <v>1.0911410282694366E-2</v>
      </c>
      <c r="AT70" s="171">
        <v>1.3079337723887486E-2</v>
      </c>
      <c r="AV70" s="171">
        <v>0.10853768366855973</v>
      </c>
      <c r="AW70" s="171">
        <v>0.10230269831608846</v>
      </c>
      <c r="AX70" s="171">
        <v>7.7727836446071605E-2</v>
      </c>
      <c r="AZ70" s="175" t="s">
        <v>280</v>
      </c>
      <c r="BA70" s="12">
        <v>9363</v>
      </c>
      <c r="BB70" s="12">
        <v>8880</v>
      </c>
      <c r="BC70" s="12">
        <v>15203</v>
      </c>
      <c r="BD70" s="12">
        <v>23004</v>
      </c>
      <c r="BX70" s="189" t="s">
        <v>332</v>
      </c>
      <c r="BY70" s="195">
        <v>4236</v>
      </c>
      <c r="BZ70" s="195">
        <v>25325</v>
      </c>
      <c r="CA70" s="195">
        <v>29561</v>
      </c>
      <c r="CB70" s="196">
        <v>2009</v>
      </c>
      <c r="CC70" s="197">
        <v>67</v>
      </c>
      <c r="CD70" s="198">
        <v>1.5800000000000002E-2</v>
      </c>
      <c r="CE70" s="199">
        <v>962</v>
      </c>
      <c r="CF70" s="201">
        <v>1029</v>
      </c>
      <c r="CG70" s="195">
        <v>7116</v>
      </c>
      <c r="CH70" s="200">
        <v>306</v>
      </c>
      <c r="CJ70" s="189" t="s">
        <v>275</v>
      </c>
      <c r="CK70" s="227">
        <v>2185</v>
      </c>
      <c r="CL70" s="227">
        <v>1062</v>
      </c>
      <c r="CM70" s="184">
        <v>18</v>
      </c>
      <c r="CN70" s="227">
        <v>1080</v>
      </c>
      <c r="CO70" s="184">
        <v>455</v>
      </c>
      <c r="CP70" s="184">
        <v>80</v>
      </c>
      <c r="CQ70" s="184">
        <v>535</v>
      </c>
      <c r="CR70" s="184">
        <v>570</v>
      </c>
      <c r="CS70" s="184">
        <v>228</v>
      </c>
      <c r="CT70" s="230">
        <v>668</v>
      </c>
      <c r="CU70" s="229">
        <v>0.12</v>
      </c>
      <c r="CV70" s="220"/>
      <c r="CX70" s="237" t="s">
        <v>336</v>
      </c>
      <c r="CY70" s="238">
        <v>312</v>
      </c>
      <c r="CZ70" s="239">
        <v>0.02</v>
      </c>
      <c r="DA70" s="240">
        <v>6</v>
      </c>
    </row>
    <row r="71" spans="1:105" ht="15.6">
      <c r="A71">
        <v>2003</v>
      </c>
      <c r="B71" s="12">
        <v>1808.2329317269075</v>
      </c>
      <c r="C71" s="12">
        <v>12801.036269430053</v>
      </c>
      <c r="D71" s="12">
        <v>14702.912270130997</v>
      </c>
      <c r="E71" s="12">
        <v>86965.580302284347</v>
      </c>
      <c r="F71" s="12">
        <v>0</v>
      </c>
      <c r="G71" s="12">
        <v>0</v>
      </c>
      <c r="H71" s="12">
        <v>16511.145201857904</v>
      </c>
      <c r="I71" s="12">
        <v>99766.616571714403</v>
      </c>
      <c r="J71" s="12">
        <v>116277.7617735723</v>
      </c>
      <c r="L71" s="12">
        <v>1800.9999999999998</v>
      </c>
      <c r="M71" s="12">
        <v>12353</v>
      </c>
      <c r="N71" s="12">
        <v>14590.624802782702</v>
      </c>
      <c r="O71" s="12">
        <v>84138.480008952451</v>
      </c>
      <c r="P71" s="12">
        <v>0</v>
      </c>
      <c r="Q71" s="12">
        <v>0</v>
      </c>
      <c r="R71" s="12">
        <v>16391.624802782702</v>
      </c>
      <c r="S71" s="12">
        <v>96491.480008952451</v>
      </c>
      <c r="T71" s="12">
        <v>112883.10481173516</v>
      </c>
      <c r="U71" s="12">
        <v>252937.89518826484</v>
      </c>
      <c r="X71" s="12">
        <v>1600.3439999999998</v>
      </c>
      <c r="Y71" s="12">
        <v>11546.567999999999</v>
      </c>
      <c r="Z71" s="12">
        <v>13510.486499999999</v>
      </c>
      <c r="AA71" s="12">
        <v>71987.914767999988</v>
      </c>
      <c r="AB71" s="12">
        <v>0</v>
      </c>
      <c r="AC71" s="12">
        <v>0</v>
      </c>
      <c r="AD71" s="12">
        <v>15110.830499999998</v>
      </c>
      <c r="AE71" s="12">
        <v>83534.482767999987</v>
      </c>
      <c r="AF71" s="12">
        <v>98645.313267999984</v>
      </c>
      <c r="AH71" s="12">
        <v>134.23293172690762</v>
      </c>
      <c r="AI71" s="12">
        <v>723.0362694300519</v>
      </c>
      <c r="AJ71" s="12">
        <v>570.60421573769327</v>
      </c>
      <c r="AK71" s="12">
        <v>11664.414226970546</v>
      </c>
      <c r="AL71" s="12">
        <v>0</v>
      </c>
      <c r="AM71" s="12">
        <v>0</v>
      </c>
      <c r="AN71" s="12">
        <v>704.83714746460089</v>
      </c>
      <c r="AO71" s="12">
        <v>12387.450496400597</v>
      </c>
      <c r="AP71" s="12">
        <v>13092.287643865198</v>
      </c>
      <c r="AS71" s="171">
        <v>1.3808924739140088E-2</v>
      </c>
      <c r="AT71" s="171">
        <v>2.0923076923076923E-2</v>
      </c>
      <c r="AV71" s="171">
        <v>0.10912679115606562</v>
      </c>
      <c r="AW71" s="171">
        <v>9.122438589792542E-2</v>
      </c>
      <c r="AX71" s="171">
        <v>8.4176894647920442E-2</v>
      </c>
      <c r="BX71" s="189" t="s">
        <v>333</v>
      </c>
      <c r="BY71" s="195">
        <v>7257</v>
      </c>
      <c r="BZ71" s="195">
        <v>9900</v>
      </c>
      <c r="CA71" s="195">
        <v>17157</v>
      </c>
      <c r="CB71" s="196">
        <v>2010</v>
      </c>
      <c r="CC71" s="197">
        <v>16</v>
      </c>
      <c r="CD71" s="198">
        <v>2.2000000000000001E-3</v>
      </c>
      <c r="CE71" s="199">
        <v>377</v>
      </c>
      <c r="CF71" s="194" t="s">
        <v>334</v>
      </c>
      <c r="CG71" s="195">
        <v>10066</v>
      </c>
      <c r="CH71" s="200">
        <v>396</v>
      </c>
      <c r="CJ71" s="189" t="s">
        <v>276</v>
      </c>
      <c r="CK71" s="227">
        <v>1521</v>
      </c>
      <c r="CL71" s="184">
        <v>650</v>
      </c>
      <c r="CM71" s="184">
        <v>12</v>
      </c>
      <c r="CN71" s="184">
        <v>662</v>
      </c>
      <c r="CO71" s="184">
        <v>224</v>
      </c>
      <c r="CP71" s="184">
        <v>39</v>
      </c>
      <c r="CQ71" s="184">
        <v>263</v>
      </c>
      <c r="CR71" s="184">
        <v>596</v>
      </c>
      <c r="CS71" s="184">
        <v>239</v>
      </c>
      <c r="CT71" s="230">
        <v>647</v>
      </c>
      <c r="CU71" s="229">
        <v>0.06</v>
      </c>
      <c r="CV71" s="220"/>
      <c r="CX71" s="237" t="s">
        <v>337</v>
      </c>
      <c r="CY71" s="238">
        <v>177</v>
      </c>
      <c r="CZ71" s="239">
        <v>0.02</v>
      </c>
      <c r="DA71" s="240">
        <v>4</v>
      </c>
    </row>
    <row r="72" spans="1:105" ht="16.2" thickBot="1">
      <c r="A72">
        <v>2004</v>
      </c>
      <c r="B72" s="12">
        <v>3298.8966900702108</v>
      </c>
      <c r="C72" s="12">
        <v>17309.034907597535</v>
      </c>
      <c r="D72" s="12">
        <v>17287.245552356402</v>
      </c>
      <c r="E72" s="12">
        <v>52239.95567021922</v>
      </c>
      <c r="F72" s="12">
        <v>0</v>
      </c>
      <c r="G72" s="12">
        <v>0</v>
      </c>
      <c r="H72" s="12">
        <v>20586.142242426613</v>
      </c>
      <c r="I72" s="12">
        <v>69548.990577816759</v>
      </c>
      <c r="J72" s="12">
        <v>90135.132820243365</v>
      </c>
      <c r="L72" s="12">
        <v>3289</v>
      </c>
      <c r="M72" s="12">
        <v>16859</v>
      </c>
      <c r="N72" s="12">
        <v>17149.585648686931</v>
      </c>
      <c r="O72" s="12">
        <v>50507.458029980349</v>
      </c>
      <c r="P72" s="12">
        <v>0</v>
      </c>
      <c r="Q72" s="12">
        <v>0</v>
      </c>
      <c r="R72" s="12">
        <v>20438.585648686931</v>
      </c>
      <c r="S72" s="12">
        <v>67366.458029980349</v>
      </c>
      <c r="T72" s="12">
        <v>87805.04367866728</v>
      </c>
      <c r="U72" s="12">
        <v>225565.95632133272</v>
      </c>
      <c r="X72" s="12">
        <v>2995.1479999999997</v>
      </c>
      <c r="Y72" s="12">
        <v>15857.171999999999</v>
      </c>
      <c r="Z72" s="12">
        <v>15761.141516000003</v>
      </c>
      <c r="AA72" s="12">
        <v>43518.161808000004</v>
      </c>
      <c r="AB72" s="12">
        <v>0</v>
      </c>
      <c r="AC72" s="12">
        <v>0</v>
      </c>
      <c r="AD72" s="12">
        <v>18756.289516000004</v>
      </c>
      <c r="AE72" s="12">
        <v>59375.333808000003</v>
      </c>
      <c r="AF72" s="12">
        <v>78131.623324000015</v>
      </c>
      <c r="AH72" s="12">
        <v>165.89669007021064</v>
      </c>
      <c r="AI72" s="12">
        <v>722.03490759753595</v>
      </c>
      <c r="AJ72" s="12">
        <v>800.69584942752761</v>
      </c>
      <c r="AK72" s="12">
        <v>6718.8659128970439</v>
      </c>
      <c r="AL72" s="12">
        <v>0</v>
      </c>
      <c r="AM72" s="12">
        <v>0</v>
      </c>
      <c r="AN72" s="12">
        <v>966.59253949773824</v>
      </c>
      <c r="AO72" s="12">
        <v>7440.9008204945803</v>
      </c>
      <c r="AP72" s="12">
        <v>8407.4933599923188</v>
      </c>
      <c r="AS72" s="171">
        <v>1.4317144452106524E-2</v>
      </c>
      <c r="AT72" s="171">
        <v>1.3474183464482052E-2</v>
      </c>
      <c r="AV72" s="171">
        <v>9.6615459693571507E-2</v>
      </c>
      <c r="AW72" s="171">
        <v>6.6128129808364799E-2</v>
      </c>
      <c r="AX72" s="171">
        <v>6.9350389091372672E-2</v>
      </c>
      <c r="BX72" s="189" t="s">
        <v>335</v>
      </c>
      <c r="BY72" s="195">
        <v>5450</v>
      </c>
      <c r="BZ72" s="195">
        <v>9426</v>
      </c>
      <c r="CA72" s="195">
        <v>14876</v>
      </c>
      <c r="CB72" s="196">
        <v>2011</v>
      </c>
      <c r="CC72" s="189" t="s">
        <v>328</v>
      </c>
      <c r="CD72" s="182"/>
      <c r="CE72" s="191" t="s">
        <v>329</v>
      </c>
      <c r="CF72" s="194" t="s">
        <v>328</v>
      </c>
      <c r="CG72" s="195">
        <v>18168</v>
      </c>
      <c r="CH72" s="200">
        <v>315</v>
      </c>
      <c r="CJ72" s="189" t="s">
        <v>319</v>
      </c>
      <c r="CK72" s="227">
        <v>1725</v>
      </c>
      <c r="CL72" s="184">
        <v>575</v>
      </c>
      <c r="CM72" s="184">
        <v>28</v>
      </c>
      <c r="CN72" s="184">
        <v>603</v>
      </c>
      <c r="CO72" s="184">
        <v>214</v>
      </c>
      <c r="CP72" s="184">
        <v>0</v>
      </c>
      <c r="CQ72" s="184">
        <v>214</v>
      </c>
      <c r="CR72" s="184">
        <v>908</v>
      </c>
      <c r="CS72" s="184">
        <v>363</v>
      </c>
      <c r="CT72" s="230">
        <v>936</v>
      </c>
      <c r="CU72" s="229">
        <v>0</v>
      </c>
      <c r="CV72" s="220"/>
      <c r="CX72" s="241" t="s">
        <v>338</v>
      </c>
      <c r="CY72" s="242">
        <v>1233</v>
      </c>
      <c r="CZ72" s="243">
        <v>0.02</v>
      </c>
      <c r="DA72" s="244">
        <v>25</v>
      </c>
    </row>
    <row r="73" spans="1:105" ht="16.5" customHeight="1">
      <c r="A73">
        <v>2005</v>
      </c>
      <c r="B73" s="12">
        <v>2131.5261044176705</v>
      </c>
      <c r="C73" s="12">
        <v>9447.5597092419521</v>
      </c>
      <c r="D73" s="12">
        <v>21050.191058799606</v>
      </c>
      <c r="E73" s="12">
        <v>79124.550420198095</v>
      </c>
      <c r="F73" s="12">
        <v>0</v>
      </c>
      <c r="G73" s="12">
        <v>0</v>
      </c>
      <c r="H73" s="12">
        <v>23181.717163217276</v>
      </c>
      <c r="I73" s="12">
        <v>88572.110129440043</v>
      </c>
      <c r="J73" s="12">
        <v>111753.82729265731</v>
      </c>
      <c r="L73" s="12">
        <v>2123</v>
      </c>
      <c r="M73" s="12">
        <v>9098</v>
      </c>
      <c r="N73" s="12">
        <v>20910.708255122179</v>
      </c>
      <c r="O73" s="12">
        <v>76838.695519096058</v>
      </c>
      <c r="P73" s="12">
        <v>0</v>
      </c>
      <c r="Q73" s="12">
        <v>0</v>
      </c>
      <c r="R73" s="12">
        <v>23033.708255122179</v>
      </c>
      <c r="S73" s="12">
        <v>85936.695519096058</v>
      </c>
      <c r="T73" s="12">
        <v>108970.40377421824</v>
      </c>
      <c r="U73" s="12">
        <v>206679.59622578177</v>
      </c>
      <c r="X73" s="12">
        <v>1953.1079999999999</v>
      </c>
      <c r="Y73" s="12">
        <v>8543.771999999999</v>
      </c>
      <c r="Z73" s="12">
        <v>19097.669715999997</v>
      </c>
      <c r="AA73" s="12">
        <v>64429.283028000005</v>
      </c>
      <c r="AB73" s="12">
        <v>0</v>
      </c>
      <c r="AC73" s="12">
        <v>0</v>
      </c>
      <c r="AD73" s="12">
        <v>21050.777715999997</v>
      </c>
      <c r="AE73" s="12">
        <v>72973.055028000002</v>
      </c>
      <c r="AF73" s="12">
        <v>94023.832743999999</v>
      </c>
      <c r="AH73" s="12">
        <v>88.52610441767068</v>
      </c>
      <c r="AI73" s="12">
        <v>510.55970924195219</v>
      </c>
      <c r="AJ73" s="12">
        <v>1073.5490964565145</v>
      </c>
      <c r="AK73" s="12">
        <v>11729.902901369645</v>
      </c>
      <c r="AL73" s="12">
        <v>0</v>
      </c>
      <c r="AM73" s="12">
        <v>0</v>
      </c>
      <c r="AN73" s="12">
        <v>1162.0752008741852</v>
      </c>
      <c r="AO73" s="12">
        <v>12240.462610611597</v>
      </c>
      <c r="AP73" s="12">
        <v>13402.537811485783</v>
      </c>
      <c r="AS73" s="171">
        <v>1.2999494183105715E-2</v>
      </c>
      <c r="AT73" s="171">
        <v>1.7969637509036455E-2</v>
      </c>
      <c r="AV73" s="171">
        <v>0.11024606066103292</v>
      </c>
      <c r="AW73" s="171">
        <v>9.867378010418501E-2</v>
      </c>
      <c r="AX73" s="171">
        <v>8.3979573069700664E-2</v>
      </c>
      <c r="BX73" s="189" t="s">
        <v>336</v>
      </c>
      <c r="BY73" s="195">
        <v>3749</v>
      </c>
      <c r="BZ73" s="195">
        <v>9239</v>
      </c>
      <c r="CA73" s="195">
        <v>12988</v>
      </c>
      <c r="CB73" s="196">
        <v>2012</v>
      </c>
      <c r="CC73" s="197">
        <v>0</v>
      </c>
      <c r="CD73" s="198">
        <v>0</v>
      </c>
      <c r="CE73" s="199">
        <v>380</v>
      </c>
      <c r="CF73" s="200">
        <v>380</v>
      </c>
      <c r="CG73" s="195">
        <v>18785</v>
      </c>
      <c r="CH73" s="200">
        <v>425</v>
      </c>
      <c r="CJ73" s="189" t="s">
        <v>320</v>
      </c>
      <c r="CK73" s="227">
        <v>2851</v>
      </c>
      <c r="CL73" s="227">
        <v>1433</v>
      </c>
      <c r="CM73" s="184">
        <v>59</v>
      </c>
      <c r="CN73" s="227">
        <v>1492</v>
      </c>
      <c r="CO73" s="184">
        <v>495</v>
      </c>
      <c r="CP73" s="184">
        <v>67</v>
      </c>
      <c r="CQ73" s="184">
        <v>562</v>
      </c>
      <c r="CR73" s="184">
        <v>797</v>
      </c>
      <c r="CS73" s="184">
        <v>319</v>
      </c>
      <c r="CT73" s="230">
        <v>923</v>
      </c>
      <c r="CU73" s="229">
        <v>7.0000000000000007E-2</v>
      </c>
      <c r="CV73" s="220"/>
      <c r="CX73" s="237" t="s">
        <v>364</v>
      </c>
      <c r="CY73" s="245">
        <v>483</v>
      </c>
      <c r="CZ73" s="239">
        <v>0.02</v>
      </c>
      <c r="DA73" s="246">
        <v>10</v>
      </c>
    </row>
    <row r="74" spans="1:105" ht="16.5" customHeight="1" thickBot="1">
      <c r="A74">
        <v>2006</v>
      </c>
      <c r="B74" s="12">
        <v>2189.7590361445782</v>
      </c>
      <c r="C74" s="12">
        <v>8013.5275754422482</v>
      </c>
      <c r="D74" s="12">
        <v>33448.016781056474</v>
      </c>
      <c r="E74" s="12">
        <v>119042.71943324732</v>
      </c>
      <c r="F74" s="12">
        <v>0</v>
      </c>
      <c r="G74" s="12">
        <v>0</v>
      </c>
      <c r="H74" s="12">
        <v>35637.775817201051</v>
      </c>
      <c r="I74" s="12">
        <v>127056.24700868956</v>
      </c>
      <c r="J74" s="12">
        <v>162694.02282589063</v>
      </c>
      <c r="L74" s="12">
        <v>2181</v>
      </c>
      <c r="M74" s="12">
        <v>7701</v>
      </c>
      <c r="N74" s="12">
        <v>33218.688734563839</v>
      </c>
      <c r="O74" s="12">
        <v>114719.69891609051</v>
      </c>
      <c r="P74" s="12">
        <v>0</v>
      </c>
      <c r="Q74" s="12">
        <v>0</v>
      </c>
      <c r="R74" s="12">
        <v>35399.688734563839</v>
      </c>
      <c r="S74" s="12">
        <v>122420.69891609051</v>
      </c>
      <c r="T74" s="12">
        <v>157820.38765065436</v>
      </c>
      <c r="U74" s="12">
        <v>181480.61234934564</v>
      </c>
      <c r="X74" s="12">
        <v>1969.36</v>
      </c>
      <c r="Y74" s="12">
        <v>7058.1480000000001</v>
      </c>
      <c r="Z74" s="12">
        <v>29837.69096</v>
      </c>
      <c r="AA74" s="12">
        <v>93993.089759999973</v>
      </c>
      <c r="AB74" s="12">
        <v>0</v>
      </c>
      <c r="AC74" s="12">
        <v>0</v>
      </c>
      <c r="AD74" s="12">
        <v>31807.05096</v>
      </c>
      <c r="AE74" s="12">
        <v>101051.23775999997</v>
      </c>
      <c r="AF74" s="12">
        <v>132858.28871999998</v>
      </c>
      <c r="AH74" s="12">
        <v>129.75903614457832</v>
      </c>
      <c r="AI74" s="12">
        <v>630.52757544224767</v>
      </c>
      <c r="AJ74" s="12">
        <v>2237.0429735250873</v>
      </c>
      <c r="AK74" s="12">
        <v>20723.587885130175</v>
      </c>
      <c r="AL74" s="12">
        <v>0</v>
      </c>
      <c r="AM74" s="12">
        <v>0</v>
      </c>
      <c r="AN74" s="12">
        <v>2366.8020096696655</v>
      </c>
      <c r="AO74" s="12">
        <v>21354.115460572422</v>
      </c>
      <c r="AP74" s="12">
        <v>23720.917470242086</v>
      </c>
      <c r="AS74" s="171">
        <v>1.4881184261784183E-2</v>
      </c>
      <c r="AT74" s="171">
        <v>1.7500587268029128E-2</v>
      </c>
      <c r="AV74" s="171">
        <v>0.12208530302225527</v>
      </c>
      <c r="AW74" s="171">
        <v>0.11037537537537538</v>
      </c>
      <c r="AX74" s="171">
        <v>9.3133547607031381E-2</v>
      </c>
      <c r="BX74" s="189" t="s">
        <v>337</v>
      </c>
      <c r="BY74" s="195">
        <v>5450</v>
      </c>
      <c r="BZ74" s="195">
        <v>5407</v>
      </c>
      <c r="CA74" s="195">
        <v>10857</v>
      </c>
      <c r="CB74" s="196">
        <v>2013</v>
      </c>
      <c r="CC74" s="189"/>
      <c r="CD74" s="198">
        <v>0</v>
      </c>
      <c r="CE74" s="190"/>
      <c r="CF74" s="194"/>
      <c r="CG74" s="195">
        <v>20305</v>
      </c>
      <c r="CH74" s="200">
        <v>908</v>
      </c>
      <c r="CJ74" s="189" t="s">
        <v>321</v>
      </c>
      <c r="CK74" s="227">
        <v>5264</v>
      </c>
      <c r="CL74" s="227">
        <v>3708</v>
      </c>
      <c r="CM74" s="184">
        <v>16</v>
      </c>
      <c r="CN74" s="227">
        <v>3724</v>
      </c>
      <c r="CO74" s="184">
        <v>724</v>
      </c>
      <c r="CP74" s="184">
        <v>55</v>
      </c>
      <c r="CQ74" s="184">
        <v>779</v>
      </c>
      <c r="CR74" s="184">
        <v>761</v>
      </c>
      <c r="CS74" s="184">
        <v>304</v>
      </c>
      <c r="CT74" s="230">
        <v>832</v>
      </c>
      <c r="CU74" s="229">
        <v>7.0000000000000007E-2</v>
      </c>
      <c r="CV74" s="220"/>
      <c r="CX74" s="241" t="s">
        <v>365</v>
      </c>
      <c r="CY74" s="247">
        <v>1233</v>
      </c>
      <c r="CZ74" s="243">
        <v>0.02</v>
      </c>
      <c r="DA74" s="248">
        <v>25</v>
      </c>
    </row>
    <row r="75" spans="1:105" ht="15.6">
      <c r="A75">
        <v>2007</v>
      </c>
      <c r="B75" s="12">
        <v>1737.4245472837022</v>
      </c>
      <c r="C75" s="12">
        <v>8286.6310160427802</v>
      </c>
      <c r="D75" s="12">
        <v>39280.309506149752</v>
      </c>
      <c r="E75" s="12">
        <v>55188.083121142656</v>
      </c>
      <c r="F75" s="12">
        <v>0</v>
      </c>
      <c r="G75" s="12">
        <v>0</v>
      </c>
      <c r="H75" s="12">
        <v>41017.734053433451</v>
      </c>
      <c r="I75" s="12">
        <v>63474.714137185438</v>
      </c>
      <c r="J75" s="12">
        <v>104492.44819061889</v>
      </c>
      <c r="L75" s="12">
        <v>1727</v>
      </c>
      <c r="M75" s="12">
        <v>7748</v>
      </c>
      <c r="N75" s="12">
        <v>39075.495409230738</v>
      </c>
      <c r="O75" s="12">
        <v>52950.838739548766</v>
      </c>
      <c r="P75" s="12">
        <v>0</v>
      </c>
      <c r="Q75" s="12">
        <v>0</v>
      </c>
      <c r="R75" s="12">
        <v>40802.495409230738</v>
      </c>
      <c r="S75" s="12">
        <v>60698.838739548766</v>
      </c>
      <c r="T75" s="12">
        <v>101501.33414877951</v>
      </c>
      <c r="U75" s="12">
        <v>223773.66585122049</v>
      </c>
      <c r="X75" s="12">
        <v>1586.0039999999999</v>
      </c>
      <c r="Y75" s="12">
        <v>7131.7599999999993</v>
      </c>
      <c r="Z75" s="12">
        <v>35631.552959999994</v>
      </c>
      <c r="AA75" s="12">
        <v>42668.204368000006</v>
      </c>
      <c r="AB75" s="12">
        <v>0</v>
      </c>
      <c r="AC75" s="12">
        <v>0</v>
      </c>
      <c r="AD75" s="12">
        <v>37217.556959999994</v>
      </c>
      <c r="AE75" s="12">
        <v>49799.964368000008</v>
      </c>
      <c r="AF75" s="12">
        <v>87017.521328000003</v>
      </c>
      <c r="AH75" s="12">
        <v>78.424547283702211</v>
      </c>
      <c r="AI75" s="12">
        <v>826.63101604278074</v>
      </c>
      <c r="AJ75" s="12">
        <v>2008.8105940158639</v>
      </c>
      <c r="AK75" s="12">
        <v>10556.070183904147</v>
      </c>
      <c r="AL75" s="12">
        <v>0</v>
      </c>
      <c r="AM75" s="12">
        <v>0</v>
      </c>
      <c r="AN75" s="12">
        <v>2087.2351412995663</v>
      </c>
      <c r="AO75" s="12">
        <v>11382.701199946927</v>
      </c>
      <c r="AP75" s="12">
        <v>13469.936341246494</v>
      </c>
      <c r="AS75" s="171">
        <v>1.5140396276698467E-2</v>
      </c>
      <c r="AT75" s="171">
        <v>3.3896433697692394E-2</v>
      </c>
      <c r="AV75" s="171">
        <v>0.15527444888297084</v>
      </c>
      <c r="AW75" s="171">
        <v>0.22303456356180434</v>
      </c>
      <c r="AX75" s="171">
        <v>0.12297636056548547</v>
      </c>
      <c r="BK75">
        <v>2071</v>
      </c>
      <c r="BL75">
        <v>565</v>
      </c>
      <c r="BM75">
        <v>196</v>
      </c>
      <c r="BN75">
        <v>1449</v>
      </c>
      <c r="BO75">
        <v>590</v>
      </c>
      <c r="BP75">
        <v>0</v>
      </c>
      <c r="BQ75">
        <v>707</v>
      </c>
      <c r="BR75">
        <v>1264</v>
      </c>
      <c r="BS75">
        <v>618</v>
      </c>
      <c r="BT75">
        <v>0</v>
      </c>
      <c r="BU75">
        <v>2465</v>
      </c>
      <c r="BV75">
        <v>464</v>
      </c>
      <c r="BX75" s="189" t="s">
        <v>338</v>
      </c>
      <c r="BY75" s="195">
        <v>5358</v>
      </c>
      <c r="BZ75" s="195">
        <v>5156</v>
      </c>
      <c r="CA75" s="195">
        <v>10514</v>
      </c>
      <c r="CB75" s="196">
        <v>2014</v>
      </c>
      <c r="CC75" s="197">
        <v>31</v>
      </c>
      <c r="CD75" s="198">
        <v>5.7999999999999996E-3</v>
      </c>
      <c r="CE75" s="199">
        <v>547</v>
      </c>
      <c r="CF75" s="200">
        <v>578</v>
      </c>
      <c r="CG75" s="195">
        <v>19432</v>
      </c>
      <c r="CH75" s="200">
        <v>783</v>
      </c>
      <c r="CJ75" s="189" t="s">
        <v>322</v>
      </c>
      <c r="CK75" s="227">
        <v>6022</v>
      </c>
      <c r="CL75" s="227">
        <v>3552</v>
      </c>
      <c r="CM75" s="184">
        <v>97</v>
      </c>
      <c r="CN75" s="227">
        <v>3649</v>
      </c>
      <c r="CO75" s="184">
        <v>1285</v>
      </c>
      <c r="CP75" s="184">
        <v>363</v>
      </c>
      <c r="CQ75" s="227">
        <v>1648</v>
      </c>
      <c r="CR75" s="184">
        <v>725</v>
      </c>
      <c r="CS75" s="184">
        <v>290</v>
      </c>
      <c r="CT75" s="230">
        <v>1185</v>
      </c>
      <c r="CU75" s="229">
        <v>0.31</v>
      </c>
      <c r="CV75" s="220"/>
    </row>
    <row r="76" spans="1:105" ht="15.6">
      <c r="A76">
        <v>2008</v>
      </c>
      <c r="B76" s="12">
        <v>4502.5075225677028</v>
      </c>
      <c r="C76" s="12">
        <v>11717.975206611571</v>
      </c>
      <c r="D76" s="12">
        <v>40086.567333103885</v>
      </c>
      <c r="E76" s="12">
        <v>69912.184266262178</v>
      </c>
      <c r="F76" s="12">
        <v>0</v>
      </c>
      <c r="G76" s="12">
        <v>0</v>
      </c>
      <c r="H76" s="12">
        <v>44589.074855671584</v>
      </c>
      <c r="I76" s="12">
        <v>81630.159472873755</v>
      </c>
      <c r="J76" s="12">
        <v>126219.23432854534</v>
      </c>
      <c r="L76" s="12">
        <v>4489</v>
      </c>
      <c r="M76" s="12">
        <v>11343</v>
      </c>
      <c r="N76" s="12">
        <v>39805.266641693721</v>
      </c>
      <c r="O76" s="12">
        <v>67113.979955055504</v>
      </c>
      <c r="P76" s="12">
        <v>0</v>
      </c>
      <c r="Q76" s="12">
        <v>0</v>
      </c>
      <c r="R76" s="12">
        <v>44294.266641693721</v>
      </c>
      <c r="S76" s="12">
        <v>78456.979955055504</v>
      </c>
      <c r="T76" s="12">
        <v>122751.24659674923</v>
      </c>
      <c r="U76" s="12">
        <v>235064.75340325077</v>
      </c>
      <c r="X76" s="12">
        <v>4262.8040000000001</v>
      </c>
      <c r="Y76" s="12">
        <v>10726.32</v>
      </c>
      <c r="Z76" s="12">
        <v>35894.523999999998</v>
      </c>
      <c r="AA76" s="12">
        <v>56319.003999999986</v>
      </c>
      <c r="AB76" s="12">
        <v>0</v>
      </c>
      <c r="AC76" s="12">
        <v>0</v>
      </c>
      <c r="AD76" s="12">
        <v>40157.327999999994</v>
      </c>
      <c r="AE76" s="12">
        <v>67045.323999999993</v>
      </c>
      <c r="AF76" s="12">
        <v>107202.65199999999</v>
      </c>
      <c r="AH76" s="12">
        <v>43.507522567703106</v>
      </c>
      <c r="AI76" s="12">
        <v>497.97520661157029</v>
      </c>
      <c r="AJ76" s="12">
        <v>2539.9941113465643</v>
      </c>
      <c r="AK76" s="12">
        <v>11001.092216052984</v>
      </c>
      <c r="AL76" s="12">
        <v>0</v>
      </c>
      <c r="AM76" s="12">
        <v>0</v>
      </c>
      <c r="AN76" s="12">
        <v>2583.5016339142676</v>
      </c>
      <c r="AO76" s="12">
        <v>11499.067422664555</v>
      </c>
      <c r="AP76" s="12">
        <v>14082.569056578823</v>
      </c>
      <c r="AS76" s="171">
        <v>1.1565825478868957E-2</v>
      </c>
      <c r="AT76" s="171">
        <v>1.2730984099699184E-2</v>
      </c>
      <c r="AV76" s="171">
        <v>9.7386270611624373E-2</v>
      </c>
      <c r="AW76" s="171">
        <v>8.0130275979377372E-2</v>
      </c>
      <c r="AX76" s="171">
        <v>6.5877028465696083E-2</v>
      </c>
      <c r="BK76">
        <v>1945</v>
      </c>
      <c r="BL76">
        <v>521</v>
      </c>
      <c r="BM76">
        <v>129</v>
      </c>
      <c r="BN76">
        <v>840</v>
      </c>
      <c r="BO76">
        <v>914</v>
      </c>
      <c r="BP76">
        <v>0</v>
      </c>
      <c r="BQ76">
        <v>972</v>
      </c>
      <c r="BR76">
        <v>1241</v>
      </c>
      <c r="BS76">
        <v>1142</v>
      </c>
      <c r="BT76">
        <v>0</v>
      </c>
      <c r="BU76">
        <v>2098</v>
      </c>
      <c r="BV76">
        <v>675</v>
      </c>
      <c r="BX76" s="189" t="s">
        <v>339</v>
      </c>
      <c r="BY76" s="195">
        <v>2457</v>
      </c>
      <c r="BZ76" s="195">
        <v>6219</v>
      </c>
      <c r="CA76" s="195">
        <v>8676</v>
      </c>
      <c r="CB76" s="196">
        <v>2015</v>
      </c>
      <c r="CC76" s="197">
        <v>0</v>
      </c>
      <c r="CD76" s="198">
        <v>0</v>
      </c>
      <c r="CE76" s="199">
        <v>174</v>
      </c>
      <c r="CF76" s="200">
        <v>174</v>
      </c>
      <c r="CG76" s="195">
        <v>18194</v>
      </c>
      <c r="CH76" s="200">
        <v>786</v>
      </c>
      <c r="CJ76" s="189" t="s">
        <v>323</v>
      </c>
      <c r="CK76" s="227">
        <v>2766</v>
      </c>
      <c r="CL76" s="227">
        <v>1673</v>
      </c>
      <c r="CM76" s="184">
        <v>0</v>
      </c>
      <c r="CN76" s="227">
        <v>1673</v>
      </c>
      <c r="CO76" s="184">
        <v>369</v>
      </c>
      <c r="CP76" s="184">
        <v>151</v>
      </c>
      <c r="CQ76" s="184">
        <v>520</v>
      </c>
      <c r="CR76" s="184">
        <v>573</v>
      </c>
      <c r="CS76" s="184">
        <v>229</v>
      </c>
      <c r="CT76" s="230">
        <v>724</v>
      </c>
      <c r="CU76" s="229">
        <v>0.21</v>
      </c>
      <c r="CV76" s="220"/>
    </row>
    <row r="77" spans="1:105" ht="16.2" thickBot="1">
      <c r="A77">
        <v>2009</v>
      </c>
      <c r="B77" s="12">
        <v>3535.0701402805612</v>
      </c>
      <c r="C77" s="12">
        <v>10621.538461538461</v>
      </c>
      <c r="D77" s="12">
        <v>51437.902753135815</v>
      </c>
      <c r="E77" s="12">
        <v>92085.941857179132</v>
      </c>
      <c r="F77" s="12">
        <v>0</v>
      </c>
      <c r="G77" s="12">
        <v>0</v>
      </c>
      <c r="H77" s="12">
        <v>54972.97289341638</v>
      </c>
      <c r="I77" s="12">
        <v>102707.4803187176</v>
      </c>
      <c r="J77" s="12">
        <v>157680.45321213399</v>
      </c>
      <c r="L77" s="12">
        <v>3528</v>
      </c>
      <c r="M77" s="12">
        <v>10356</v>
      </c>
      <c r="N77" s="12">
        <v>50998.910540620876</v>
      </c>
      <c r="O77" s="12">
        <v>88436.228804129365</v>
      </c>
      <c r="P77" s="12">
        <v>0</v>
      </c>
      <c r="Q77" s="12">
        <v>0</v>
      </c>
      <c r="R77" s="12">
        <v>54526.910540620876</v>
      </c>
      <c r="S77" s="12">
        <v>98792.228804129365</v>
      </c>
      <c r="T77" s="12">
        <v>153319.13934475023</v>
      </c>
      <c r="U77" s="12">
        <v>451650.86065524979</v>
      </c>
      <c r="X77" s="12">
        <v>3319.232</v>
      </c>
      <c r="Y77" s="12">
        <v>9543.7479999999996</v>
      </c>
      <c r="Z77" s="12">
        <v>45746.959999999992</v>
      </c>
      <c r="AA77" s="12">
        <v>72665.495999999985</v>
      </c>
      <c r="AB77" s="12">
        <v>0</v>
      </c>
      <c r="AC77" s="12">
        <v>0</v>
      </c>
      <c r="AD77" s="12">
        <v>49066.191999999995</v>
      </c>
      <c r="AE77" s="12">
        <v>82209.243999999977</v>
      </c>
      <c r="AF77" s="12">
        <v>131275.43599999999</v>
      </c>
      <c r="AH77" s="12">
        <v>63.07014028056112</v>
      </c>
      <c r="AI77" s="12">
        <v>638.53846153846155</v>
      </c>
      <c r="AJ77" s="12">
        <v>3585.4341338889553</v>
      </c>
      <c r="AK77" s="12">
        <v>16076.008802785844</v>
      </c>
      <c r="AL77" s="12">
        <v>0</v>
      </c>
      <c r="AM77" s="12">
        <v>0</v>
      </c>
      <c r="AN77" s="12">
        <v>3648.5042741695165</v>
      </c>
      <c r="AO77" s="12">
        <v>16714.547264324305</v>
      </c>
      <c r="AP77" s="12">
        <v>20363.051538493823</v>
      </c>
      <c r="AS77" s="171">
        <v>1.5137960108385735E-2</v>
      </c>
      <c r="AT77" s="171">
        <v>2.5518341307814992E-2</v>
      </c>
      <c r="AV77" s="171">
        <v>0.11648527923792601</v>
      </c>
      <c r="AW77" s="171">
        <v>0.20790587330084637</v>
      </c>
      <c r="AX77" s="171">
        <v>9.106801680079539E-2</v>
      </c>
      <c r="BK77">
        <v>1665</v>
      </c>
      <c r="BL77">
        <v>329</v>
      </c>
      <c r="BM77">
        <v>395</v>
      </c>
      <c r="BN77">
        <v>3563</v>
      </c>
      <c r="BO77">
        <v>732</v>
      </c>
      <c r="BP77">
        <v>0</v>
      </c>
      <c r="BQ77">
        <v>2968</v>
      </c>
      <c r="BR77">
        <v>3904</v>
      </c>
      <c r="BS77">
        <v>1756</v>
      </c>
      <c r="BT77">
        <v>0</v>
      </c>
      <c r="BU77">
        <v>2356</v>
      </c>
      <c r="BV77">
        <v>862</v>
      </c>
      <c r="BX77" s="202" t="s">
        <v>340</v>
      </c>
      <c r="BY77" s="203"/>
      <c r="BZ77" s="204"/>
      <c r="CA77" s="204"/>
      <c r="CB77" s="205">
        <v>2016</v>
      </c>
      <c r="CC77" s="206">
        <v>8</v>
      </c>
      <c r="CD77" s="205"/>
      <c r="CE77" s="207">
        <v>284</v>
      </c>
      <c r="CF77" s="208">
        <v>292</v>
      </c>
      <c r="CG77" s="209">
        <v>12390</v>
      </c>
      <c r="CH77" s="208">
        <v>434</v>
      </c>
      <c r="CJ77" s="189" t="s">
        <v>324</v>
      </c>
      <c r="CK77" s="227">
        <v>2957</v>
      </c>
      <c r="CL77" s="227">
        <v>1658</v>
      </c>
      <c r="CM77" s="184">
        <v>0</v>
      </c>
      <c r="CN77" s="227">
        <v>1658</v>
      </c>
      <c r="CO77" s="184">
        <v>747</v>
      </c>
      <c r="CP77" s="184">
        <v>153</v>
      </c>
      <c r="CQ77" s="184">
        <v>900</v>
      </c>
      <c r="CR77" s="184">
        <v>399</v>
      </c>
      <c r="CS77" s="184">
        <v>160</v>
      </c>
      <c r="CT77" s="230">
        <v>552</v>
      </c>
      <c r="CU77" s="229">
        <v>0.28000000000000003</v>
      </c>
      <c r="CV77" s="220"/>
    </row>
    <row r="78" spans="1:105" ht="15.6">
      <c r="A78">
        <v>2010</v>
      </c>
      <c r="B78" s="12">
        <v>10409.045226130653</v>
      </c>
      <c r="C78" s="12">
        <v>19950.42194092827</v>
      </c>
      <c r="D78" s="12">
        <v>60388.96256585775</v>
      </c>
      <c r="E78" s="12">
        <v>28312.55387342846</v>
      </c>
      <c r="F78" s="12">
        <v>0</v>
      </c>
      <c r="G78" s="12">
        <v>0</v>
      </c>
      <c r="H78" s="12">
        <v>70798.007791988406</v>
      </c>
      <c r="I78" s="12">
        <v>48262.975814356731</v>
      </c>
      <c r="J78" s="12">
        <v>119060.98360634514</v>
      </c>
      <c r="L78" s="12">
        <v>10357</v>
      </c>
      <c r="M78" s="12">
        <v>18913</v>
      </c>
      <c r="N78" s="12">
        <v>59838.39236291845</v>
      </c>
      <c r="O78" s="12">
        <v>26359.755873562226</v>
      </c>
      <c r="P78" s="12">
        <v>0</v>
      </c>
      <c r="Q78" s="12">
        <v>0</v>
      </c>
      <c r="R78" s="12">
        <v>70195.392362918443</v>
      </c>
      <c r="S78" s="12">
        <v>45272.75587356223</v>
      </c>
      <c r="T78" s="12">
        <v>115468.14823648067</v>
      </c>
      <c r="U78" s="12">
        <v>301134.85176351934</v>
      </c>
      <c r="X78" s="12">
        <v>9821.9439999999995</v>
      </c>
      <c r="Y78" s="12">
        <v>17798.808000000001</v>
      </c>
      <c r="Z78" s="12">
        <v>53701.439999999988</v>
      </c>
      <c r="AA78" s="12">
        <v>21283.5</v>
      </c>
      <c r="AB78" s="12">
        <v>0</v>
      </c>
      <c r="AC78" s="12">
        <v>0</v>
      </c>
      <c r="AD78" s="12">
        <v>63523.383999999991</v>
      </c>
      <c r="AE78" s="12">
        <v>39082.308000000005</v>
      </c>
      <c r="AF78" s="12">
        <v>102605.692</v>
      </c>
      <c r="AH78" s="12">
        <v>135.04522613065328</v>
      </c>
      <c r="AI78" s="12">
        <v>1332.42194092827</v>
      </c>
      <c r="AJ78" s="12">
        <v>4215.9081725523183</v>
      </c>
      <c r="AK78" s="12">
        <v>6049.4785596209276</v>
      </c>
      <c r="AL78" s="12">
        <v>0</v>
      </c>
      <c r="AM78" s="12">
        <v>0</v>
      </c>
      <c r="AN78" s="12">
        <v>4350.953398682972</v>
      </c>
      <c r="AO78" s="12">
        <v>7381.9005005491981</v>
      </c>
      <c r="AP78" s="12">
        <v>11732.85389923217</v>
      </c>
      <c r="AS78" s="171">
        <v>1.4370272936534034E-2</v>
      </c>
      <c r="AT78" s="171">
        <v>1.873723470384513E-2</v>
      </c>
      <c r="AV78" s="171">
        <v>0.13727589654070019</v>
      </c>
      <c r="AW78" s="171">
        <v>0.12083794297134293</v>
      </c>
      <c r="AX78" s="171">
        <v>8.4281499783595074E-2</v>
      </c>
      <c r="BK78">
        <v>1393</v>
      </c>
      <c r="BL78">
        <v>913</v>
      </c>
      <c r="BM78">
        <v>737</v>
      </c>
      <c r="BN78">
        <v>1124</v>
      </c>
      <c r="BO78">
        <v>736</v>
      </c>
      <c r="BP78">
        <v>0</v>
      </c>
      <c r="BQ78">
        <v>2597</v>
      </c>
      <c r="BR78">
        <v>2918</v>
      </c>
      <c r="BS78">
        <v>416</v>
      </c>
      <c r="BT78">
        <v>0</v>
      </c>
      <c r="BU78">
        <v>3722</v>
      </c>
      <c r="BV78">
        <v>1623</v>
      </c>
      <c r="BX78" s="366" t="s">
        <v>341</v>
      </c>
      <c r="BY78" s="366"/>
      <c r="BZ78" s="366"/>
      <c r="CA78" s="366"/>
      <c r="CB78" s="366"/>
      <c r="CD78" s="182"/>
      <c r="CE78" s="182"/>
      <c r="CF78" s="182"/>
      <c r="CG78" s="182"/>
      <c r="CH78" s="182"/>
      <c r="CJ78" s="189" t="s">
        <v>353</v>
      </c>
      <c r="CK78" s="190"/>
      <c r="CL78" s="227">
        <v>1115</v>
      </c>
      <c r="CM78" s="184">
        <v>0</v>
      </c>
      <c r="CN78" s="227">
        <v>1115</v>
      </c>
      <c r="CO78" s="184">
        <v>368</v>
      </c>
      <c r="CP78" s="184">
        <v>98</v>
      </c>
      <c r="CQ78" s="184">
        <v>466</v>
      </c>
      <c r="CR78" s="190"/>
      <c r="CS78" s="190"/>
      <c r="CT78" s="231">
        <v>98</v>
      </c>
      <c r="CU78" s="193"/>
      <c r="CV78" s="220"/>
    </row>
    <row r="79" spans="1:105" ht="15.6">
      <c r="A79">
        <v>2011</v>
      </c>
      <c r="B79" s="12">
        <v>2833.8368580060423</v>
      </c>
      <c r="C79" s="12">
        <v>7482.2006472491903</v>
      </c>
      <c r="D79" s="12">
        <v>36907.934271334307</v>
      </c>
      <c r="E79" s="12">
        <v>52157.993970157673</v>
      </c>
      <c r="F79" s="12">
        <v>0</v>
      </c>
      <c r="G79" s="12">
        <v>0</v>
      </c>
      <c r="H79" s="12">
        <v>39741.771129340348</v>
      </c>
      <c r="I79" s="12">
        <v>59640.194617406865</v>
      </c>
      <c r="J79" s="12">
        <v>99381.965746747213</v>
      </c>
      <c r="L79" s="12">
        <v>2814</v>
      </c>
      <c r="M79" s="12">
        <v>6936</v>
      </c>
      <c r="N79" s="12">
        <v>36318.308260061276</v>
      </c>
      <c r="O79" s="12">
        <v>47600.175436109253</v>
      </c>
      <c r="P79" s="12">
        <v>0</v>
      </c>
      <c r="Q79" s="12">
        <v>0</v>
      </c>
      <c r="R79" s="12">
        <v>39132.308260061276</v>
      </c>
      <c r="S79" s="12">
        <v>54536.175436109253</v>
      </c>
      <c r="T79" s="12">
        <v>93668.48369617053</v>
      </c>
      <c r="U79" s="12">
        <v>275696.5163038295</v>
      </c>
      <c r="X79" s="12">
        <v>2682.5360000000001</v>
      </c>
      <c r="Y79" s="12">
        <v>6465.4279999999999</v>
      </c>
      <c r="Z79" s="12">
        <v>31900.175999999992</v>
      </c>
      <c r="AA79" s="12">
        <v>39138.880000000005</v>
      </c>
      <c r="AB79" s="12">
        <v>0</v>
      </c>
      <c r="AC79" s="12">
        <v>0</v>
      </c>
      <c r="AD79" s="12">
        <v>34582.711999999992</v>
      </c>
      <c r="AE79" s="12">
        <v>45604.308000000005</v>
      </c>
      <c r="AF79" s="12">
        <v>80187.01999999999</v>
      </c>
      <c r="AH79" s="12">
        <v>27.836858006042299</v>
      </c>
      <c r="AI79" s="12">
        <v>719.20064724919087</v>
      </c>
      <c r="AJ79" s="12">
        <v>3539.5493340958174</v>
      </c>
      <c r="AK79" s="12">
        <v>11217.742924132563</v>
      </c>
      <c r="AL79" s="12">
        <v>0</v>
      </c>
      <c r="AM79" s="12">
        <v>0</v>
      </c>
      <c r="AN79" s="12">
        <v>3567.3861921018597</v>
      </c>
      <c r="AO79" s="12">
        <v>11936.943571381753</v>
      </c>
      <c r="AP79" s="12">
        <v>15504.329763483613</v>
      </c>
      <c r="AS79" s="171">
        <v>2.2651520304741175E-2</v>
      </c>
      <c r="AT79" s="171">
        <v>2.3172905525846704E-2</v>
      </c>
      <c r="AV79" s="171">
        <v>0.15398923523000332</v>
      </c>
      <c r="AW79" s="171">
        <v>0.13593641790060351</v>
      </c>
      <c r="AX79" s="171">
        <v>0.11115165742025288</v>
      </c>
      <c r="BK79">
        <v>1467</v>
      </c>
      <c r="BL79">
        <v>1195</v>
      </c>
      <c r="BM79">
        <v>415</v>
      </c>
      <c r="BN79">
        <v>2191</v>
      </c>
      <c r="BO79">
        <v>1057</v>
      </c>
      <c r="BP79">
        <v>0</v>
      </c>
      <c r="BQ79">
        <v>5372</v>
      </c>
      <c r="BR79">
        <v>2890</v>
      </c>
      <c r="BS79">
        <v>910</v>
      </c>
      <c r="BT79">
        <v>0</v>
      </c>
      <c r="BU79">
        <v>3869</v>
      </c>
      <c r="BV79">
        <v>1632</v>
      </c>
      <c r="CJ79" s="189"/>
      <c r="CK79" s="190"/>
      <c r="CL79" s="190"/>
      <c r="CM79" s="190"/>
      <c r="CN79" s="190"/>
      <c r="CO79" s="190"/>
      <c r="CP79" s="190"/>
      <c r="CQ79" s="190"/>
      <c r="CR79" s="190"/>
      <c r="CS79" s="190"/>
      <c r="CT79" s="231"/>
      <c r="CU79" s="193"/>
      <c r="CV79" s="220"/>
    </row>
    <row r="80" spans="1:105" ht="16.2" thickBot="1">
      <c r="A80">
        <v>2012</v>
      </c>
      <c r="B80" s="12">
        <v>3041.2474849094569</v>
      </c>
      <c r="C80" s="12">
        <v>8432.5185972369818</v>
      </c>
      <c r="D80" s="12">
        <v>18813.189055767441</v>
      </c>
      <c r="E80" s="12">
        <v>55621.082516747054</v>
      </c>
      <c r="F80" s="12">
        <v>0</v>
      </c>
      <c r="G80" s="12">
        <v>0</v>
      </c>
      <c r="H80" s="12">
        <v>21854.436540676899</v>
      </c>
      <c r="I80" s="12">
        <v>64053.601113984034</v>
      </c>
      <c r="J80" s="12">
        <v>85908.037654660933</v>
      </c>
      <c r="L80" s="12">
        <v>3023</v>
      </c>
      <c r="M80" s="12">
        <v>7935</v>
      </c>
      <c r="N80" s="12">
        <v>18382.008593131071</v>
      </c>
      <c r="O80" s="12">
        <v>49797.14483448727</v>
      </c>
      <c r="P80" s="12">
        <v>0</v>
      </c>
      <c r="Q80" s="12">
        <v>0</v>
      </c>
      <c r="R80" s="12">
        <v>21405.008593131071</v>
      </c>
      <c r="S80" s="12">
        <v>57732.14483448727</v>
      </c>
      <c r="T80" s="12">
        <v>79137.153427618337</v>
      </c>
      <c r="U80" s="12">
        <v>156138.84657238168</v>
      </c>
      <c r="X80" s="12">
        <v>2827.848</v>
      </c>
      <c r="Y80" s="12">
        <v>7249.348</v>
      </c>
      <c r="Z80" s="12">
        <v>15983.932000000001</v>
      </c>
      <c r="AA80" s="12">
        <v>40764.199999999997</v>
      </c>
      <c r="AB80" s="12">
        <v>0</v>
      </c>
      <c r="AC80" s="12">
        <v>0</v>
      </c>
      <c r="AD80" s="12">
        <v>18811.78</v>
      </c>
      <c r="AE80" s="12">
        <v>48013.547999999995</v>
      </c>
      <c r="AF80" s="12">
        <v>66825.327999999994</v>
      </c>
      <c r="AH80" s="12">
        <v>83.247484909456745</v>
      </c>
      <c r="AI80" s="12">
        <v>849.51859723698192</v>
      </c>
      <c r="AJ80" s="12">
        <v>2093.5949135080227</v>
      </c>
      <c r="AK80" s="12">
        <v>12980.705947709399</v>
      </c>
      <c r="AL80" s="12">
        <v>0</v>
      </c>
      <c r="AM80" s="12">
        <v>0</v>
      </c>
      <c r="AN80" s="12">
        <v>2176.8423984174797</v>
      </c>
      <c r="AO80" s="12">
        <v>13830.224544946381</v>
      </c>
      <c r="AP80" s="12">
        <v>16007.066943363861</v>
      </c>
      <c r="AS80" s="171">
        <v>2.9824715934114333E-2</v>
      </c>
      <c r="AT80" s="171">
        <v>2.7446993900668022E-2</v>
      </c>
      <c r="AV80" s="171">
        <v>0.17981186211956451</v>
      </c>
      <c r="AW80" s="171">
        <v>0.19718834372963412</v>
      </c>
      <c r="AX80" s="171">
        <v>0.13478655517301813</v>
      </c>
      <c r="BK80">
        <v>1949</v>
      </c>
      <c r="BL80">
        <v>563</v>
      </c>
      <c r="BM80">
        <v>557</v>
      </c>
      <c r="BN80">
        <v>3538</v>
      </c>
      <c r="BO80">
        <v>1035</v>
      </c>
      <c r="BP80">
        <v>0</v>
      </c>
      <c r="BQ80">
        <v>5117</v>
      </c>
      <c r="BR80">
        <v>4588</v>
      </c>
      <c r="BS80">
        <v>2057</v>
      </c>
      <c r="BT80">
        <v>0</v>
      </c>
      <c r="BU80">
        <v>3122</v>
      </c>
      <c r="BV80">
        <v>1210</v>
      </c>
      <c r="CJ80" s="221" t="s">
        <v>354</v>
      </c>
      <c r="CK80" s="232">
        <v>3305</v>
      </c>
      <c r="CL80" s="232">
        <v>1378</v>
      </c>
      <c r="CM80" s="223">
        <v>20</v>
      </c>
      <c r="CN80" s="232">
        <v>1398</v>
      </c>
      <c r="CO80" s="223">
        <v>968</v>
      </c>
      <c r="CP80" s="223">
        <v>178</v>
      </c>
      <c r="CQ80" s="232">
        <v>1146</v>
      </c>
      <c r="CR80" s="223">
        <v>710</v>
      </c>
      <c r="CS80" s="223">
        <v>212</v>
      </c>
      <c r="CT80" s="225">
        <v>908</v>
      </c>
      <c r="CU80" s="233">
        <v>0.2</v>
      </c>
      <c r="CV80" s="220"/>
    </row>
    <row r="81" spans="1:100">
      <c r="A81">
        <v>2013</v>
      </c>
      <c r="B81" s="12">
        <v>1672.7089627391742</v>
      </c>
      <c r="C81" s="12">
        <v>4365.0963597430409</v>
      </c>
      <c r="D81" s="12">
        <v>46940.592797951555</v>
      </c>
      <c r="E81" s="12">
        <v>14739.626292023411</v>
      </c>
      <c r="F81" s="12">
        <v>0</v>
      </c>
      <c r="G81" s="12">
        <v>0</v>
      </c>
      <c r="H81" s="12">
        <v>48613.301760690731</v>
      </c>
      <c r="I81" s="12">
        <v>19104.722651766453</v>
      </c>
      <c r="J81" s="12">
        <v>67718.024412457191</v>
      </c>
      <c r="L81" s="12">
        <v>1661</v>
      </c>
      <c r="M81" s="12">
        <v>4077</v>
      </c>
      <c r="N81" s="12">
        <v>46247.614486820363</v>
      </c>
      <c r="O81" s="12">
        <v>13567.526554258398</v>
      </c>
      <c r="P81" s="12">
        <v>0</v>
      </c>
      <c r="Q81" s="12">
        <v>0</v>
      </c>
      <c r="R81" s="12">
        <v>47908.614486820363</v>
      </c>
      <c r="S81" s="12">
        <v>17644.526554258398</v>
      </c>
      <c r="T81" s="12">
        <v>65553.141041078765</v>
      </c>
      <c r="U81" s="12">
        <v>168493.85895892122</v>
      </c>
      <c r="X81" s="12">
        <v>1524.82</v>
      </c>
      <c r="Y81" s="12">
        <v>3683.4679999999998</v>
      </c>
      <c r="Z81" s="12">
        <v>39794.671999999999</v>
      </c>
      <c r="AA81" s="12">
        <v>10493.555999999997</v>
      </c>
      <c r="AB81" s="12">
        <v>0</v>
      </c>
      <c r="AC81" s="12">
        <v>0</v>
      </c>
      <c r="AD81" s="12">
        <v>41319.491999999998</v>
      </c>
      <c r="AE81" s="12">
        <v>14177.023999999998</v>
      </c>
      <c r="AF81" s="12">
        <v>55496.515999999996</v>
      </c>
      <c r="AH81" s="12">
        <v>77.708962739174225</v>
      </c>
      <c r="AI81" s="12">
        <v>512.09635974304069</v>
      </c>
      <c r="AJ81" s="12">
        <v>5314.3668565289618</v>
      </c>
      <c r="AK81" s="12">
        <v>3763.1032794711145</v>
      </c>
      <c r="AL81" s="12">
        <v>0</v>
      </c>
      <c r="AM81" s="12">
        <v>0</v>
      </c>
      <c r="AN81" s="12">
        <v>5392.075819268136</v>
      </c>
      <c r="AO81" s="12">
        <v>4275.1996392141555</v>
      </c>
      <c r="AP81" s="12">
        <v>9667.2754584822906</v>
      </c>
      <c r="AS81" s="171">
        <v>2.1719723032704787E-2</v>
      </c>
      <c r="AT81" s="171">
        <v>3.3869312350325011E-2</v>
      </c>
      <c r="AV81" s="171">
        <v>0.16312241629734461</v>
      </c>
      <c r="AW81" s="171">
        <v>0.16493313521545319</v>
      </c>
      <c r="AX81" s="171">
        <v>0.10442266260656458</v>
      </c>
      <c r="BK81">
        <v>1303</v>
      </c>
      <c r="BL81">
        <v>601</v>
      </c>
      <c r="BM81">
        <v>290</v>
      </c>
      <c r="BN81">
        <v>1121</v>
      </c>
      <c r="BO81">
        <v>1490</v>
      </c>
      <c r="BP81">
        <v>0</v>
      </c>
      <c r="BQ81">
        <v>5248</v>
      </c>
      <c r="BR81">
        <v>2094</v>
      </c>
      <c r="BS81">
        <v>1704</v>
      </c>
      <c r="BT81">
        <v>0</v>
      </c>
      <c r="BU81">
        <v>2408</v>
      </c>
      <c r="BV81">
        <v>741</v>
      </c>
      <c r="CJ81" s="367" t="s">
        <v>355</v>
      </c>
      <c r="CK81" s="368"/>
      <c r="CL81" s="368"/>
      <c r="CM81" s="368"/>
      <c r="CN81" s="368"/>
      <c r="CO81" s="368"/>
      <c r="CP81" s="368"/>
      <c r="CQ81" s="368"/>
      <c r="CR81" s="368"/>
      <c r="CS81" s="368"/>
      <c r="CT81" s="368"/>
      <c r="CU81" s="368"/>
      <c r="CV81" s="369"/>
    </row>
    <row r="82" spans="1:100">
      <c r="A82">
        <v>2014</v>
      </c>
      <c r="B82" s="12">
        <v>4807.0351758793968</v>
      </c>
      <c r="C82" s="12">
        <v>9183.8235294117658</v>
      </c>
      <c r="D82" s="12">
        <v>57463.905833653305</v>
      </c>
      <c r="E82" s="12">
        <v>34708.077046209124</v>
      </c>
      <c r="F82" s="12">
        <v>0</v>
      </c>
      <c r="G82" s="12">
        <v>0</v>
      </c>
      <c r="H82" s="12">
        <v>62270.941009532704</v>
      </c>
      <c r="I82" s="12">
        <v>43891.900575620894</v>
      </c>
      <c r="J82" s="12">
        <v>106162.8415851536</v>
      </c>
      <c r="L82" s="12">
        <v>4783</v>
      </c>
      <c r="M82" s="12">
        <v>8743</v>
      </c>
      <c r="N82" s="12">
        <v>56747.801022933723</v>
      </c>
      <c r="O82" s="12">
        <v>32209.285102167236</v>
      </c>
      <c r="P82" s="12">
        <v>0</v>
      </c>
      <c r="Q82" s="12">
        <v>0</v>
      </c>
      <c r="R82" s="12">
        <v>61530.801022933723</v>
      </c>
      <c r="S82" s="12">
        <v>40952.28510216724</v>
      </c>
      <c r="T82" s="12">
        <v>102483.08612510096</v>
      </c>
      <c r="U82" s="12">
        <v>223517.91387489904</v>
      </c>
      <c r="X82" s="12">
        <v>4495.1120000000001</v>
      </c>
      <c r="Y82" s="12">
        <v>8023.7079999999996</v>
      </c>
      <c r="Z82" s="12">
        <v>48076.127999999997</v>
      </c>
      <c r="AA82" s="12">
        <v>24970.300000000003</v>
      </c>
      <c r="AB82" s="12">
        <v>0</v>
      </c>
      <c r="AC82" s="12">
        <v>0</v>
      </c>
      <c r="AD82" s="12">
        <v>52571.24</v>
      </c>
      <c r="AE82" s="12">
        <v>32994.008000000002</v>
      </c>
      <c r="AF82" s="12">
        <v>85565.247999999992</v>
      </c>
      <c r="AH82" s="12">
        <v>105.03517587939699</v>
      </c>
      <c r="AI82" s="12">
        <v>790.82352941176475</v>
      </c>
      <c r="AJ82" s="12">
        <v>7175.0690135696268</v>
      </c>
      <c r="AK82" s="12">
        <v>8588.5163767530539</v>
      </c>
      <c r="AL82" s="12">
        <v>0</v>
      </c>
      <c r="AM82" s="12">
        <v>0</v>
      </c>
      <c r="AN82" s="12">
        <v>7280.1041894490236</v>
      </c>
      <c r="AO82" s="12">
        <v>9379.3399061648179</v>
      </c>
      <c r="AP82" s="12">
        <v>16659.444095613842</v>
      </c>
      <c r="AS82" s="171">
        <v>1.9799743353395145E-2</v>
      </c>
      <c r="AT82" s="171">
        <v>1.2024796474718052E-2</v>
      </c>
      <c r="AV82" s="171">
        <v>0.15016548347010839</v>
      </c>
      <c r="AW82" s="171">
        <v>0.11491577691792977</v>
      </c>
      <c r="AX82" s="171">
        <v>9.1788733059460878E-2</v>
      </c>
      <c r="BK82">
        <v>1909</v>
      </c>
      <c r="BL82">
        <v>569</v>
      </c>
      <c r="BM82">
        <v>513</v>
      </c>
      <c r="BN82">
        <v>9070</v>
      </c>
      <c r="BO82">
        <v>1247</v>
      </c>
      <c r="BP82">
        <v>0</v>
      </c>
      <c r="BQ82">
        <v>6510</v>
      </c>
      <c r="BR82">
        <v>2190</v>
      </c>
      <c r="BS82">
        <v>1488</v>
      </c>
      <c r="BT82">
        <v>0</v>
      </c>
      <c r="BU82">
        <v>2600</v>
      </c>
      <c r="CJ82" s="358" t="s">
        <v>356</v>
      </c>
      <c r="CK82" s="359"/>
      <c r="CL82" s="359"/>
      <c r="CM82" s="359"/>
      <c r="CN82" s="359"/>
      <c r="CO82" s="359"/>
      <c r="CP82" s="359"/>
      <c r="CQ82" s="359"/>
      <c r="CR82" s="359"/>
      <c r="CS82" s="359"/>
      <c r="CT82" s="359"/>
      <c r="CU82" s="359"/>
      <c r="CV82" s="360"/>
    </row>
    <row r="83" spans="1:100">
      <c r="A83">
        <v>2015</v>
      </c>
      <c r="B83" s="12">
        <v>3678.7148594377509</v>
      </c>
      <c r="C83" s="12">
        <v>4643.4511434511433</v>
      </c>
      <c r="D83" s="12">
        <v>41042.392829632605</v>
      </c>
      <c r="E83" s="12">
        <v>33832.550987235074</v>
      </c>
      <c r="F83" s="12">
        <v>0</v>
      </c>
      <c r="G83" s="12">
        <v>0</v>
      </c>
      <c r="H83" s="12">
        <v>44721.107689070355</v>
      </c>
      <c r="I83" s="12">
        <v>38476.002130686218</v>
      </c>
      <c r="J83" s="12">
        <v>83197.109819756573</v>
      </c>
      <c r="L83" s="12">
        <v>3664</v>
      </c>
      <c r="M83" s="12">
        <v>4467</v>
      </c>
      <c r="N83" s="12">
        <v>40703.421394863377</v>
      </c>
      <c r="O83" s="12">
        <v>32082.343532950323</v>
      </c>
      <c r="P83" s="12">
        <v>0</v>
      </c>
      <c r="Q83" s="12">
        <v>0</v>
      </c>
      <c r="R83" s="12">
        <v>44367.421394863377</v>
      </c>
      <c r="S83" s="12">
        <v>36549.343532950326</v>
      </c>
      <c r="T83" s="12">
        <v>80916.764927813696</v>
      </c>
      <c r="U83" s="12">
        <v>187743.2350721863</v>
      </c>
      <c r="X83" s="12">
        <v>3462.6320000000001</v>
      </c>
      <c r="Y83" s="12">
        <v>4159.5559999999996</v>
      </c>
      <c r="Z83" s="12">
        <v>35558.231999999996</v>
      </c>
      <c r="AA83" s="12">
        <v>24831.247999999992</v>
      </c>
      <c r="AB83" s="12">
        <v>0</v>
      </c>
      <c r="AC83" s="12">
        <v>0</v>
      </c>
      <c r="AD83" s="12">
        <v>39020.863999999994</v>
      </c>
      <c r="AE83" s="12">
        <v>28990.803999999993</v>
      </c>
      <c r="AF83" s="12">
        <v>68011.667999999991</v>
      </c>
      <c r="AH83" s="12">
        <v>56.714859437751002</v>
      </c>
      <c r="AI83" s="12">
        <v>292.45114345114348</v>
      </c>
      <c r="AJ83" s="12">
        <v>3847.5894823522735</v>
      </c>
      <c r="AK83" s="12">
        <v>7858.4422006241994</v>
      </c>
      <c r="AL83" s="12">
        <v>0</v>
      </c>
      <c r="AM83" s="12">
        <v>0</v>
      </c>
      <c r="AN83" s="12">
        <v>3904.3043417900244</v>
      </c>
      <c r="AO83" s="12">
        <v>8150.8933440753426</v>
      </c>
      <c r="AP83" s="12">
        <v>12055.197685865367</v>
      </c>
      <c r="AS83" s="171">
        <v>1.7919932712638576E-2</v>
      </c>
      <c r="AT83" s="171">
        <v>1.6206073012623678E-2</v>
      </c>
      <c r="AV83" s="171">
        <v>0.1667269301767941</v>
      </c>
      <c r="AW83" s="171">
        <v>0.17689558141303521</v>
      </c>
      <c r="AX83" s="171">
        <v>0.11179435592017781</v>
      </c>
      <c r="CJ83" s="358" t="s">
        <v>357</v>
      </c>
      <c r="CK83" s="359"/>
      <c r="CL83" s="359"/>
      <c r="CM83" s="359"/>
      <c r="CN83" s="359"/>
      <c r="CO83" s="359"/>
      <c r="CP83" s="359"/>
      <c r="CQ83" s="359"/>
      <c r="CR83" s="359"/>
      <c r="CS83" s="359"/>
      <c r="CT83" s="359"/>
      <c r="CU83" s="359"/>
      <c r="CV83" s="360"/>
    </row>
    <row r="84" spans="1:100">
      <c r="A84">
        <v>2016</v>
      </c>
      <c r="B84" s="12">
        <v>4841.3654618473893</v>
      </c>
      <c r="C84" s="12">
        <v>7725</v>
      </c>
      <c r="D84" s="12">
        <v>-861.93598053526046</v>
      </c>
      <c r="E84" s="12">
        <v>48017.771652511663</v>
      </c>
      <c r="F84" s="12">
        <v>0</v>
      </c>
      <c r="G84" s="12">
        <v>0</v>
      </c>
      <c r="H84" s="12">
        <v>3979.4294813121287</v>
      </c>
      <c r="I84" s="12">
        <v>55742.771652511663</v>
      </c>
      <c r="J84" s="12">
        <v>59722.201133823793</v>
      </c>
      <c r="L84" s="12">
        <v>4822</v>
      </c>
      <c r="M84" s="12">
        <v>7416</v>
      </c>
      <c r="N84" s="12">
        <v>-850.95813592170919</v>
      </c>
      <c r="O84" s="12">
        <v>45792.511934182898</v>
      </c>
      <c r="P84" s="12">
        <v>0</v>
      </c>
      <c r="Q84" s="12">
        <v>0</v>
      </c>
      <c r="R84" s="12">
        <v>3971.0418640782909</v>
      </c>
      <c r="S84" s="12">
        <v>53208.511934182898</v>
      </c>
      <c r="T84" s="12">
        <v>57179.553798261186</v>
      </c>
      <c r="U84" s="12">
        <v>130952.44620173881</v>
      </c>
      <c r="X84" s="12">
        <v>4586.8879999999999</v>
      </c>
      <c r="Y84" s="12">
        <v>6870.7719999999999</v>
      </c>
      <c r="Z84" s="12">
        <v>-693.0209365367773</v>
      </c>
      <c r="AA84" s="12">
        <v>37481.620936536776</v>
      </c>
      <c r="AB84" s="12">
        <v>0</v>
      </c>
      <c r="AC84" s="12">
        <v>0</v>
      </c>
      <c r="AD84" s="12">
        <v>3893.8670634632226</v>
      </c>
      <c r="AE84" s="12">
        <v>44352.392936536773</v>
      </c>
      <c r="AF84" s="12">
        <v>48246.259999999995</v>
      </c>
      <c r="AH84" s="12">
        <v>43.365461847389554</v>
      </c>
      <c r="AI84" s="12">
        <v>538</v>
      </c>
      <c r="AJ84" s="12">
        <v>-137.01868290264807</v>
      </c>
      <c r="AK84" s="12">
        <v>8811.0551916991317</v>
      </c>
      <c r="AL84" s="12">
        <v>0</v>
      </c>
      <c r="AM84" s="12">
        <v>0</v>
      </c>
      <c r="AN84" s="12">
        <v>-93.653221055258513</v>
      </c>
      <c r="AO84" s="12">
        <v>9349.0551916991317</v>
      </c>
      <c r="AP84" s="12">
        <v>9255.4019706438739</v>
      </c>
      <c r="AS84" s="171">
        <v>1.8020459318474357E-2</v>
      </c>
      <c r="AT84" s="171">
        <v>1.5190599025508742E-2</v>
      </c>
      <c r="AV84" s="171">
        <v>0.10672046351980571</v>
      </c>
      <c r="AW84" s="171">
        <v>0.12636524955637199</v>
      </c>
      <c r="AX84" s="171">
        <v>8.8495405162009183E-2</v>
      </c>
      <c r="CJ84" s="358" t="s">
        <v>358</v>
      </c>
      <c r="CK84" s="359"/>
      <c r="CL84" s="359"/>
      <c r="CM84" s="359"/>
      <c r="CN84" s="359"/>
      <c r="CO84" s="359"/>
      <c r="CP84" s="359"/>
      <c r="CQ84" s="359"/>
      <c r="CR84" s="359"/>
      <c r="CS84" s="359"/>
      <c r="CT84" s="359"/>
      <c r="CU84" s="359"/>
      <c r="CV84" s="360"/>
    </row>
    <row r="85" spans="1:100" ht="15" thickBot="1">
      <c r="CJ85" s="361" t="s">
        <v>359</v>
      </c>
      <c r="CK85" s="362"/>
      <c r="CL85" s="362"/>
      <c r="CM85" s="362"/>
      <c r="CN85" s="362"/>
      <c r="CO85" s="362"/>
      <c r="CP85" s="362"/>
      <c r="CQ85" s="362"/>
      <c r="CR85" s="362"/>
      <c r="CS85" s="362"/>
      <c r="CT85" s="362"/>
      <c r="CU85" s="362"/>
      <c r="CV85" s="363"/>
    </row>
    <row r="87" spans="1:100">
      <c r="B87" s="12">
        <f>AVERAGE(B75:B84)</f>
        <v>4105.8956239081836</v>
      </c>
      <c r="C87" s="12">
        <f t="shared" ref="C87:J87" si="1">AVERAGE(C75:C84)</f>
        <v>9240.8656902213188</v>
      </c>
      <c r="D87" s="12">
        <f t="shared" si="1"/>
        <v>39149.982096605112</v>
      </c>
      <c r="E87" s="12">
        <f t="shared" si="1"/>
        <v>48457.586558289644</v>
      </c>
      <c r="F87" s="12">
        <f t="shared" si="1"/>
        <v>0</v>
      </c>
      <c r="G87" s="12">
        <f t="shared" si="1"/>
        <v>0</v>
      </c>
      <c r="H87" s="12">
        <f t="shared" si="1"/>
        <v>43255.877720513301</v>
      </c>
      <c r="I87" s="12">
        <f t="shared" si="1"/>
        <v>57698.452248510963</v>
      </c>
      <c r="J87" s="12">
        <f t="shared" si="1"/>
        <v>100954.32996902426</v>
      </c>
      <c r="L87" s="12">
        <f t="shared" ref="L87:U87" si="2">AVERAGE(L75:L84)</f>
        <v>4086.8</v>
      </c>
      <c r="M87" s="12">
        <f t="shared" si="2"/>
        <v>8793.4</v>
      </c>
      <c r="N87" s="12">
        <f t="shared" si="2"/>
        <v>38726.626057635192</v>
      </c>
      <c r="O87" s="12">
        <f t="shared" si="2"/>
        <v>45590.979076645126</v>
      </c>
      <c r="P87" s="12">
        <f t="shared" si="2"/>
        <v>0</v>
      </c>
      <c r="Q87" s="12">
        <f t="shared" si="2"/>
        <v>0</v>
      </c>
      <c r="R87" s="12">
        <f t="shared" si="2"/>
        <v>42813.426057635195</v>
      </c>
      <c r="S87" s="12">
        <f t="shared" si="2"/>
        <v>54384.379076645127</v>
      </c>
      <c r="T87" s="12">
        <f t="shared" si="2"/>
        <v>97197.805134280308</v>
      </c>
      <c r="U87" s="12">
        <f t="shared" si="2"/>
        <v>235416.69486571971</v>
      </c>
      <c r="X87" s="12">
        <f t="shared" ref="X87:AF87" si="3">AVERAGE(X75:X84)</f>
        <v>3856.982</v>
      </c>
      <c r="Y87" s="12">
        <f t="shared" si="3"/>
        <v>8165.2915999999996</v>
      </c>
      <c r="Z87" s="12">
        <f t="shared" si="3"/>
        <v>34159.459602346316</v>
      </c>
      <c r="AA87" s="12">
        <f t="shared" si="3"/>
        <v>37061.600930453671</v>
      </c>
      <c r="AB87" s="12">
        <f t="shared" si="3"/>
        <v>0</v>
      </c>
      <c r="AC87" s="12">
        <f t="shared" si="3"/>
        <v>0</v>
      </c>
      <c r="AD87" s="12">
        <f t="shared" si="3"/>
        <v>38016.44160234632</v>
      </c>
      <c r="AE87" s="12">
        <f t="shared" si="3"/>
        <v>45226.892530453675</v>
      </c>
      <c r="AF87" s="12">
        <f t="shared" si="3"/>
        <v>83243.334132799981</v>
      </c>
      <c r="AH87" s="12">
        <f t="shared" ref="AH87:AP87" si="4">AVERAGE(AH75:AH84)</f>
        <v>71.395623908183055</v>
      </c>
      <c r="AI87" s="12">
        <f t="shared" si="4"/>
        <v>699.76569022132048</v>
      </c>
      <c r="AJ87" s="12">
        <f t="shared" si="4"/>
        <v>3418.3297928955753</v>
      </c>
      <c r="AK87" s="12">
        <f t="shared" si="4"/>
        <v>9690.2215682753358</v>
      </c>
      <c r="AL87" s="12">
        <f t="shared" si="4"/>
        <v>0</v>
      </c>
      <c r="AM87" s="12">
        <f t="shared" si="4"/>
        <v>0</v>
      </c>
      <c r="AN87" s="12">
        <f t="shared" si="4"/>
        <v>3489.725416803758</v>
      </c>
      <c r="AO87" s="12">
        <f t="shared" si="4"/>
        <v>10389.987258496656</v>
      </c>
      <c r="AP87" s="12">
        <f t="shared" si="4"/>
        <v>13879.712675300416</v>
      </c>
      <c r="AS87" s="171">
        <v>1.8615054945655556E-2</v>
      </c>
      <c r="AT87" s="171">
        <v>2.1879367409874187E-2</v>
      </c>
      <c r="AV87" s="171">
        <v>0.14269582860868424</v>
      </c>
      <c r="AW87" s="171">
        <v>0.15481431605463991</v>
      </c>
      <c r="AX87" s="172">
        <v>0.10066422749570554</v>
      </c>
    </row>
    <row r="88" spans="1:100">
      <c r="B88" s="12">
        <f>ROUND(B87,-3)</f>
        <v>4000</v>
      </c>
      <c r="C88" s="12">
        <f t="shared" ref="C88:AP88" si="5">ROUND(C87,-3)</f>
        <v>9000</v>
      </c>
      <c r="D88" s="12">
        <f t="shared" si="5"/>
        <v>39000</v>
      </c>
      <c r="E88" s="12">
        <f t="shared" si="5"/>
        <v>48000</v>
      </c>
      <c r="F88" s="12">
        <f t="shared" si="5"/>
        <v>0</v>
      </c>
      <c r="G88" s="12">
        <f t="shared" si="5"/>
        <v>0</v>
      </c>
      <c r="H88" s="12">
        <f t="shared" si="5"/>
        <v>43000</v>
      </c>
      <c r="I88" s="12">
        <f t="shared" si="5"/>
        <v>58000</v>
      </c>
      <c r="J88" s="12">
        <f t="shared" si="5"/>
        <v>101000</v>
      </c>
      <c r="K88" s="12">
        <f t="shared" si="5"/>
        <v>0</v>
      </c>
      <c r="L88" s="12">
        <f t="shared" si="5"/>
        <v>4000</v>
      </c>
      <c r="M88" s="12">
        <f t="shared" si="5"/>
        <v>9000</v>
      </c>
      <c r="N88" s="12">
        <f t="shared" si="5"/>
        <v>39000</v>
      </c>
      <c r="O88" s="12">
        <f t="shared" si="5"/>
        <v>46000</v>
      </c>
      <c r="P88" s="12">
        <f t="shared" si="5"/>
        <v>0</v>
      </c>
      <c r="Q88" s="12">
        <f t="shared" si="5"/>
        <v>0</v>
      </c>
      <c r="R88" s="12">
        <f t="shared" si="5"/>
        <v>43000</v>
      </c>
      <c r="S88" s="12">
        <f t="shared" si="5"/>
        <v>54000</v>
      </c>
      <c r="T88" s="12">
        <f t="shared" si="5"/>
        <v>97000</v>
      </c>
      <c r="U88" s="12">
        <f t="shared" si="5"/>
        <v>235000</v>
      </c>
      <c r="X88" s="12">
        <f t="shared" si="5"/>
        <v>4000</v>
      </c>
      <c r="Y88" s="12">
        <f t="shared" si="5"/>
        <v>8000</v>
      </c>
      <c r="Z88" s="12">
        <f t="shared" si="5"/>
        <v>34000</v>
      </c>
      <c r="AA88" s="12">
        <f t="shared" si="5"/>
        <v>37000</v>
      </c>
      <c r="AB88" s="12">
        <f t="shared" si="5"/>
        <v>0</v>
      </c>
      <c r="AC88" s="12">
        <f t="shared" si="5"/>
        <v>0</v>
      </c>
      <c r="AD88" s="12">
        <f t="shared" si="5"/>
        <v>38000</v>
      </c>
      <c r="AE88" s="12">
        <f t="shared" si="5"/>
        <v>45000</v>
      </c>
      <c r="AF88" s="12">
        <f t="shared" si="5"/>
        <v>83000</v>
      </c>
      <c r="AG88" s="12">
        <f t="shared" si="5"/>
        <v>0</v>
      </c>
      <c r="AH88" s="12">
        <f t="shared" si="5"/>
        <v>0</v>
      </c>
      <c r="AI88" s="12">
        <f t="shared" si="5"/>
        <v>1000</v>
      </c>
      <c r="AJ88" s="12">
        <f t="shared" si="5"/>
        <v>3000</v>
      </c>
      <c r="AK88" s="12">
        <f t="shared" si="5"/>
        <v>10000</v>
      </c>
      <c r="AL88" s="12">
        <f t="shared" si="5"/>
        <v>0</v>
      </c>
      <c r="AM88" s="12">
        <f t="shared" si="5"/>
        <v>0</v>
      </c>
      <c r="AN88" s="12">
        <f t="shared" si="5"/>
        <v>3000</v>
      </c>
      <c r="AO88" s="12">
        <f t="shared" si="5"/>
        <v>10000</v>
      </c>
      <c r="AP88" s="12">
        <f t="shared" si="5"/>
        <v>14000</v>
      </c>
    </row>
  </sheetData>
  <customSheetViews>
    <customSheetView guid="{4A56DCA2-EE2D-40DD-82F4-76121FFBC45C}">
      <pane xSplit="1" ySplit="29" topLeftCell="B78" activePane="bottomRight" state="frozen"/>
      <selection pane="bottomRight" activeCell="V6" sqref="V6:V29"/>
      <pageMargins left="0.7" right="0.7" top="0.75" bottom="0.75" header="0.3" footer="0.3"/>
    </customSheetView>
  </customSheetViews>
  <mergeCells count="8">
    <mergeCell ref="CJ84:CV84"/>
    <mergeCell ref="CJ85:CV85"/>
    <mergeCell ref="BY57:CA57"/>
    <mergeCell ref="CC57:CE57"/>
    <mergeCell ref="BX78:CB78"/>
    <mergeCell ref="CJ81:CV81"/>
    <mergeCell ref="CJ82:CV82"/>
    <mergeCell ref="CJ83:CV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B3:AF51"/>
  <sheetViews>
    <sheetView topLeftCell="A6" zoomScale="90" zoomScaleNormal="90" workbookViewId="0">
      <selection activeCell="A20" sqref="A20"/>
    </sheetView>
  </sheetViews>
  <sheetFormatPr defaultRowHeight="14.4"/>
  <sheetData>
    <row r="3" spans="32:32">
      <c r="AF3" t="s">
        <v>113</v>
      </c>
    </row>
    <row r="25" spans="28:28">
      <c r="AB25" t="s">
        <v>205</v>
      </c>
    </row>
    <row r="26" spans="28:28">
      <c r="AB26" t="s">
        <v>191</v>
      </c>
    </row>
    <row r="28" spans="28:28">
      <c r="AB28" t="s">
        <v>192</v>
      </c>
    </row>
    <row r="30" spans="28:28">
      <c r="AB30" t="s">
        <v>193</v>
      </c>
    </row>
    <row r="32" spans="28:28">
      <c r="AB32" t="s">
        <v>194</v>
      </c>
    </row>
    <row r="34" spans="28:28">
      <c r="AB34" t="s">
        <v>195</v>
      </c>
    </row>
    <row r="36" spans="28:28">
      <c r="AB36" t="s">
        <v>196</v>
      </c>
    </row>
    <row r="37" spans="28:28">
      <c r="AB37" t="s">
        <v>197</v>
      </c>
    </row>
    <row r="39" spans="28:28">
      <c r="AB39" t="s">
        <v>198</v>
      </c>
    </row>
    <row r="41" spans="28:28">
      <c r="AB41" t="s">
        <v>199</v>
      </c>
    </row>
    <row r="43" spans="28:28">
      <c r="AB43" t="s">
        <v>200</v>
      </c>
    </row>
    <row r="45" spans="28:28">
      <c r="AB45" t="s">
        <v>201</v>
      </c>
    </row>
    <row r="47" spans="28:28">
      <c r="AB47" t="s">
        <v>202</v>
      </c>
    </row>
    <row r="49" spans="28:28">
      <c r="AB49" t="s">
        <v>203</v>
      </c>
    </row>
    <row r="51" spans="28:28">
      <c r="AB51" t="s">
        <v>204</v>
      </c>
    </row>
  </sheetData>
  <customSheetViews>
    <customSheetView guid="{4A56DCA2-EE2D-40DD-82F4-76121FFBC45C}" scale="90" topLeftCell="T1">
      <selection activeCell="AP31" sqref="AP31"/>
      <pageMargins left="0.7" right="0.7" top="0.75" bottom="0.75" header="0.3" footer="0.3"/>
    </customSheetView>
  </customSheetView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Summary</vt:lpstr>
      <vt:lpstr>Documentation</vt:lpstr>
      <vt:lpstr>Conv</vt:lpstr>
      <vt:lpstr>Spawners</vt:lpstr>
      <vt:lpstr>Fishery</vt:lpstr>
      <vt:lpstr>Hatchery</vt:lpstr>
      <vt:lpstr>JD</vt:lpstr>
      <vt:lpstr>Runs</vt:lpstr>
      <vt:lpstr>Background</vt:lpstr>
      <vt:lpstr>Scratch</vt:lpstr>
      <vt:lpstr>Runs!_Ref485818260</vt:lpstr>
      <vt:lpstr>Runs!_Ref485818296</vt:lpstr>
      <vt:lpstr>Runs!_Ref485818353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Beamesderfer</dc:creator>
  <cp:lastModifiedBy>xxx</cp:lastModifiedBy>
  <cp:lastPrinted>2018-03-07T02:04:49Z</cp:lastPrinted>
  <dcterms:created xsi:type="dcterms:W3CDTF">2017-07-05T20:34:17Z</dcterms:created>
  <dcterms:modified xsi:type="dcterms:W3CDTF">2020-08-13T16:37:48Z</dcterms:modified>
</cp:coreProperties>
</file>