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MCR sockeye\"/>
    </mc:Choice>
  </mc:AlternateContent>
  <xr:revisionPtr revIDLastSave="0" documentId="8_{0E70B28E-E6A8-4854-8EAA-E293D2B380F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Summary" sheetId="10" r:id="rId1"/>
    <sheet name="Sheet1" sheetId="14" r:id="rId2"/>
    <sheet name="Sheet2" sheetId="15" r:id="rId3"/>
  </sheets>
  <definedNames>
    <definedName name="_Ref67714019">#REF!</definedName>
  </definedNames>
  <calcPr calcId="18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31" i="10" l="1"/>
  <c r="W23" i="10" s="1"/>
  <c r="X31" i="10"/>
  <c r="X23" i="10" s="1"/>
  <c r="V23" i="10"/>
  <c r="U27" i="10"/>
  <c r="U31" i="10" s="1"/>
  <c r="V31" i="10"/>
  <c r="U17" i="10"/>
  <c r="U23" i="10" l="1"/>
  <c r="X27" i="10" l="1"/>
  <c r="W27" i="10"/>
  <c r="V27" i="10"/>
  <c r="E33" i="10"/>
  <c r="E32" i="10"/>
  <c r="E31" i="10"/>
  <c r="E30" i="10"/>
  <c r="E29" i="10"/>
  <c r="Y6" i="10" l="1"/>
  <c r="X6" i="10"/>
  <c r="W6" i="10"/>
  <c r="V6" i="10"/>
  <c r="L5" i="14" l="1"/>
  <c r="K5" i="14" s="1"/>
  <c r="Y16" i="10" l="1"/>
  <c r="Y19" i="10" s="1"/>
  <c r="Y4" i="10" l="1"/>
  <c r="X4" i="10" l="1"/>
  <c r="F26" i="14"/>
  <c r="U4" i="10" s="1"/>
  <c r="F24" i="14"/>
  <c r="F23" i="14"/>
  <c r="F22" i="14"/>
  <c r="F27" i="14" s="1"/>
  <c r="B15" i="14"/>
  <c r="B14" i="14" s="1"/>
  <c r="B13" i="14" s="1"/>
  <c r="B12" i="14" s="1"/>
  <c r="B11" i="14" s="1"/>
  <c r="B10" i="14" s="1"/>
  <c r="B9" i="14" s="1"/>
  <c r="B8" i="14" s="1"/>
  <c r="B7" i="14" s="1"/>
  <c r="B6" i="14" s="1"/>
  <c r="B5" i="14" s="1"/>
  <c r="B17" i="14"/>
  <c r="B18" i="14" s="1"/>
  <c r="B19" i="14" s="1"/>
  <c r="B20" i="14" s="1"/>
  <c r="B21" i="14" s="1"/>
  <c r="B22" i="14" s="1"/>
  <c r="B23" i="14" s="1"/>
  <c r="B24" i="14" s="1"/>
  <c r="U6" i="10" l="1"/>
  <c r="W16" i="10"/>
  <c r="V19" i="10" l="1"/>
  <c r="U19" i="10"/>
  <c r="F72" i="10" l="1"/>
  <c r="X17" i="10"/>
  <c r="X16" i="10"/>
  <c r="X19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D2" authorId="0" shapeId="0" xr:uid="{E530D340-2058-42BA-8A30-02183FD73170}">
      <text>
        <r>
          <rPr>
            <b/>
            <sz val="9"/>
            <color indexed="81"/>
            <rFont val="Tahoma"/>
            <family val="2"/>
          </rPr>
          <t>from pge website</t>
        </r>
      </text>
    </comment>
    <comment ref="I5" authorId="0" shapeId="0" xr:uid="{D473C7F5-7E94-4E1B-99E0-2094104DD848}">
      <text>
        <r>
          <rPr>
            <b/>
            <sz val="9"/>
            <color indexed="81"/>
            <rFont val="Tahoma"/>
            <family val="2"/>
          </rPr>
          <t>placeholder based on expert jugements scaling to other CR systems</t>
        </r>
      </text>
    </comment>
    <comment ref="J5" authorId="0" shapeId="0" xr:uid="{3627898E-CC2E-43BC-8AC2-82D7959C4F14}">
      <text>
        <r>
          <rPr>
            <b/>
            <sz val="9"/>
            <color indexed="81"/>
            <rFont val="Tahoma"/>
            <family val="2"/>
          </rPr>
          <t>based on Snake</t>
        </r>
      </text>
    </comment>
    <comment ref="K5" authorId="0" shapeId="0" xr:uid="{2F877332-2EAC-4A79-90B7-41159B87ADE1}">
      <text>
        <r>
          <rPr>
            <b/>
            <sz val="9"/>
            <color indexed="81"/>
            <rFont val="Tahoma"/>
            <family val="2"/>
          </rPr>
          <t>intermediate between low and high. Also the same as CRITFC goal in NPCC database</t>
        </r>
      </text>
    </comment>
  </commentList>
</comments>
</file>

<file path=xl/sharedStrings.xml><?xml version="1.0" encoding="utf-8"?>
<sst xmlns="http://schemas.openxmlformats.org/spreadsheetml/2006/main" count="89" uniqueCount="67">
  <si>
    <t>Population</t>
  </si>
  <si>
    <t>Current</t>
  </si>
  <si>
    <t>Historical</t>
  </si>
  <si>
    <t>Totals</t>
  </si>
  <si>
    <t>Low</t>
  </si>
  <si>
    <t>Med</t>
  </si>
  <si>
    <t>High</t>
  </si>
  <si>
    <t>Total</t>
  </si>
  <si>
    <t>--</t>
  </si>
  <si>
    <t>Return</t>
  </si>
  <si>
    <t>Hatchery</t>
  </si>
  <si>
    <t>Location</t>
  </si>
  <si>
    <t>MPG</t>
  </si>
  <si>
    <t>Potential Goal Range</t>
  </si>
  <si>
    <t>Location (Program)</t>
  </si>
  <si>
    <t>Brood</t>
  </si>
  <si>
    <t>Natural Production</t>
  </si>
  <si>
    <t>Terminal</t>
  </si>
  <si>
    <t>Fisheries / Harvest</t>
  </si>
  <si>
    <t>Recent</t>
  </si>
  <si>
    <t>Wild/Natural</t>
  </si>
  <si>
    <t>Ocean</t>
  </si>
  <si>
    <t>@ Columbia R Mouth</t>
  </si>
  <si>
    <t>Life History: Summer run, Lake-rearing</t>
  </si>
  <si>
    <t>Total Return</t>
  </si>
  <si>
    <t>Harvest (Col mainstem)</t>
  </si>
  <si>
    <t>Mainstem Treaty</t>
  </si>
  <si>
    <t>Avg.</t>
  </si>
  <si>
    <t>Harvest</t>
  </si>
  <si>
    <t>Exploitation rate</t>
  </si>
  <si>
    <t>All</t>
  </si>
  <si>
    <t>@ Goals</t>
  </si>
  <si>
    <t>% hatchery</t>
  </si>
  <si>
    <t>Current Production</t>
  </si>
  <si>
    <t>Smolts</t>
  </si>
  <si>
    <t>Fry</t>
  </si>
  <si>
    <t>production</t>
  </si>
  <si>
    <t>Mainstem non treaty</t>
  </si>
  <si>
    <t>10-yr avg</t>
  </si>
  <si>
    <t>Low goal</t>
  </si>
  <si>
    <t>Med goal</t>
  </si>
  <si>
    <t>High goal</t>
  </si>
  <si>
    <t>goal</t>
  </si>
  <si>
    <t>Limits</t>
  </si>
  <si>
    <t>Hatchery Production</t>
  </si>
  <si>
    <t>Anticipated</t>
  </si>
  <si>
    <t>Potential</t>
  </si>
  <si>
    <t>Mid Columbia River Sockeye</t>
  </si>
  <si>
    <t>ESA: Not Listed</t>
  </si>
  <si>
    <t>Mid-Col</t>
  </si>
  <si>
    <t>Deschutes</t>
  </si>
  <si>
    <t>Pelton trap</t>
  </si>
  <si>
    <t>RM</t>
  </si>
  <si>
    <t>Hat</t>
  </si>
  <si>
    <t>total</t>
  </si>
  <si>
    <t>wild?</t>
  </si>
  <si>
    <t>limited</t>
  </si>
  <si>
    <t>Recent avg</t>
  </si>
  <si>
    <t>Abundance (mean)</t>
  </si>
  <si>
    <t>Round Butte</t>
  </si>
  <si>
    <t>Yakima</t>
  </si>
  <si>
    <t>(2009-2018)</t>
  </si>
  <si>
    <t>1,000-10,000</t>
  </si>
  <si>
    <t>6-8%</t>
  </si>
  <si>
    <t>20-60%</t>
  </si>
  <si>
    <t>Tributary return</t>
  </si>
  <si>
    <t>Yakima (transplants)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</si>
</sst>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D2B2E"/>
        <bgColor indexed="64"/>
      </patternFill>
    </fill>
    <fill>
      <patternFill patternType="solid">
        <fgColor rgb="FFDF9193"/>
        <bgColor indexed="64"/>
      </patternFill>
    </fill>
    <fill>
      <patternFill patternType="solid">
        <fgColor rgb="FFF0CCCD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9" fillId="0" borderId="0"/>
  </cellStyleXfs>
  <cellXfs count="141">
    <xf numFmtId="0" fontId="0" fillId="0" borderId="0" xfId="0"/>
    <xf numFmtId="0" fontId="0" fillId="3" borderId="0" xfId="0" applyFill="1"/>
    <xf numFmtId="0" fontId="8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5" fillId="3" borderId="0" xfId="0" applyFont="1" applyFill="1"/>
    <xf numFmtId="0" fontId="0" fillId="0" borderId="1" xfId="0" applyBorder="1"/>
    <xf numFmtId="0" fontId="0" fillId="0" borderId="7" xfId="0" applyBorder="1"/>
    <xf numFmtId="0" fontId="5" fillId="0" borderId="0" xfId="0" applyFont="1"/>
    <xf numFmtId="0" fontId="1" fillId="6" borderId="11" xfId="0" applyFont="1" applyFill="1" applyBorder="1"/>
    <xf numFmtId="0" fontId="1" fillId="5" borderId="2" xfId="0" applyFont="1" applyFill="1" applyBorder="1"/>
    <xf numFmtId="0" fontId="0" fillId="0" borderId="0" xfId="0" quotePrefix="1" applyAlignment="1">
      <alignment horizontal="center"/>
    </xf>
    <xf numFmtId="0" fontId="0" fillId="0" borderId="8" xfId="0" quotePrefix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0" fillId="0" borderId="0" xfId="0" applyFont="1"/>
    <xf numFmtId="164" fontId="6" fillId="5" borderId="13" xfId="0" applyNumberFormat="1" applyFont="1" applyFill="1" applyBorder="1" applyAlignment="1">
      <alignment horizontal="center"/>
    </xf>
    <xf numFmtId="0" fontId="6" fillId="5" borderId="11" xfId="0" applyFont="1" applyFill="1" applyBorder="1" applyAlignment="1">
      <alignment vertical="center"/>
    </xf>
    <xf numFmtId="0" fontId="1" fillId="5" borderId="6" xfId="0" applyFont="1" applyFill="1" applyBorder="1" applyAlignment="1">
      <alignment horizontal="center"/>
    </xf>
    <xf numFmtId="0" fontId="1" fillId="5" borderId="1" xfId="0" applyFont="1" applyFill="1" applyBorder="1"/>
    <xf numFmtId="0" fontId="2" fillId="5" borderId="5" xfId="0" applyFont="1" applyFill="1" applyBorder="1" applyAlignment="1">
      <alignment horizontal="centerContinuous"/>
    </xf>
    <xf numFmtId="0" fontId="2" fillId="5" borderId="4" xfId="0" applyFont="1" applyFill="1" applyBorder="1" applyAlignment="1">
      <alignment horizontal="centerContinuous"/>
    </xf>
    <xf numFmtId="0" fontId="0" fillId="0" borderId="2" xfId="0" applyBorder="1"/>
    <xf numFmtId="0" fontId="1" fillId="0" borderId="7" xfId="0" applyFont="1" applyBorder="1"/>
    <xf numFmtId="0" fontId="1" fillId="0" borderId="3" xfId="0" applyFont="1" applyBorder="1"/>
    <xf numFmtId="0" fontId="0" fillId="0" borderId="4" xfId="0" applyBorder="1"/>
    <xf numFmtId="0" fontId="1" fillId="4" borderId="11" xfId="0" applyFont="1" applyFill="1" applyBorder="1"/>
    <xf numFmtId="0" fontId="0" fillId="4" borderId="12" xfId="0" applyFill="1" applyBorder="1"/>
    <xf numFmtId="0" fontId="2" fillId="7" borderId="4" xfId="0" applyFont="1" applyFill="1" applyBorder="1" applyAlignment="1">
      <alignment horizontal="centerContinuous"/>
    </xf>
    <xf numFmtId="0" fontId="1" fillId="7" borderId="4" xfId="0" applyFont="1" applyFill="1" applyBorder="1" applyAlignment="1">
      <alignment horizontal="centerContinuous"/>
    </xf>
    <xf numFmtId="0" fontId="1" fillId="7" borderId="5" xfId="0" applyFont="1" applyFill="1" applyBorder="1" applyAlignment="1">
      <alignment horizontal="center"/>
    </xf>
    <xf numFmtId="0" fontId="1" fillId="7" borderId="7" xfId="0" applyFont="1" applyFill="1" applyBorder="1"/>
    <xf numFmtId="0" fontId="1" fillId="7" borderId="0" xfId="0" applyFont="1" applyFill="1"/>
    <xf numFmtId="0" fontId="1" fillId="7" borderId="0" xfId="0" applyFont="1" applyFill="1" applyAlignment="1">
      <alignment horizontal="center"/>
    </xf>
    <xf numFmtId="0" fontId="1" fillId="7" borderId="8" xfId="0" applyFont="1" applyFill="1" applyBorder="1"/>
    <xf numFmtId="0" fontId="1" fillId="0" borderId="3" xfId="0" quotePrefix="1" applyFont="1" applyBorder="1" applyAlignment="1">
      <alignment horizontal="left"/>
    </xf>
    <xf numFmtId="3" fontId="0" fillId="3" borderId="0" xfId="0" applyNumberFormat="1" applyFill="1"/>
    <xf numFmtId="0" fontId="5" fillId="3" borderId="0" xfId="0" applyFont="1" applyFill="1" applyAlignment="1">
      <alignment horizontal="center"/>
    </xf>
    <xf numFmtId="3" fontId="0" fillId="0" borderId="0" xfId="0" applyNumberFormat="1"/>
    <xf numFmtId="0" fontId="1" fillId="3" borderId="0" xfId="0" applyFont="1" applyFill="1"/>
    <xf numFmtId="164" fontId="6" fillId="5" borderId="12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3" fontId="5" fillId="3" borderId="0" xfId="0" applyNumberFormat="1" applyFont="1" applyFill="1"/>
    <xf numFmtId="0" fontId="10" fillId="3" borderId="0" xfId="0" applyFont="1" applyFill="1"/>
    <xf numFmtId="0" fontId="1" fillId="7" borderId="4" xfId="0" applyFont="1" applyFill="1" applyBorder="1" applyAlignment="1">
      <alignment horizontal="center"/>
    </xf>
    <xf numFmtId="3" fontId="0" fillId="0" borderId="4" xfId="0" applyNumberFormat="1" applyBorder="1" applyAlignment="1">
      <alignment horizontal="right"/>
    </xf>
    <xf numFmtId="0" fontId="2" fillId="5" borderId="3" xfId="0" applyFont="1" applyFill="1" applyBorder="1" applyAlignment="1">
      <alignment horizontal="centerContinuous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6" borderId="13" xfId="0" applyFont="1" applyFill="1" applyBorder="1"/>
    <xf numFmtId="0" fontId="1" fillId="5" borderId="5" xfId="0" applyFont="1" applyFill="1" applyBorder="1" applyAlignment="1">
      <alignment horizontal="centerContinuous"/>
    </xf>
    <xf numFmtId="0" fontId="1" fillId="5" borderId="2" xfId="0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5" borderId="11" xfId="1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" fontId="0" fillId="0" borderId="0" xfId="0" applyNumberFormat="1"/>
    <xf numFmtId="3" fontId="0" fillId="0" borderId="7" xfId="0" quotePrefix="1" applyNumberFormat="1" applyBorder="1" applyAlignment="1">
      <alignment horizontal="right"/>
    </xf>
    <xf numFmtId="3" fontId="0" fillId="0" borderId="0" xfId="0" quotePrefix="1" applyNumberFormat="1" applyAlignment="1">
      <alignment horizontal="right"/>
    </xf>
    <xf numFmtId="3" fontId="0" fillId="0" borderId="8" xfId="0" quotePrefix="1" applyNumberFormat="1" applyBorder="1" applyAlignment="1">
      <alignment horizontal="right"/>
    </xf>
    <xf numFmtId="3" fontId="6" fillId="5" borderId="12" xfId="0" applyNumberFormat="1" applyFont="1" applyFill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1" fillId="5" borderId="11" xfId="0" applyNumberFormat="1" applyFont="1" applyFill="1" applyBorder="1" applyAlignment="1">
      <alignment horizontal="center"/>
    </xf>
    <xf numFmtId="0" fontId="13" fillId="8" borderId="0" xfId="0" applyFont="1" applyFill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0" xfId="0" applyFont="1" applyFill="1" applyAlignment="1">
      <alignment horizontal="right" vertical="center"/>
    </xf>
    <xf numFmtId="0" fontId="3" fillId="8" borderId="0" xfId="0" applyFont="1" applyFill="1" applyAlignment="1">
      <alignment horizontal="left" vertical="center"/>
    </xf>
    <xf numFmtId="0" fontId="13" fillId="8" borderId="0" xfId="0" applyFont="1" applyFill="1"/>
    <xf numFmtId="0" fontId="11" fillId="3" borderId="0" xfId="0" applyFont="1" applyFill="1"/>
    <xf numFmtId="0" fontId="14" fillId="3" borderId="11" xfId="0" applyFont="1" applyFill="1" applyBorder="1" applyAlignment="1">
      <alignment horizontal="center"/>
    </xf>
    <xf numFmtId="164" fontId="14" fillId="3" borderId="12" xfId="0" applyNumberFormat="1" applyFont="1" applyFill="1" applyBorder="1" applyAlignment="1">
      <alignment horizontal="center"/>
    </xf>
    <xf numFmtId="0" fontId="1" fillId="9" borderId="11" xfId="0" applyFont="1" applyFill="1" applyBorder="1"/>
    <xf numFmtId="0" fontId="0" fillId="9" borderId="12" xfId="0" applyFill="1" applyBorder="1"/>
    <xf numFmtId="0" fontId="2" fillId="10" borderId="3" xfId="0" applyFont="1" applyFill="1" applyBorder="1" applyAlignment="1">
      <alignment horizontal="centerContinuous"/>
    </xf>
    <xf numFmtId="0" fontId="0" fillId="10" borderId="5" xfId="0" applyFill="1" applyBorder="1" applyAlignment="1">
      <alignment horizontal="centerContinuous"/>
    </xf>
    <xf numFmtId="0" fontId="1" fillId="10" borderId="4" xfId="0" applyFont="1" applyFill="1" applyBorder="1" applyAlignment="1">
      <alignment horizontal="centerContinuous"/>
    </xf>
    <xf numFmtId="0" fontId="1" fillId="10" borderId="5" xfId="0" applyFont="1" applyFill="1" applyBorder="1" applyAlignment="1">
      <alignment horizontal="centerContinuous"/>
    </xf>
    <xf numFmtId="0" fontId="1" fillId="10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Continuous"/>
    </xf>
    <xf numFmtId="0" fontId="1" fillId="2" borderId="13" xfId="0" quotePrefix="1" applyFont="1" applyFill="1" applyBorder="1" applyAlignment="1">
      <alignment horizontal="centerContinuous"/>
    </xf>
    <xf numFmtId="0" fontId="1" fillId="2" borderId="13" xfId="0" applyFont="1" applyFill="1" applyBorder="1" applyAlignment="1">
      <alignment horizontal="centerContinuous"/>
    </xf>
    <xf numFmtId="0" fontId="1" fillId="2" borderId="12" xfId="0" applyFont="1" applyFill="1" applyBorder="1" applyAlignment="1">
      <alignment horizontal="centerContinuous"/>
    </xf>
    <xf numFmtId="0" fontId="1" fillId="2" borderId="2" xfId="0" applyFont="1" applyFill="1" applyBorder="1" applyAlignment="1">
      <alignment horizontal="center"/>
    </xf>
    <xf numFmtId="0" fontId="0" fillId="0" borderId="0" xfId="0" applyBorder="1"/>
    <xf numFmtId="3" fontId="0" fillId="0" borderId="0" xfId="0" quotePrefix="1" applyNumberFormat="1" applyBorder="1" applyAlignment="1">
      <alignment horizontal="right"/>
    </xf>
    <xf numFmtId="0" fontId="1" fillId="10" borderId="3" xfId="0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 vertical="center"/>
    </xf>
    <xf numFmtId="0" fontId="1" fillId="10" borderId="0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0" fontId="1" fillId="0" borderId="7" xfId="0" applyFont="1" applyBorder="1" applyAlignment="1">
      <alignment horizontal="left"/>
    </xf>
    <xf numFmtId="0" fontId="7" fillId="3" borderId="0" xfId="0" applyFont="1" applyFill="1"/>
    <xf numFmtId="0" fontId="7" fillId="0" borderId="0" xfId="0" applyFont="1"/>
    <xf numFmtId="0" fontId="0" fillId="0" borderId="3" xfId="0" applyFont="1" applyBorder="1"/>
    <xf numFmtId="0" fontId="0" fillId="0" borderId="4" xfId="0" applyFont="1" applyBorder="1"/>
    <xf numFmtId="3" fontId="0" fillId="0" borderId="4" xfId="0" quotePrefix="1" applyNumberFormat="1" applyFont="1" applyBorder="1" applyAlignment="1">
      <alignment horizontal="center"/>
    </xf>
    <xf numFmtId="3" fontId="0" fillId="0" borderId="5" xfId="0" quotePrefix="1" applyNumberFormat="1" applyFont="1" applyBorder="1" applyAlignment="1">
      <alignment horizontal="center"/>
    </xf>
    <xf numFmtId="0" fontId="0" fillId="0" borderId="2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0" fillId="0" borderId="1" xfId="0" quotePrefix="1" applyNumberFormat="1" applyFont="1" applyBorder="1" applyAlignment="1">
      <alignment horizontal="center"/>
    </xf>
    <xf numFmtId="3" fontId="0" fillId="0" borderId="6" xfId="0" quotePrefix="1" applyNumberFormat="1" applyFont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3" fontId="0" fillId="3" borderId="0" xfId="0" quotePrefix="1" applyNumberFormat="1" applyFill="1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0" fontId="0" fillId="0" borderId="1" xfId="0" quotePrefix="1" applyFont="1" applyBorder="1" applyAlignment="1">
      <alignment horizontal="center"/>
    </xf>
    <xf numFmtId="0" fontId="1" fillId="10" borderId="11" xfId="0" applyFont="1" applyFill="1" applyBorder="1" applyAlignment="1">
      <alignment horizontal="left"/>
    </xf>
    <xf numFmtId="0" fontId="0" fillId="10" borderId="13" xfId="0" applyFill="1" applyBorder="1"/>
    <xf numFmtId="3" fontId="1" fillId="10" borderId="11" xfId="0" applyNumberFormat="1" applyFont="1" applyFill="1" applyBorder="1" applyAlignment="1">
      <alignment horizontal="right"/>
    </xf>
    <xf numFmtId="3" fontId="1" fillId="10" borderId="12" xfId="0" applyNumberFormat="1" applyFont="1" applyFill="1" applyBorder="1" applyAlignment="1">
      <alignment horizontal="right"/>
    </xf>
    <xf numFmtId="3" fontId="1" fillId="10" borderId="13" xfId="0" applyNumberFormat="1" applyFont="1" applyFill="1" applyBorder="1" applyAlignment="1">
      <alignment horizontal="right"/>
    </xf>
    <xf numFmtId="3" fontId="1" fillId="0" borderId="4" xfId="0" applyNumberFormat="1" applyFont="1" applyBorder="1" applyAlignment="1">
      <alignment horizontal="center"/>
    </xf>
    <xf numFmtId="3" fontId="0" fillId="0" borderId="8" xfId="0" applyNumberFormat="1" applyFont="1" applyBorder="1" applyAlignment="1">
      <alignment horizontal="center"/>
    </xf>
    <xf numFmtId="9" fontId="0" fillId="0" borderId="1" xfId="0" applyNumberFormat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3" fontId="1" fillId="0" borderId="5" xfId="0" applyNumberFormat="1" applyFont="1" applyBorder="1" applyAlignment="1">
      <alignment horizontal="center"/>
    </xf>
    <xf numFmtId="9" fontId="0" fillId="0" borderId="6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/>
    </xf>
    <xf numFmtId="3" fontId="0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0" fillId="0" borderId="8" xfId="0" quotePrefix="1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4" xfId="0" applyFont="1" applyBorder="1"/>
    <xf numFmtId="0" fontId="1" fillId="11" borderId="3" xfId="0" applyFont="1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1" borderId="6" xfId="0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/>
    </xf>
  </cellXfs>
  <cellStyles count="3">
    <cellStyle name="Normal" xfId="0" builtinId="0"/>
    <cellStyle name="Normal 3" xfId="2" xr:uid="{00000000-0005-0000-0000-000001000000}"/>
    <cellStyle name="Percent" xfId="1" builtinId="5"/>
  </cellStyles>
  <dxfs count="0"/>
  <tableStyles count="0" defaultTableStyle="TableStyleMedium2" defaultPivotStyle="PivotStyleLight16"/>
  <colors>
    <mruColors>
      <color rgb="FFF0CCCD"/>
      <color rgb="FFDF9193"/>
      <color rgb="FFC1393C"/>
      <color rgb="FF8D2B2E"/>
      <color rgb="FF9A2E31"/>
      <color rgb="FF611D1F"/>
      <color rgb="FF800000"/>
      <color rgb="FFFFE5E5"/>
      <color rgb="FFE10101"/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Harvest Distribution (Exploitation rates)</a:t>
            </a:r>
          </a:p>
        </c:rich>
      </c:tx>
      <c:layout>
        <c:manualLayout>
          <c:xMode val="edge"/>
          <c:yMode val="edge"/>
          <c:x val="0.14598389726643984"/>
          <c:y val="1.6258725629825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799338874447606"/>
          <c:y val="0.15929831912415116"/>
          <c:w val="0.5301591348604261"/>
          <c:h val="0.75513364273857519"/>
        </c:manualLayout>
      </c:layout>
      <c:pieChart>
        <c:varyColors val="1"/>
        <c:ser>
          <c:idx val="0"/>
          <c:order val="0"/>
          <c:spPr>
            <a:ln w="3175"/>
          </c:spPr>
          <c:dPt>
            <c:idx val="0"/>
            <c:bubble3D val="0"/>
            <c:spPr>
              <a:solidFill>
                <a:srgbClr val="8D2B2E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5A-4AF6-8ED2-004C942EB85A}"/>
              </c:ext>
            </c:extLst>
          </c:dPt>
          <c:dPt>
            <c:idx val="1"/>
            <c:bubble3D val="0"/>
            <c:spPr>
              <a:solidFill>
                <a:srgbClr val="C1393C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5A4-43C6-92E6-052AD2265FD1}"/>
              </c:ext>
            </c:extLst>
          </c:dPt>
          <c:dLbls>
            <c:dLbl>
              <c:idx val="0"/>
              <c:layout>
                <c:manualLayout>
                  <c:x val="-8.6803157880782893E-3"/>
                  <c:y val="-2.5323690242785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A-4AF6-8ED2-004C942EB85A}"/>
                </c:ext>
              </c:extLst>
            </c:dLbl>
            <c:dLbl>
              <c:idx val="1"/>
              <c:layout>
                <c:manualLayout>
                  <c:x val="-1.5103814547413403E-2"/>
                  <c:y val="-0.4245284628355899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4-43C6-92E6-052AD2265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Summary!$T$16:$T$17</c:f>
              <c:strCache>
                <c:ptCount val="2"/>
                <c:pt idx="0">
                  <c:v>Mainstem non treaty</c:v>
                </c:pt>
                <c:pt idx="1">
                  <c:v>Mainstem Treaty</c:v>
                </c:pt>
              </c:strCache>
            </c:strRef>
          </c:cat>
          <c:val>
            <c:numRef>
              <c:f>Summary!$U$16:$U$17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A-4AF6-8ED2-004C942EB8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42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834276622068419"/>
          <c:y val="3.8532396168914393E-2"/>
          <c:w val="0.65040882567358682"/>
          <c:h val="0.8157724989258384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D2B2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Summary!$D$29:$D$33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</c:v>
                </c:pt>
              </c:strCache>
            </c:strRef>
          </c:cat>
          <c:val>
            <c:numRef>
              <c:f>Summary!$E$29:$E$33</c:f>
              <c:numCache>
                <c:formatCode>#,##0</c:formatCode>
                <c:ptCount val="5"/>
                <c:pt idx="0">
                  <c:v>1035.6322570338841</c:v>
                </c:pt>
                <c:pt idx="1">
                  <c:v>7500</c:v>
                </c:pt>
                <c:pt idx="2">
                  <c:v>45000</c:v>
                </c:pt>
                <c:pt idx="3">
                  <c:v>107500</c:v>
                </c:pt>
                <c:pt idx="4">
                  <c:v>230000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v>Natural Production</c:v>
                </c15:tx>
              </c15:filteredSeriesTitle>
            </c:ext>
            <c:ext xmlns:c16="http://schemas.microsoft.com/office/drawing/2014/chart" uri="{C3380CC4-5D6E-409C-BE32-E72D297353CC}">
              <c16:uniqueId val="{00000000-C03E-4492-9BD7-C0415639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6638200"/>
        <c:axId val="236638592"/>
      </c:barChart>
      <c:catAx>
        <c:axId val="2366382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38592"/>
        <c:crosses val="autoZero"/>
        <c:auto val="1"/>
        <c:lblAlgn val="ctr"/>
        <c:lblOffset val="100"/>
        <c:noMultiLvlLbl val="0"/>
      </c:catAx>
      <c:valAx>
        <c:axId val="23663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63820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06149394724353E-2"/>
          <c:y val="5.0925925925925923E-2"/>
          <c:w val="0.89661708953047525"/>
          <c:h val="0.821774199866807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11D1F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Sheet1!$B$5:$B$24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Sheet1!$F$5:$F$24</c:f>
              <c:numCache>
                <c:formatCode>General</c:formatCode>
                <c:ptCount val="20"/>
                <c:pt idx="0">
                  <c:v>8</c:v>
                </c:pt>
                <c:pt idx="1">
                  <c:v>3</c:v>
                </c:pt>
                <c:pt idx="2">
                  <c:v>26</c:v>
                </c:pt>
                <c:pt idx="3">
                  <c:v>6</c:v>
                </c:pt>
                <c:pt idx="4">
                  <c:v>0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13</c:v>
                </c:pt>
                <c:pt idx="12">
                  <c:v>23</c:v>
                </c:pt>
                <c:pt idx="13">
                  <c:v>100</c:v>
                </c:pt>
                <c:pt idx="14">
                  <c:v>35</c:v>
                </c:pt>
                <c:pt idx="15">
                  <c:v>27</c:v>
                </c:pt>
                <c:pt idx="16">
                  <c:v>39</c:v>
                </c:pt>
                <c:pt idx="17">
                  <c:v>536</c:v>
                </c:pt>
                <c:pt idx="18">
                  <c:v>57</c:v>
                </c:pt>
                <c:pt idx="19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B-4226-88A0-ED3CA086D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433597992"/>
        <c:axId val="433597336"/>
      </c:barChart>
      <c:catAx>
        <c:axId val="433597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597336"/>
        <c:crosses val="autoZero"/>
        <c:auto val="1"/>
        <c:lblAlgn val="ctr"/>
        <c:lblOffset val="100"/>
        <c:noMultiLvlLbl val="0"/>
      </c:catAx>
      <c:valAx>
        <c:axId val="43359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>
                    <a:solidFill>
                      <a:schemeClr val="tx1"/>
                    </a:solidFill>
                  </a:rPr>
                  <a:t>Deschutes (Pelton Trap Return)</a:t>
                </a:r>
              </a:p>
            </c:rich>
          </c:tx>
          <c:layout>
            <c:manualLayout>
              <c:xMode val="edge"/>
              <c:yMode val="edge"/>
              <c:x val="2.9299955216181132E-3"/>
              <c:y val="0.180967844358162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59799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56142</xdr:colOff>
      <xdr:row>1</xdr:row>
      <xdr:rowOff>93236</xdr:rowOff>
    </xdr:from>
    <xdr:to>
      <xdr:col>8</xdr:col>
      <xdr:colOff>206215</xdr:colOff>
      <xdr:row>22</xdr:row>
      <xdr:rowOff>23812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142" y="355174"/>
          <a:ext cx="4424417" cy="37167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Historical populations in the Deschutes and Yakima rivers were extirpated. 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Construction of a barrier at Suttle Lake outlet in 1900s and the later completion of Pelton Round Butte Dam complex in 1960s blocked anadromous passage to the of the Deschutes population. 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the Deschutes, a naturally spawning population of kokanee (land-locked sockeye) exists in Suttle Lake and Link Creek as well as in Lake Billy Chinook. 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Reintroduction of sockeye using hatchery supplementation is being explored under FERC licensing agreement for Pelton Round Butte. </a:t>
          </a:r>
        </a:p>
        <a:p>
          <a:pPr marL="171450" indent="-171450">
            <a:spcAft>
              <a:spcPts val="3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Reintroduction efforts are underway in the upper Yakima basin based on adult outplants.</a:t>
          </a:r>
        </a:p>
      </xdr:txBody>
    </xdr:sp>
    <xdr:clientData/>
  </xdr:twoCellAnchor>
  <xdr:twoCellAnchor>
    <xdr:from>
      <xdr:col>1</xdr:col>
      <xdr:colOff>264583</xdr:colOff>
      <xdr:row>54</xdr:row>
      <xdr:rowOff>22016</xdr:rowOff>
    </xdr:from>
    <xdr:to>
      <xdr:col>8</xdr:col>
      <xdr:colOff>250190</xdr:colOff>
      <xdr:row>70</xdr:row>
      <xdr:rowOff>95250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35292</xdr:colOff>
      <xdr:row>22</xdr:row>
      <xdr:rowOff>8096</xdr:rowOff>
    </xdr:from>
    <xdr:to>
      <xdr:col>8</xdr:col>
      <xdr:colOff>142874</xdr:colOff>
      <xdr:row>37</xdr:row>
      <xdr:rowOff>77153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3C5C3F-1FC0-4D73-9240-1772B8B73D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97155</xdr:colOff>
      <xdr:row>37</xdr:row>
      <xdr:rowOff>67628</xdr:rowOff>
    </xdr:from>
    <xdr:to>
      <xdr:col>15</xdr:col>
      <xdr:colOff>590550</xdr:colOff>
      <xdr:row>53</xdr:row>
      <xdr:rowOff>166687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7B3502-CE0B-435B-A48C-2EBE6A29FF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9</xdr:col>
      <xdr:colOff>472441</xdr:colOff>
      <xdr:row>41</xdr:row>
      <xdr:rowOff>35242</xdr:rowOff>
    </xdr:from>
    <xdr:ext cx="2190984" cy="59323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F40809F-60B1-4AE9-8A73-DB1DEE43B3E2}"/>
            </a:ext>
          </a:extLst>
        </xdr:cNvPr>
        <xdr:cNvSpPr txBox="1"/>
      </xdr:nvSpPr>
      <xdr:spPr>
        <a:xfrm>
          <a:off x="5342097" y="6750367"/>
          <a:ext cx="2190984" cy="59323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lang="en-US" sz="1600" b="1" i="1"/>
            <a:t>Effects of Hatchery</a:t>
          </a:r>
        </a:p>
        <a:p>
          <a:pPr algn="ctr"/>
          <a:r>
            <a:rPr lang="en-US" sz="1600" b="1" i="1"/>
            <a:t>Supplementation Effort</a:t>
          </a:r>
        </a:p>
      </xdr:txBody>
    </xdr:sp>
    <xdr:clientData/>
  </xdr:oneCellAnchor>
  <xdr:twoCellAnchor editAs="oneCell">
    <xdr:from>
      <xdr:col>8</xdr:col>
      <xdr:colOff>357187</xdr:colOff>
      <xdr:row>1</xdr:row>
      <xdr:rowOff>85248</xdr:rowOff>
    </xdr:from>
    <xdr:to>
      <xdr:col>16</xdr:col>
      <xdr:colOff>95250</xdr:colOff>
      <xdr:row>37</xdr:row>
      <xdr:rowOff>56783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1F1BB9D-FADF-4769-B05B-0A563ECF1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6" t="17720" r="43846" b="28971"/>
        <a:stretch/>
      </xdr:blipFill>
      <xdr:spPr>
        <a:xfrm>
          <a:off x="4631531" y="347186"/>
          <a:ext cx="4500563" cy="64485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499523</xdr:colOff>
      <xdr:row>27</xdr:row>
      <xdr:rowOff>26001</xdr:rowOff>
    </xdr:from>
    <xdr:to>
      <xdr:col>9</xdr:col>
      <xdr:colOff>478571</xdr:colOff>
      <xdr:row>30</xdr:row>
      <xdr:rowOff>44865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63D5A1A-F4F1-48EA-8DFF-92711AB58639}"/>
            </a:ext>
          </a:extLst>
        </xdr:cNvPr>
        <xdr:cNvSpPr/>
      </xdr:nvSpPr>
      <xdr:spPr>
        <a:xfrm rot="20260741">
          <a:off x="4773867" y="4967095"/>
          <a:ext cx="574360" cy="542739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532163</xdr:colOff>
      <xdr:row>4</xdr:row>
      <xdr:rowOff>153094</xdr:rowOff>
    </xdr:from>
    <xdr:to>
      <xdr:col>11</xdr:col>
      <xdr:colOff>333375</xdr:colOff>
      <xdr:row>9</xdr:row>
      <xdr:rowOff>20003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DAA1493-0E3B-4E4F-9C64-3B5B14772583}"/>
            </a:ext>
          </a:extLst>
        </xdr:cNvPr>
        <xdr:cNvSpPr/>
      </xdr:nvSpPr>
      <xdr:spPr>
        <a:xfrm>
          <a:off x="5401819" y="974625"/>
          <a:ext cx="991837" cy="77178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466725</xdr:colOff>
      <xdr:row>6</xdr:row>
      <xdr:rowOff>135789</xdr:rowOff>
    </xdr:from>
    <xdr:to>
      <xdr:col>19</xdr:col>
      <xdr:colOff>20955</xdr:colOff>
      <xdr:row>36</xdr:row>
      <xdr:rowOff>108573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2150E-B800-4EF9-A2FD-A58EB2729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8421" r="8986"/>
        <a:stretch/>
      </xdr:blipFill>
      <xdr:spPr>
        <a:xfrm>
          <a:off x="5343525" y="1221639"/>
          <a:ext cx="6259830" cy="54020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79"/>
  <sheetViews>
    <sheetView tabSelected="1" zoomScale="80" zoomScaleNormal="80" workbookViewId="0">
      <selection activeCell="AE20" sqref="AE20"/>
    </sheetView>
  </sheetViews>
  <sheetFormatPr defaultRowHeight="14.4" x14ac:dyDescent="0.3"/>
  <cols>
    <col min="1" max="1" width="1.5546875" style="1" customWidth="1"/>
    <col min="2" max="13" width="8.77734375" style="8" customWidth="1"/>
    <col min="14" max="16" width="8.77734375" customWidth="1"/>
    <col min="17" max="17" width="2.44140625" customWidth="1"/>
    <col min="18" max="18" width="2.6640625" style="1" customWidth="1"/>
    <col min="19" max="19" width="8.88671875" customWidth="1"/>
    <col min="20" max="20" width="22.109375" customWidth="1"/>
    <col min="21" max="21" width="12.77734375" customWidth="1"/>
    <col min="22" max="22" width="11.44140625" customWidth="1"/>
    <col min="24" max="24" width="11.109375" customWidth="1"/>
    <col min="25" max="25" width="10.88671875" customWidth="1"/>
    <col min="26" max="26" width="2.5546875" style="1" customWidth="1"/>
  </cols>
  <sheetData>
    <row r="1" spans="1:27" s="14" customFormat="1" ht="21" customHeight="1" x14ac:dyDescent="0.35">
      <c r="A1" s="61"/>
      <c r="B1" s="62" t="s">
        <v>47</v>
      </c>
      <c r="C1" s="61"/>
      <c r="D1" s="61"/>
      <c r="E1" s="62"/>
      <c r="F1" s="63"/>
      <c r="G1" s="62"/>
      <c r="H1" s="64" t="s">
        <v>48</v>
      </c>
      <c r="I1" s="62"/>
      <c r="J1" s="65"/>
      <c r="K1" s="63"/>
      <c r="L1" s="62" t="s">
        <v>23</v>
      </c>
      <c r="M1" s="65"/>
      <c r="N1" s="62"/>
      <c r="O1" s="65"/>
      <c r="P1" s="65"/>
      <c r="Q1" s="65"/>
      <c r="R1" s="42"/>
      <c r="S1" s="42"/>
      <c r="T1" s="42"/>
      <c r="U1" s="42"/>
      <c r="V1" s="42"/>
      <c r="W1" s="42"/>
      <c r="X1" s="42"/>
      <c r="Y1" s="42"/>
      <c r="Z1" s="42"/>
    </row>
    <row r="2" spans="1:27" s="1" customFormat="1" ht="15" customHeight="1" x14ac:dyDescent="0.3">
      <c r="B2" s="2"/>
      <c r="C2" s="3"/>
      <c r="D2" s="3"/>
      <c r="E2" s="4"/>
      <c r="F2" s="5"/>
      <c r="G2" s="5"/>
      <c r="H2" s="5"/>
      <c r="I2" s="5"/>
      <c r="J2" s="5"/>
      <c r="K2" s="5"/>
      <c r="L2" s="5"/>
      <c r="M2" s="5"/>
      <c r="S2" s="69" t="s">
        <v>16</v>
      </c>
      <c r="T2" s="70"/>
      <c r="U2" s="71" t="s">
        <v>58</v>
      </c>
      <c r="V2" s="72"/>
      <c r="W2" s="71" t="s">
        <v>13</v>
      </c>
      <c r="X2" s="73"/>
      <c r="Y2" s="74"/>
      <c r="Z2" s="5"/>
    </row>
    <row r="3" spans="1:27" x14ac:dyDescent="0.3">
      <c r="B3" s="5"/>
      <c r="C3" s="5"/>
      <c r="D3" s="5"/>
      <c r="E3" s="5"/>
      <c r="F3" s="5"/>
      <c r="G3" s="5"/>
      <c r="H3" s="5"/>
      <c r="I3" s="5"/>
      <c r="J3" s="5"/>
      <c r="K3" s="5"/>
      <c r="L3" s="1"/>
      <c r="M3" s="1"/>
      <c r="N3" s="1"/>
      <c r="O3" s="1"/>
      <c r="P3" s="1"/>
      <c r="Q3" s="1"/>
      <c r="S3" s="83" t="s">
        <v>12</v>
      </c>
      <c r="T3" s="75" t="s">
        <v>0</v>
      </c>
      <c r="U3" s="84" t="s">
        <v>19</v>
      </c>
      <c r="V3" s="85" t="s">
        <v>2</v>
      </c>
      <c r="W3" s="84" t="s">
        <v>4</v>
      </c>
      <c r="X3" s="86" t="s">
        <v>5</v>
      </c>
      <c r="Y3" s="85" t="s">
        <v>6</v>
      </c>
      <c r="Z3" s="5"/>
    </row>
    <row r="4" spans="1:27" ht="15" customHeight="1" x14ac:dyDescent="0.3">
      <c r="B4" s="5"/>
      <c r="C4" s="5"/>
      <c r="D4" s="5"/>
      <c r="E4" s="5"/>
      <c r="F4" s="5"/>
      <c r="G4" s="5"/>
      <c r="H4" s="5"/>
      <c r="I4" s="5"/>
      <c r="J4" s="5"/>
      <c r="K4" s="5"/>
      <c r="L4" s="1"/>
      <c r="M4" s="1"/>
      <c r="N4" s="1"/>
      <c r="O4" s="1"/>
      <c r="P4" s="1"/>
      <c r="Q4" s="1"/>
      <c r="S4" s="87" t="s">
        <v>49</v>
      </c>
      <c r="T4" s="24" t="s">
        <v>50</v>
      </c>
      <c r="U4" s="105">
        <f>Sheet1!F26</f>
        <v>35.632257033884017</v>
      </c>
      <c r="V4" s="106">
        <v>30000</v>
      </c>
      <c r="W4" s="88">
        <v>2500</v>
      </c>
      <c r="X4" s="88">
        <f>AVERAGE(W4,Y4)</f>
        <v>5000</v>
      </c>
      <c r="Y4" s="89">
        <f>W4*3</f>
        <v>7500</v>
      </c>
      <c r="Z4" s="5"/>
    </row>
    <row r="5" spans="1:27" ht="15" customHeight="1" x14ac:dyDescent="0.3">
      <c r="B5" s="5"/>
      <c r="C5" s="5"/>
      <c r="D5" s="5"/>
      <c r="E5" s="5"/>
      <c r="F5" s="5"/>
      <c r="G5" s="5"/>
      <c r="H5" s="5"/>
      <c r="I5" s="5"/>
      <c r="J5" s="5"/>
      <c r="K5" s="5"/>
      <c r="L5" s="1"/>
      <c r="M5" s="1"/>
      <c r="N5" s="1"/>
      <c r="O5" s="1"/>
      <c r="P5" s="1"/>
      <c r="Q5" s="1"/>
      <c r="S5" s="90"/>
      <c r="T5" s="81" t="s">
        <v>60</v>
      </c>
      <c r="U5" s="107">
        <v>1000</v>
      </c>
      <c r="V5" s="108">
        <v>200000</v>
      </c>
      <c r="W5" s="82">
        <v>5000</v>
      </c>
      <c r="X5" s="82">
        <v>40000</v>
      </c>
      <c r="Y5" s="57">
        <v>100000</v>
      </c>
      <c r="Z5" s="5"/>
    </row>
    <row r="6" spans="1:27" ht="15" customHeight="1" x14ac:dyDescent="0.3">
      <c r="B6" s="5"/>
      <c r="C6" s="5"/>
      <c r="D6" s="5"/>
      <c r="E6" s="5"/>
      <c r="F6" s="5"/>
      <c r="G6" s="5"/>
      <c r="H6" s="5"/>
      <c r="I6" s="5"/>
      <c r="J6" s="5"/>
      <c r="K6" s="5"/>
      <c r="L6" s="1"/>
      <c r="M6" s="1"/>
      <c r="N6" s="1"/>
      <c r="O6" s="1"/>
      <c r="P6" s="1"/>
      <c r="Q6" s="1"/>
      <c r="S6" s="110" t="s">
        <v>3</v>
      </c>
      <c r="T6" s="111"/>
      <c r="U6" s="112">
        <f>U5+U4</f>
        <v>1035.6322570338841</v>
      </c>
      <c r="V6" s="113">
        <f t="shared" ref="V6:Y6" si="0">V5+V4</f>
        <v>230000</v>
      </c>
      <c r="W6" s="114">
        <f t="shared" si="0"/>
        <v>7500</v>
      </c>
      <c r="X6" s="114">
        <f t="shared" si="0"/>
        <v>45000</v>
      </c>
      <c r="Y6" s="113">
        <f t="shared" si="0"/>
        <v>107500</v>
      </c>
      <c r="Z6" s="5"/>
    </row>
    <row r="7" spans="1:27" ht="13.95" customHeight="1" x14ac:dyDescent="0.3">
      <c r="B7" s="5"/>
      <c r="C7" s="5"/>
      <c r="D7" s="5"/>
      <c r="E7" s="5"/>
      <c r="F7" s="5"/>
      <c r="G7" s="5"/>
      <c r="H7" s="5"/>
      <c r="I7" s="5"/>
      <c r="J7" s="5"/>
      <c r="K7" s="5"/>
      <c r="L7" s="1"/>
      <c r="M7" s="1"/>
      <c r="N7" s="1"/>
      <c r="O7" s="1"/>
      <c r="P7" s="1"/>
      <c r="Q7" s="1"/>
      <c r="S7" s="1"/>
      <c r="T7" s="1"/>
      <c r="U7" s="1"/>
      <c r="V7" s="1"/>
      <c r="W7" s="1"/>
      <c r="X7" s="1"/>
      <c r="Y7" s="1"/>
      <c r="Z7" s="5"/>
    </row>
    <row r="8" spans="1:27" x14ac:dyDescent="0.3">
      <c r="B8" s="5"/>
      <c r="C8" s="5"/>
      <c r="D8" s="5"/>
      <c r="E8" s="5"/>
      <c r="F8" s="5"/>
      <c r="G8" s="5"/>
      <c r="H8" s="5"/>
      <c r="I8" s="5"/>
      <c r="J8" s="5"/>
      <c r="K8" s="5"/>
      <c r="L8" s="1"/>
      <c r="M8" s="1"/>
      <c r="N8" s="1"/>
      <c r="O8" s="1"/>
      <c r="P8" s="1"/>
      <c r="Q8" s="1"/>
      <c r="S8" s="25" t="s">
        <v>44</v>
      </c>
      <c r="T8" s="26"/>
      <c r="U8" s="27" t="s">
        <v>33</v>
      </c>
      <c r="V8" s="28"/>
      <c r="W8" s="28"/>
      <c r="X8" s="43" t="s">
        <v>9</v>
      </c>
      <c r="Y8" s="29" t="s">
        <v>45</v>
      </c>
      <c r="Z8" s="5"/>
    </row>
    <row r="9" spans="1:27" x14ac:dyDescent="0.3">
      <c r="B9" s="5"/>
      <c r="C9" s="5"/>
      <c r="D9" s="5"/>
      <c r="E9" s="5"/>
      <c r="F9" s="5"/>
      <c r="G9" s="5"/>
      <c r="H9" s="5"/>
      <c r="I9" s="5"/>
      <c r="J9" s="5"/>
      <c r="K9" s="5"/>
      <c r="L9" s="1"/>
      <c r="M9" s="1"/>
      <c r="N9" s="1"/>
      <c r="O9" s="1"/>
      <c r="P9" s="1"/>
      <c r="Q9" s="1"/>
      <c r="S9" s="30" t="s">
        <v>14</v>
      </c>
      <c r="T9" s="31"/>
      <c r="U9" s="32" t="s">
        <v>15</v>
      </c>
      <c r="V9" s="32" t="s">
        <v>34</v>
      </c>
      <c r="W9" s="32" t="s">
        <v>35</v>
      </c>
      <c r="X9" s="32" t="s">
        <v>42</v>
      </c>
      <c r="Y9" s="33" t="s">
        <v>36</v>
      </c>
      <c r="Z9" s="5"/>
    </row>
    <row r="10" spans="1:27" x14ac:dyDescent="0.3">
      <c r="B10" s="5"/>
      <c r="C10" s="5"/>
      <c r="D10" s="5"/>
      <c r="E10" s="5"/>
      <c r="F10" s="5"/>
      <c r="G10" s="5"/>
      <c r="H10" s="5"/>
      <c r="I10" s="5"/>
      <c r="J10" s="5"/>
      <c r="K10" s="5"/>
      <c r="L10" s="1"/>
      <c r="M10" s="1"/>
      <c r="N10" s="1"/>
      <c r="O10" s="1"/>
      <c r="P10" s="1"/>
      <c r="Q10" s="1"/>
      <c r="S10" s="93" t="s">
        <v>59</v>
      </c>
      <c r="T10" s="94"/>
      <c r="U10" s="128" t="s">
        <v>56</v>
      </c>
      <c r="V10" s="129"/>
      <c r="W10" s="129"/>
      <c r="X10" s="95" t="s">
        <v>8</v>
      </c>
      <c r="Y10" s="96" t="s">
        <v>8</v>
      </c>
      <c r="Z10" s="5"/>
    </row>
    <row r="11" spans="1:27" x14ac:dyDescent="0.3">
      <c r="B11" s="5"/>
      <c r="C11" s="5"/>
      <c r="D11" s="5"/>
      <c r="E11" s="5"/>
      <c r="F11" s="5"/>
      <c r="G11" s="5"/>
      <c r="H11" s="5"/>
      <c r="I11" s="5"/>
      <c r="J11" s="5"/>
      <c r="K11" s="5"/>
      <c r="L11" s="1"/>
      <c r="M11" s="1"/>
      <c r="N11" s="1"/>
      <c r="O11" s="1"/>
      <c r="P11" s="1"/>
      <c r="Q11" s="1"/>
      <c r="S11" s="97" t="s">
        <v>66</v>
      </c>
      <c r="T11" s="98"/>
      <c r="U11" s="99" t="s">
        <v>62</v>
      </c>
      <c r="V11" s="109" t="s">
        <v>8</v>
      </c>
      <c r="W11" s="98"/>
      <c r="X11" s="100" t="s">
        <v>8</v>
      </c>
      <c r="Y11" s="101" t="s">
        <v>8</v>
      </c>
      <c r="Z11" s="5"/>
    </row>
    <row r="12" spans="1:27" x14ac:dyDescent="0.3">
      <c r="B12" s="5"/>
      <c r="C12" s="5"/>
      <c r="D12" s="5"/>
      <c r="E12" s="5"/>
      <c r="F12" s="5"/>
      <c r="G12" s="5"/>
      <c r="H12" s="5"/>
      <c r="I12" s="5"/>
      <c r="J12" s="5"/>
      <c r="K12" s="5"/>
      <c r="L12" s="1"/>
      <c r="M12" s="1"/>
      <c r="N12" s="1"/>
      <c r="O12" s="1"/>
      <c r="P12" s="1"/>
      <c r="Q12" s="1"/>
      <c r="S12" s="102"/>
      <c r="T12" s="102"/>
      <c r="U12" s="103"/>
      <c r="V12" s="102"/>
      <c r="W12" s="102"/>
      <c r="X12" s="104"/>
      <c r="Y12" s="104"/>
      <c r="Z12" s="5"/>
    </row>
    <row r="13" spans="1:27" x14ac:dyDescent="0.3">
      <c r="B13" s="5"/>
      <c r="C13" s="5"/>
      <c r="D13" s="5"/>
      <c r="E13" s="5"/>
      <c r="F13" s="5"/>
      <c r="G13" s="5"/>
      <c r="H13" s="5"/>
      <c r="I13" s="5"/>
      <c r="J13" s="5"/>
      <c r="K13" s="5"/>
      <c r="L13" s="1"/>
      <c r="M13" s="1"/>
      <c r="N13" s="1"/>
      <c r="O13" s="1"/>
      <c r="P13" s="1"/>
      <c r="Q13" s="1"/>
      <c r="S13" s="9" t="s">
        <v>18</v>
      </c>
      <c r="T13" s="48"/>
      <c r="U13" s="45" t="s">
        <v>29</v>
      </c>
      <c r="V13" s="20"/>
      <c r="W13" s="49"/>
      <c r="X13" s="45" t="s">
        <v>28</v>
      </c>
      <c r="Y13" s="19"/>
      <c r="Z13" s="5"/>
    </row>
    <row r="14" spans="1:27" x14ac:dyDescent="0.3"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1"/>
      <c r="O14" s="1"/>
      <c r="P14" s="1"/>
      <c r="Q14" s="1"/>
      <c r="S14" s="10"/>
      <c r="T14" s="18" t="s">
        <v>11</v>
      </c>
      <c r="U14" s="50" t="s">
        <v>27</v>
      </c>
      <c r="V14" s="40" t="s">
        <v>43</v>
      </c>
      <c r="W14" s="17" t="s">
        <v>46</v>
      </c>
      <c r="X14" s="50" t="s">
        <v>38</v>
      </c>
      <c r="Y14" s="17" t="s">
        <v>46</v>
      </c>
      <c r="Z14" s="5"/>
    </row>
    <row r="15" spans="1:27" x14ac:dyDescent="0.3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1"/>
      <c r="O15" s="1"/>
      <c r="P15" s="1"/>
      <c r="Q15" s="1"/>
      <c r="S15" s="134" t="s">
        <v>30</v>
      </c>
      <c r="T15" s="7" t="s">
        <v>21</v>
      </c>
      <c r="U15" s="47">
        <v>0</v>
      </c>
      <c r="V15" s="11" t="s">
        <v>8</v>
      </c>
      <c r="W15" s="12" t="s">
        <v>8</v>
      </c>
      <c r="X15" s="46" t="s">
        <v>8</v>
      </c>
      <c r="Y15" s="12" t="s">
        <v>8</v>
      </c>
      <c r="Z15" s="5"/>
    </row>
    <row r="16" spans="1:27" x14ac:dyDescent="0.3"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1"/>
      <c r="O16" s="1"/>
      <c r="P16" s="1"/>
      <c r="Q16" s="1"/>
      <c r="S16" s="134"/>
      <c r="T16" s="7" t="s">
        <v>37</v>
      </c>
      <c r="U16" s="51">
        <v>5.0000000000000001E-3</v>
      </c>
      <c r="V16" s="136" t="s">
        <v>63</v>
      </c>
      <c r="W16" s="138" t="str">
        <f>W19</f>
        <v>20-60%</v>
      </c>
      <c r="X16" s="59">
        <f>U16*U$27/(1-U$19)</f>
        <v>5.3304904051172715</v>
      </c>
      <c r="Y16" s="125">
        <f>0.25*(X28/(1-0.25))</f>
        <v>0</v>
      </c>
      <c r="Z16" s="5"/>
      <c r="AA16" s="37"/>
    </row>
    <row r="17" spans="2:34" x14ac:dyDescent="0.3"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1"/>
      <c r="O17" s="1"/>
      <c r="P17" s="1"/>
      <c r="Q17" s="1"/>
      <c r="S17" s="134"/>
      <c r="T17" s="7" t="s">
        <v>26</v>
      </c>
      <c r="U17" s="51">
        <f>5.7%</f>
        <v>5.7000000000000002E-2</v>
      </c>
      <c r="V17" s="137"/>
      <c r="W17" s="139"/>
      <c r="X17" s="59">
        <f>U17*U$27/(1-U$19)</f>
        <v>60.767590618336889</v>
      </c>
      <c r="Y17" s="126"/>
    </row>
    <row r="18" spans="2:34" x14ac:dyDescent="0.3">
      <c r="B18" s="5"/>
      <c r="C18" s="5"/>
      <c r="D18" s="5"/>
      <c r="E18" s="5"/>
      <c r="F18" s="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S18" s="134"/>
      <c r="T18" s="7" t="s">
        <v>17</v>
      </c>
      <c r="U18" s="47">
        <v>0</v>
      </c>
      <c r="V18" s="11" t="s">
        <v>8</v>
      </c>
      <c r="W18" s="140"/>
      <c r="X18" s="46" t="s">
        <v>8</v>
      </c>
      <c r="Y18" s="127"/>
    </row>
    <row r="19" spans="2:34" ht="14.4" customHeight="1" x14ac:dyDescent="0.3"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1"/>
      <c r="O19" s="1"/>
      <c r="P19" s="1"/>
      <c r="Q19" s="1"/>
      <c r="S19" s="135"/>
      <c r="T19" s="16" t="s">
        <v>7</v>
      </c>
      <c r="U19" s="52">
        <f>SUM(U15:U18)</f>
        <v>6.2E-2</v>
      </c>
      <c r="V19" s="15" t="str">
        <f>V16</f>
        <v>6-8%</v>
      </c>
      <c r="W19" s="39" t="s">
        <v>64</v>
      </c>
      <c r="X19" s="60">
        <f>SUM(X15:X18)</f>
        <v>66.098081023454156</v>
      </c>
      <c r="Y19" s="58">
        <f>Y16</f>
        <v>0</v>
      </c>
    </row>
    <row r="20" spans="2:34" x14ac:dyDescent="0.3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1"/>
      <c r="O20" s="1"/>
      <c r="P20" s="1"/>
      <c r="Q20" s="1"/>
      <c r="S20" s="1"/>
      <c r="T20" s="1"/>
      <c r="U20" s="1"/>
      <c r="V20" s="1"/>
      <c r="W20" s="1"/>
      <c r="X20" s="1"/>
      <c r="Y20" s="1"/>
    </row>
    <row r="21" spans="2:34" x14ac:dyDescent="0.3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1"/>
      <c r="O21" s="1"/>
      <c r="P21" s="1"/>
      <c r="Q21" s="1"/>
      <c r="S21" s="130" t="s">
        <v>24</v>
      </c>
      <c r="T21" s="131"/>
      <c r="U21" s="76" t="s">
        <v>57</v>
      </c>
      <c r="V21" s="77" t="s">
        <v>31</v>
      </c>
      <c r="W21" s="78"/>
      <c r="X21" s="79"/>
      <c r="Y21" s="1"/>
    </row>
    <row r="22" spans="2:34" x14ac:dyDescent="0.3"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1"/>
      <c r="O22" s="1"/>
      <c r="P22" s="1"/>
      <c r="Q22" s="1"/>
      <c r="S22" s="132"/>
      <c r="T22" s="133"/>
      <c r="U22" s="80" t="s">
        <v>61</v>
      </c>
      <c r="V22" s="53" t="s">
        <v>4</v>
      </c>
      <c r="W22" s="53" t="s">
        <v>5</v>
      </c>
      <c r="X22" s="13" t="s">
        <v>6</v>
      </c>
      <c r="Y22" s="1"/>
    </row>
    <row r="23" spans="2:34" x14ac:dyDescent="0.3"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"/>
      <c r="O23" s="1"/>
      <c r="P23" s="1"/>
      <c r="Q23" s="1"/>
      <c r="S23" s="34" t="s">
        <v>22</v>
      </c>
      <c r="T23" s="24"/>
      <c r="U23" s="115">
        <f>ROUND(U27+U31,-2)</f>
        <v>1100</v>
      </c>
      <c r="V23" s="115">
        <f t="shared" ref="V23:X23" si="1">ROUND(V27+V31,-2)</f>
        <v>8000</v>
      </c>
      <c r="W23" s="115">
        <f t="shared" si="1"/>
        <v>81100</v>
      </c>
      <c r="X23" s="120">
        <f t="shared" si="1"/>
        <v>179200</v>
      </c>
      <c r="Y23" s="1"/>
    </row>
    <row r="24" spans="2:34" x14ac:dyDescent="0.3"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1"/>
      <c r="O24" s="1"/>
      <c r="P24" s="1"/>
      <c r="Q24" s="1"/>
      <c r="S24" s="7"/>
      <c r="T24" s="81" t="s">
        <v>20</v>
      </c>
      <c r="U24" s="123"/>
      <c r="V24" s="123"/>
      <c r="W24" s="123"/>
      <c r="X24" s="116"/>
      <c r="Y24" s="1"/>
    </row>
    <row r="25" spans="2:34" x14ac:dyDescent="0.3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1"/>
      <c r="O25" s="1"/>
      <c r="P25" s="1"/>
      <c r="Q25" s="1"/>
      <c r="S25" s="7"/>
      <c r="T25" s="81" t="s">
        <v>10</v>
      </c>
      <c r="U25" s="123"/>
      <c r="V25" s="123"/>
      <c r="W25" s="123"/>
      <c r="X25" s="116"/>
      <c r="Y25" s="1"/>
    </row>
    <row r="26" spans="2:34" x14ac:dyDescent="0.3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1"/>
      <c r="O26" s="1"/>
      <c r="P26" s="1"/>
      <c r="Q26" s="1"/>
      <c r="S26" s="21"/>
      <c r="T26" s="6" t="s">
        <v>32</v>
      </c>
      <c r="U26" s="117"/>
      <c r="V26" s="118"/>
      <c r="W26" s="118"/>
      <c r="X26" s="119"/>
      <c r="Y26" s="1"/>
    </row>
    <row r="27" spans="2:34" x14ac:dyDescent="0.3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1"/>
      <c r="O27" s="1"/>
      <c r="P27" s="1"/>
      <c r="Q27" s="1"/>
      <c r="S27" s="23" t="s">
        <v>65</v>
      </c>
      <c r="T27" s="24"/>
      <c r="U27" s="115">
        <f>ROUND(U6,-2)</f>
        <v>1000</v>
      </c>
      <c r="V27" s="115">
        <f>W6</f>
        <v>7500</v>
      </c>
      <c r="W27" s="115">
        <f>X6</f>
        <v>45000</v>
      </c>
      <c r="X27" s="120">
        <f>Y6</f>
        <v>107500</v>
      </c>
      <c r="Y27" s="1"/>
    </row>
    <row r="28" spans="2:34" x14ac:dyDescent="0.3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1"/>
      <c r="O28" s="1"/>
      <c r="P28" s="1"/>
      <c r="Q28" s="1"/>
      <c r="S28" s="7"/>
      <c r="T28" s="81" t="s">
        <v>20</v>
      </c>
      <c r="U28" s="123"/>
      <c r="V28" s="123"/>
      <c r="W28" s="123"/>
      <c r="X28" s="116"/>
      <c r="Y28" s="1"/>
    </row>
    <row r="29" spans="2:34" ht="13.2" customHeight="1" x14ac:dyDescent="0.3">
      <c r="B29" s="5"/>
      <c r="C29" s="5"/>
      <c r="D29" s="5" t="s">
        <v>1</v>
      </c>
      <c r="E29" s="41">
        <f>U6</f>
        <v>1035.6322570338841</v>
      </c>
      <c r="F29" s="5"/>
      <c r="G29" s="5"/>
      <c r="H29" s="5"/>
      <c r="I29" s="5"/>
      <c r="J29" s="5"/>
      <c r="K29" s="5"/>
      <c r="L29" s="5"/>
      <c r="M29" s="5"/>
      <c r="N29" s="1"/>
      <c r="O29" s="1"/>
      <c r="P29" s="1"/>
      <c r="Q29" s="1"/>
      <c r="S29" s="7"/>
      <c r="T29" s="81" t="s">
        <v>10</v>
      </c>
      <c r="U29" s="123"/>
      <c r="V29" s="123"/>
      <c r="W29" s="123"/>
      <c r="X29" s="116"/>
      <c r="Y29" s="1"/>
    </row>
    <row r="30" spans="2:34" x14ac:dyDescent="0.3">
      <c r="B30" s="5"/>
      <c r="C30" s="5"/>
      <c r="D30" s="5" t="s">
        <v>39</v>
      </c>
      <c r="E30" s="41">
        <f>W6</f>
        <v>7500</v>
      </c>
      <c r="F30" s="5"/>
      <c r="G30" s="5"/>
      <c r="H30" s="5"/>
      <c r="I30" s="5"/>
      <c r="J30" s="5"/>
      <c r="K30" s="5"/>
      <c r="L30" s="5"/>
      <c r="M30" s="5"/>
      <c r="N30" s="1"/>
      <c r="O30" s="1"/>
      <c r="P30" s="1"/>
      <c r="Q30" s="1"/>
      <c r="S30" s="21"/>
      <c r="T30" s="6" t="s">
        <v>32</v>
      </c>
      <c r="U30" s="117"/>
      <c r="V30" s="117"/>
      <c r="W30" s="117"/>
      <c r="X30" s="121"/>
      <c r="Y30" s="1"/>
    </row>
    <row r="31" spans="2:34" x14ac:dyDescent="0.3">
      <c r="B31" s="5"/>
      <c r="C31" s="5"/>
      <c r="D31" s="5" t="s">
        <v>40</v>
      </c>
      <c r="E31" s="41">
        <f>X6</f>
        <v>45000</v>
      </c>
      <c r="F31" s="5"/>
      <c r="G31" s="5"/>
      <c r="H31" s="5"/>
      <c r="I31" s="5"/>
      <c r="J31" s="5"/>
      <c r="K31" s="5"/>
      <c r="L31" s="5"/>
      <c r="M31" s="5"/>
      <c r="N31" s="1"/>
      <c r="O31" s="1"/>
      <c r="P31" s="38"/>
      <c r="Q31" s="1"/>
      <c r="S31" s="22" t="s">
        <v>25</v>
      </c>
      <c r="T31" s="81"/>
      <c r="U31" s="124">
        <f>ROUND($U$19*U27/(1-$U$19),-2)</f>
        <v>100</v>
      </c>
      <c r="V31" s="124">
        <f>ROUND($U$19*V27/(1-$U$19),-2)</f>
        <v>500</v>
      </c>
      <c r="W31" s="124">
        <f>AVERAGE(V31,X31)</f>
        <v>36100</v>
      </c>
      <c r="X31" s="122">
        <f>ROUND(0.4*X27/(1-0.4),-2)</f>
        <v>71700</v>
      </c>
      <c r="Y31" s="1"/>
      <c r="AB31" s="5"/>
      <c r="AC31" s="5"/>
      <c r="AD31" s="5"/>
      <c r="AE31" s="1"/>
      <c r="AF31" s="1"/>
      <c r="AG31" s="1"/>
      <c r="AH31" s="1"/>
    </row>
    <row r="32" spans="2:34" ht="15" customHeight="1" x14ac:dyDescent="0.3">
      <c r="B32" s="5"/>
      <c r="C32" s="5"/>
      <c r="D32" s="5" t="s">
        <v>41</v>
      </c>
      <c r="E32" s="41">
        <f>Y6</f>
        <v>107500</v>
      </c>
      <c r="F32" s="5"/>
      <c r="G32" s="5"/>
      <c r="H32" s="5"/>
      <c r="I32" s="5"/>
      <c r="J32" s="5"/>
      <c r="K32" s="5"/>
      <c r="L32" s="5"/>
      <c r="M32" s="5"/>
      <c r="N32" s="1"/>
      <c r="O32" s="1"/>
      <c r="P32" s="1"/>
      <c r="Q32" s="1"/>
      <c r="S32" s="7"/>
      <c r="T32" s="81" t="s">
        <v>20</v>
      </c>
      <c r="U32" s="123"/>
      <c r="V32" s="123"/>
      <c r="W32" s="123"/>
      <c r="X32" s="116"/>
      <c r="Y32" s="1"/>
      <c r="AH32" s="1"/>
    </row>
    <row r="33" spans="2:34" x14ac:dyDescent="0.3">
      <c r="B33" s="5"/>
      <c r="C33" s="5"/>
      <c r="D33" s="5" t="s">
        <v>2</v>
      </c>
      <c r="E33" s="41">
        <f>V6</f>
        <v>230000</v>
      </c>
      <c r="F33" s="5"/>
      <c r="G33" s="5"/>
      <c r="H33" s="5"/>
      <c r="I33" s="5"/>
      <c r="J33" s="5"/>
      <c r="K33" s="5"/>
      <c r="L33" s="5"/>
      <c r="M33" s="5"/>
      <c r="N33" s="1"/>
      <c r="O33" s="1"/>
      <c r="P33" s="1"/>
      <c r="Q33" s="1"/>
      <c r="S33" s="7"/>
      <c r="T33" s="81" t="s">
        <v>10</v>
      </c>
      <c r="U33" s="123"/>
      <c r="V33" s="123"/>
      <c r="W33" s="123"/>
      <c r="X33" s="116"/>
      <c r="Y33" s="1"/>
      <c r="AH33" s="1"/>
    </row>
    <row r="34" spans="2:34" x14ac:dyDescent="0.3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1"/>
      <c r="O34" s="1"/>
      <c r="P34" s="1"/>
      <c r="Q34" s="1"/>
      <c r="S34" s="21"/>
      <c r="T34" s="6" t="s">
        <v>32</v>
      </c>
      <c r="U34" s="117"/>
      <c r="V34" s="118"/>
      <c r="W34" s="118"/>
      <c r="X34" s="119"/>
      <c r="Y34" s="1"/>
      <c r="AH34" s="1"/>
    </row>
    <row r="35" spans="2:34" x14ac:dyDescent="0.3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1"/>
      <c r="O35" s="1"/>
      <c r="P35" s="1"/>
      <c r="Q35" s="1"/>
      <c r="S35" s="1"/>
      <c r="T35" s="1"/>
      <c r="U35" s="1"/>
      <c r="V35" s="1"/>
      <c r="W35" s="1"/>
      <c r="X35" s="1"/>
      <c r="Y35" s="1"/>
      <c r="AH35" s="1"/>
    </row>
    <row r="36" spans="2:34" x14ac:dyDescent="0.3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1"/>
      <c r="O36" s="1"/>
      <c r="P36" s="1"/>
      <c r="Q36" s="1"/>
      <c r="AH36" s="1"/>
    </row>
    <row r="37" spans="2:34" ht="15" customHeight="1" x14ac:dyDescent="0.3"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1"/>
      <c r="O37" s="1"/>
      <c r="P37" s="1"/>
      <c r="Q37" s="1"/>
      <c r="S37" s="1"/>
      <c r="T37" s="1"/>
      <c r="U37" s="1"/>
      <c r="V37" s="1"/>
      <c r="W37" s="1"/>
      <c r="X37" s="1"/>
      <c r="Y37" s="1"/>
      <c r="AH37" s="1"/>
    </row>
    <row r="38" spans="2:34" x14ac:dyDescent="0.3"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1"/>
      <c r="O38" s="1"/>
      <c r="P38" s="1"/>
      <c r="Q38" s="1"/>
      <c r="S38" s="1"/>
      <c r="T38" s="1"/>
      <c r="U38" s="1"/>
      <c r="V38" s="1"/>
      <c r="W38" s="1"/>
      <c r="X38" s="1"/>
      <c r="Y38" s="1"/>
      <c r="AH38" s="1"/>
    </row>
    <row r="39" spans="2:34" x14ac:dyDescent="0.3"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1"/>
      <c r="O39" s="1"/>
      <c r="P39" s="1"/>
      <c r="Q39" s="1"/>
      <c r="Y39" s="1"/>
      <c r="AH39" s="1"/>
    </row>
    <row r="40" spans="2:34" x14ac:dyDescent="0.3"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1"/>
      <c r="O40" s="1"/>
      <c r="P40" s="1"/>
      <c r="Q40" s="1"/>
      <c r="Y40" s="1"/>
      <c r="AH40" s="1"/>
    </row>
    <row r="41" spans="2:34" x14ac:dyDescent="0.3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1"/>
      <c r="O41" s="1"/>
      <c r="P41" s="1"/>
      <c r="Q41" s="1"/>
      <c r="S41" s="1"/>
      <c r="T41" s="91"/>
      <c r="U41" s="1"/>
      <c r="V41" s="1"/>
      <c r="W41" s="1"/>
      <c r="X41" s="1"/>
      <c r="Y41" s="1"/>
      <c r="AH41" s="1"/>
    </row>
    <row r="42" spans="2:34" x14ac:dyDescent="0.3"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1"/>
      <c r="O42" s="1"/>
      <c r="P42" s="1"/>
      <c r="Q42" s="1"/>
      <c r="T42" s="92"/>
      <c r="AH42" s="1"/>
    </row>
    <row r="43" spans="2:34" x14ac:dyDescent="0.3"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1"/>
      <c r="O43" s="1"/>
      <c r="P43" s="1"/>
      <c r="Q43" s="1"/>
      <c r="T43" s="92"/>
      <c r="AH43" s="1"/>
    </row>
    <row r="44" spans="2:34" x14ac:dyDescent="0.3"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1"/>
      <c r="O44" s="1"/>
      <c r="P44" s="1"/>
      <c r="Q44" s="1"/>
      <c r="AH44" s="1"/>
    </row>
    <row r="45" spans="2:34" x14ac:dyDescent="0.3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1"/>
      <c r="O45" s="1"/>
      <c r="P45" s="1"/>
      <c r="Q45" s="1"/>
      <c r="AH45" s="1"/>
    </row>
    <row r="46" spans="2:34" x14ac:dyDescent="0.3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1"/>
      <c r="O46" s="1"/>
      <c r="P46" s="1"/>
      <c r="Q46" s="1"/>
      <c r="AB46" s="1"/>
      <c r="AC46" s="1"/>
      <c r="AD46" s="1"/>
      <c r="AE46" s="1"/>
      <c r="AF46" s="1"/>
      <c r="AG46" s="1"/>
      <c r="AH46" s="1"/>
    </row>
    <row r="47" spans="2:34" ht="15" customHeight="1" x14ac:dyDescent="0.3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"/>
      <c r="O47" s="1"/>
      <c r="P47" s="1"/>
      <c r="Q47" s="1"/>
    </row>
    <row r="48" spans="2:34" x14ac:dyDescent="0.3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1"/>
      <c r="O48" s="1"/>
      <c r="P48" s="1"/>
      <c r="Q48" s="1"/>
      <c r="S48" s="1"/>
      <c r="T48" s="1"/>
      <c r="U48" s="1"/>
      <c r="V48" s="1"/>
      <c r="W48" s="1"/>
      <c r="X48" s="1"/>
    </row>
    <row r="49" spans="2:25" x14ac:dyDescent="0.3"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1"/>
      <c r="O49" s="1"/>
      <c r="P49" s="1"/>
      <c r="Q49" s="1"/>
      <c r="S49" s="1"/>
      <c r="T49" s="1"/>
      <c r="U49" s="1"/>
      <c r="V49" s="1"/>
      <c r="W49" s="1"/>
      <c r="X49" s="1"/>
      <c r="Y49" s="1"/>
    </row>
    <row r="50" spans="2:25" x14ac:dyDescent="0.3"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1"/>
      <c r="O50" s="1"/>
      <c r="P50" s="1"/>
      <c r="Q50" s="1"/>
      <c r="S50" s="1"/>
      <c r="T50" s="1"/>
      <c r="U50" s="1"/>
      <c r="V50" s="1"/>
      <c r="W50" s="1"/>
      <c r="X50" s="1"/>
      <c r="Y50" s="1"/>
    </row>
    <row r="51" spans="2:25" x14ac:dyDescent="0.3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1"/>
      <c r="O51" s="1"/>
      <c r="P51" s="1"/>
      <c r="Q51" s="1"/>
      <c r="S51" s="1"/>
      <c r="T51" s="1"/>
      <c r="U51" s="1"/>
      <c r="V51" s="1"/>
      <c r="W51" s="1"/>
      <c r="X51" s="1"/>
      <c r="Y51" s="1"/>
    </row>
    <row r="52" spans="2:25" ht="15" customHeight="1" x14ac:dyDescent="0.3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1"/>
      <c r="O52" s="1"/>
      <c r="P52" s="1"/>
      <c r="Q52" s="1"/>
      <c r="S52" s="1"/>
      <c r="T52" s="1"/>
      <c r="U52" s="1"/>
      <c r="V52" s="1"/>
      <c r="W52" s="1"/>
      <c r="X52" s="1"/>
      <c r="Y52" s="1"/>
    </row>
    <row r="53" spans="2:25" x14ac:dyDescent="0.3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1"/>
      <c r="O53" s="1"/>
      <c r="P53" s="1"/>
      <c r="Q53" s="1"/>
      <c r="S53" s="1"/>
      <c r="T53" s="1"/>
      <c r="U53" s="1"/>
      <c r="V53" s="1"/>
      <c r="W53" s="1"/>
      <c r="X53" s="1"/>
      <c r="Y53" s="1"/>
    </row>
    <row r="54" spans="2:25" x14ac:dyDescent="0.3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1"/>
      <c r="O54" s="1"/>
      <c r="P54" s="1"/>
      <c r="Q54" s="1"/>
    </row>
    <row r="55" spans="2:25" x14ac:dyDescent="0.3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1"/>
      <c r="O55" s="1"/>
      <c r="P55" s="1"/>
      <c r="Q55" s="1"/>
    </row>
    <row r="56" spans="2:25" x14ac:dyDescent="0.3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1"/>
      <c r="O56" s="1"/>
      <c r="P56" s="1"/>
      <c r="Q56" s="1"/>
    </row>
    <row r="57" spans="2:25" x14ac:dyDescent="0.3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1"/>
      <c r="O57" s="1"/>
      <c r="P57" s="1"/>
      <c r="Q57" s="1"/>
    </row>
    <row r="58" spans="2:25" x14ac:dyDescent="0.3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1"/>
      <c r="O58" s="1"/>
      <c r="P58" s="1"/>
      <c r="Q58" s="1"/>
    </row>
    <row r="59" spans="2:25" x14ac:dyDescent="0.3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1"/>
      <c r="O59" s="1"/>
      <c r="P59" s="1"/>
      <c r="Q59" s="1"/>
    </row>
    <row r="60" spans="2:25" x14ac:dyDescent="0.3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1"/>
      <c r="O60" s="1"/>
      <c r="P60" s="1"/>
      <c r="Q60" s="1"/>
    </row>
    <row r="61" spans="2:25" x14ac:dyDescent="0.3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1"/>
      <c r="O61" s="1"/>
      <c r="P61" s="1"/>
      <c r="Q61" s="1"/>
    </row>
    <row r="62" spans="2:25" x14ac:dyDescent="0.3">
      <c r="B62" s="1"/>
      <c r="C62" s="1"/>
      <c r="D62" s="35"/>
      <c r="E62" s="35"/>
      <c r="F62" s="35"/>
      <c r="G62" s="35"/>
      <c r="H62" s="36"/>
      <c r="I62" s="36"/>
      <c r="J62" s="5"/>
      <c r="K62" s="5"/>
      <c r="L62" s="5"/>
      <c r="M62" s="5"/>
      <c r="N62" s="1"/>
      <c r="O62" s="1"/>
      <c r="P62" s="1"/>
      <c r="Q62" s="1"/>
    </row>
    <row r="63" spans="2:25" x14ac:dyDescent="0.3">
      <c r="B63" s="1"/>
      <c r="C63" s="1"/>
      <c r="D63" s="35"/>
      <c r="E63" s="35"/>
      <c r="F63" s="35"/>
      <c r="G63" s="35"/>
      <c r="H63" s="36"/>
      <c r="I63" s="36"/>
      <c r="J63" s="5"/>
      <c r="K63" s="5"/>
      <c r="L63" s="5"/>
      <c r="M63" s="5"/>
      <c r="N63" s="1"/>
      <c r="O63" s="1"/>
      <c r="P63" s="1"/>
      <c r="Q63" s="1"/>
    </row>
    <row r="64" spans="2:25" x14ac:dyDescent="0.3">
      <c r="B64" s="1"/>
      <c r="C64" s="1"/>
      <c r="D64" s="35"/>
      <c r="E64" s="35"/>
      <c r="F64" s="35"/>
      <c r="G64" s="35"/>
      <c r="H64" s="36"/>
      <c r="I64" s="36"/>
      <c r="J64" s="5"/>
      <c r="K64" s="5"/>
      <c r="L64" s="5"/>
      <c r="M64" s="5"/>
      <c r="N64" s="1"/>
      <c r="O64" s="1"/>
      <c r="P64" s="1"/>
      <c r="Q64" s="1"/>
    </row>
    <row r="65" spans="1:26" x14ac:dyDescent="0.3">
      <c r="B65" s="1"/>
      <c r="C65" s="1"/>
      <c r="D65" s="35"/>
      <c r="E65" s="35"/>
      <c r="F65" s="35"/>
      <c r="G65" s="35"/>
      <c r="H65" s="36"/>
      <c r="I65" s="36"/>
      <c r="J65" s="5"/>
      <c r="K65" s="5"/>
      <c r="L65" s="5"/>
      <c r="M65" s="5"/>
      <c r="N65" s="1"/>
      <c r="O65" s="1"/>
      <c r="P65" s="1"/>
      <c r="Q65" s="1"/>
    </row>
    <row r="66" spans="1:26" x14ac:dyDescent="0.3">
      <c r="B66" s="1"/>
      <c r="C66" s="1"/>
      <c r="D66" s="35"/>
      <c r="E66" s="35"/>
      <c r="F66" s="35"/>
      <c r="G66" s="35"/>
      <c r="H66" s="36"/>
      <c r="I66" s="36"/>
      <c r="J66" s="5"/>
      <c r="K66" s="5"/>
      <c r="L66" s="5"/>
      <c r="M66" s="5"/>
      <c r="N66" s="1"/>
      <c r="O66" s="1"/>
      <c r="P66" s="1"/>
      <c r="Q66" s="1"/>
    </row>
    <row r="67" spans="1:26" x14ac:dyDescent="0.3">
      <c r="B67" s="1"/>
      <c r="C67" s="1"/>
      <c r="D67" s="1"/>
      <c r="E67" s="35"/>
      <c r="F67" s="35"/>
      <c r="G67" s="1"/>
      <c r="H67" s="36"/>
      <c r="I67" s="36"/>
      <c r="J67" s="5"/>
      <c r="K67" s="5"/>
      <c r="L67" s="5"/>
      <c r="M67" s="5"/>
      <c r="N67" s="1"/>
      <c r="O67" s="1"/>
      <c r="P67" s="1"/>
      <c r="Q67" s="1"/>
    </row>
    <row r="68" spans="1:26" x14ac:dyDescent="0.3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1"/>
      <c r="O68" s="1"/>
      <c r="P68" s="1"/>
      <c r="Q68" s="1"/>
    </row>
    <row r="69" spans="1:26" x14ac:dyDescent="0.3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1"/>
      <c r="O69" s="1"/>
      <c r="P69" s="1"/>
      <c r="Q69" s="1"/>
    </row>
    <row r="70" spans="1:26" x14ac:dyDescent="0.3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1"/>
      <c r="O70" s="1"/>
      <c r="P70" s="1"/>
      <c r="Q70" s="1"/>
    </row>
    <row r="71" spans="1:26" x14ac:dyDescent="0.3"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1"/>
      <c r="O71" s="1"/>
      <c r="P71" s="1"/>
      <c r="Q71" s="1"/>
    </row>
    <row r="72" spans="1:26" s="14" customFormat="1" ht="18" x14ac:dyDescent="0.35">
      <c r="A72" s="42"/>
      <c r="B72" s="66"/>
      <c r="C72" s="66"/>
      <c r="D72" s="66"/>
      <c r="E72" s="67" t="s">
        <v>3</v>
      </c>
      <c r="F72" s="68">
        <f>U19</f>
        <v>6.2E-2</v>
      </c>
      <c r="G72" s="66"/>
      <c r="H72" s="66"/>
      <c r="I72" s="66"/>
      <c r="J72" s="66"/>
      <c r="K72" s="66"/>
      <c r="L72" s="66"/>
      <c r="M72" s="66"/>
      <c r="N72" s="66"/>
      <c r="O72" s="42"/>
      <c r="P72" s="42"/>
      <c r="Q72" s="42"/>
      <c r="R72" s="42"/>
      <c r="Z72" s="42"/>
    </row>
    <row r="73" spans="1:26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1"/>
      <c r="O73" s="1"/>
      <c r="P73" s="1"/>
      <c r="Q73" s="1"/>
    </row>
    <row r="74" spans="1:26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1"/>
      <c r="O74" s="1"/>
      <c r="P74" s="1"/>
      <c r="Q74" s="1"/>
    </row>
    <row r="75" spans="1:26" x14ac:dyDescent="0.3">
      <c r="Q75" s="1"/>
    </row>
    <row r="76" spans="1:26" x14ac:dyDescent="0.3">
      <c r="Q76" s="1"/>
    </row>
    <row r="77" spans="1:26" x14ac:dyDescent="0.3">
      <c r="Q77" s="1"/>
    </row>
    <row r="79" spans="1:26" x14ac:dyDescent="0.3">
      <c r="F79" s="5"/>
      <c r="G79" s="1"/>
      <c r="H79" s="1"/>
      <c r="I79" s="1"/>
    </row>
  </sheetData>
  <mergeCells count="6">
    <mergeCell ref="Y16:Y18"/>
    <mergeCell ref="U10:W10"/>
    <mergeCell ref="S21:T22"/>
    <mergeCell ref="S15:S19"/>
    <mergeCell ref="V16:V17"/>
    <mergeCell ref="W16:W18"/>
  </mergeCells>
  <printOptions horizontalCentered="1"/>
  <pageMargins left="0.5" right="0.5" top="0.5" bottom="0.5" header="0.3" footer="0.3"/>
  <pageSetup scale="68" orientation="portrait" r:id="rId1"/>
  <headerFooter>
    <oddHeader>&amp;R&amp;D</oddHeader>
    <oddFooter>&amp;L&amp;F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L27"/>
  <sheetViews>
    <sheetView workbookViewId="0">
      <selection activeCell="V21" sqref="V21"/>
    </sheetView>
  </sheetViews>
  <sheetFormatPr defaultRowHeight="14.4" x14ac:dyDescent="0.3"/>
  <sheetData>
    <row r="2" spans="2:12" x14ac:dyDescent="0.3">
      <c r="C2" t="s">
        <v>51</v>
      </c>
    </row>
    <row r="3" spans="2:12" x14ac:dyDescent="0.3">
      <c r="C3" t="s">
        <v>55</v>
      </c>
      <c r="D3" t="s">
        <v>52</v>
      </c>
      <c r="E3" t="s">
        <v>53</v>
      </c>
      <c r="F3" t="s">
        <v>54</v>
      </c>
    </row>
    <row r="5" spans="2:12" x14ac:dyDescent="0.3">
      <c r="B5">
        <f t="shared" ref="B5:B14" si="0">B6-1</f>
        <v>1999</v>
      </c>
      <c r="F5">
        <v>8</v>
      </c>
      <c r="I5" s="44">
        <v>30000</v>
      </c>
      <c r="J5" s="55">
        <v>2500</v>
      </c>
      <c r="K5" s="56">
        <f>AVERAGE(J5,L5)</f>
        <v>5000</v>
      </c>
      <c r="L5" s="57">
        <f>J5*3</f>
        <v>7500</v>
      </c>
    </row>
    <row r="6" spans="2:12" x14ac:dyDescent="0.3">
      <c r="B6">
        <f t="shared" si="0"/>
        <v>2000</v>
      </c>
      <c r="F6">
        <v>3</v>
      </c>
    </row>
    <row r="7" spans="2:12" x14ac:dyDescent="0.3">
      <c r="B7">
        <f t="shared" si="0"/>
        <v>2001</v>
      </c>
      <c r="F7">
        <v>26</v>
      </c>
    </row>
    <row r="8" spans="2:12" x14ac:dyDescent="0.3">
      <c r="B8">
        <f t="shared" si="0"/>
        <v>2002</v>
      </c>
      <c r="F8">
        <v>6</v>
      </c>
    </row>
    <row r="9" spans="2:12" x14ac:dyDescent="0.3">
      <c r="B9">
        <f t="shared" si="0"/>
        <v>2003</v>
      </c>
      <c r="F9">
        <v>0</v>
      </c>
    </row>
    <row r="10" spans="2:12" x14ac:dyDescent="0.3">
      <c r="B10">
        <f t="shared" si="0"/>
        <v>2004</v>
      </c>
      <c r="F10">
        <v>6</v>
      </c>
    </row>
    <row r="11" spans="2:12" x14ac:dyDescent="0.3">
      <c r="B11">
        <f t="shared" si="0"/>
        <v>2005</v>
      </c>
      <c r="F11">
        <v>6</v>
      </c>
    </row>
    <row r="12" spans="2:12" x14ac:dyDescent="0.3">
      <c r="B12">
        <f t="shared" si="0"/>
        <v>2006</v>
      </c>
      <c r="F12">
        <v>5</v>
      </c>
    </row>
    <row r="13" spans="2:12" x14ac:dyDescent="0.3">
      <c r="B13">
        <f t="shared" si="0"/>
        <v>2007</v>
      </c>
      <c r="F13">
        <v>4</v>
      </c>
    </row>
    <row r="14" spans="2:12" x14ac:dyDescent="0.3">
      <c r="B14">
        <f t="shared" si="0"/>
        <v>2008</v>
      </c>
      <c r="F14">
        <v>2</v>
      </c>
    </row>
    <row r="15" spans="2:12" x14ac:dyDescent="0.3">
      <c r="B15">
        <f>B16-1</f>
        <v>2009</v>
      </c>
      <c r="F15">
        <v>2</v>
      </c>
    </row>
    <row r="16" spans="2:12" x14ac:dyDescent="0.3">
      <c r="B16">
        <v>2010</v>
      </c>
      <c r="F16">
        <v>13</v>
      </c>
    </row>
    <row r="17" spans="2:6" x14ac:dyDescent="0.3">
      <c r="B17">
        <f>B16+1</f>
        <v>2011</v>
      </c>
      <c r="F17">
        <v>23</v>
      </c>
    </row>
    <row r="18" spans="2:6" x14ac:dyDescent="0.3">
      <c r="B18">
        <f t="shared" ref="B18:B24" si="1">B17+1</f>
        <v>2012</v>
      </c>
      <c r="F18">
        <v>100</v>
      </c>
    </row>
    <row r="19" spans="2:6" x14ac:dyDescent="0.3">
      <c r="B19">
        <f t="shared" si="1"/>
        <v>2013</v>
      </c>
      <c r="F19">
        <v>35</v>
      </c>
    </row>
    <row r="20" spans="2:6" x14ac:dyDescent="0.3">
      <c r="B20">
        <f t="shared" si="1"/>
        <v>2014</v>
      </c>
      <c r="C20">
        <v>6</v>
      </c>
      <c r="D20">
        <v>21</v>
      </c>
      <c r="E20">
        <v>0</v>
      </c>
      <c r="F20">
        <v>27</v>
      </c>
    </row>
    <row r="21" spans="2:6" x14ac:dyDescent="0.3">
      <c r="B21">
        <f t="shared" si="1"/>
        <v>2015</v>
      </c>
      <c r="C21">
        <v>26</v>
      </c>
      <c r="D21">
        <v>4</v>
      </c>
      <c r="E21">
        <v>6</v>
      </c>
      <c r="F21">
        <v>39</v>
      </c>
    </row>
    <row r="22" spans="2:6" x14ac:dyDescent="0.3">
      <c r="B22">
        <f t="shared" si="1"/>
        <v>2016</v>
      </c>
      <c r="C22">
        <v>528</v>
      </c>
      <c r="D22">
        <v>0</v>
      </c>
      <c r="E22">
        <v>8</v>
      </c>
      <c r="F22">
        <f>SUM(C22:E22)</f>
        <v>536</v>
      </c>
    </row>
    <row r="23" spans="2:6" x14ac:dyDescent="0.3">
      <c r="B23">
        <f t="shared" si="1"/>
        <v>2017</v>
      </c>
      <c r="C23">
        <v>41</v>
      </c>
      <c r="D23">
        <v>15</v>
      </c>
      <c r="E23">
        <v>1</v>
      </c>
      <c r="F23">
        <f t="shared" ref="F23:F24" si="2">SUM(C23:E23)</f>
        <v>57</v>
      </c>
    </row>
    <row r="24" spans="2:6" x14ac:dyDescent="0.3">
      <c r="B24">
        <f t="shared" si="1"/>
        <v>2018</v>
      </c>
      <c r="C24">
        <v>10</v>
      </c>
      <c r="D24">
        <v>39</v>
      </c>
      <c r="E24">
        <v>0</v>
      </c>
      <c r="F24">
        <f t="shared" si="2"/>
        <v>49</v>
      </c>
    </row>
    <row r="26" spans="2:6" x14ac:dyDescent="0.3">
      <c r="F26" s="54">
        <f>GEOMEAN(F15:F24)</f>
        <v>35.632257033884017</v>
      </c>
    </row>
    <row r="27" spans="2:6" x14ac:dyDescent="0.3">
      <c r="F27">
        <f>AVERAGE(F15:F24)</f>
        <v>88.1</v>
      </c>
    </row>
  </sheetData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>
      <selection activeCell="C5" sqref="C5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cp:lastPrinted>2018-03-21T01:40:47Z</cp:lastPrinted>
  <dcterms:created xsi:type="dcterms:W3CDTF">2017-07-05T20:34:17Z</dcterms:created>
  <dcterms:modified xsi:type="dcterms:W3CDTF">2020-08-13T16:35:56Z</dcterms:modified>
</cp:coreProperties>
</file>