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C:\Users\beame\Documents\NMFS Columbia Basin\10. Quantitative goals\Snake Chinook fall\"/>
    </mc:Choice>
  </mc:AlternateContent>
  <xr:revisionPtr revIDLastSave="0" documentId="8_{89C03F66-70EB-45BB-9B32-B9565F822373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Summary" sheetId="10" r:id="rId1"/>
    <sheet name="Documentation" sheetId="13" r:id="rId2"/>
    <sheet name="Runs" sheetId="11" r:id="rId3"/>
    <sheet name="Conv" sheetId="14" r:id="rId4"/>
    <sheet name="Natl Spnr" sheetId="1" r:id="rId5"/>
    <sheet name="Fishery" sheetId="2" r:id="rId6"/>
    <sheet name="Hatchery" sheetId="3" r:id="rId7"/>
    <sheet name="Blocked" sheetId="15" r:id="rId8"/>
  </sheets>
  <definedNames>
    <definedName name="_Ref67714019" localSheetId="3">#REF!</definedName>
    <definedName name="_Ref67714019">#REF!</definedName>
    <definedName name="solver_adj" localSheetId="3" hidden="1">Conv!$W$28</definedName>
    <definedName name="solver_cvg" localSheetId="3" hidden="1">0.0001</definedName>
    <definedName name="solver_drv" localSheetId="3" hidden="1">1</definedName>
    <definedName name="solver_eng" localSheetId="3" hidden="1">1</definedName>
    <definedName name="solver_est" localSheetId="3" hidden="1">1</definedName>
    <definedName name="solver_itr" localSheetId="3" hidden="1">2147483647</definedName>
    <definedName name="solver_mip" localSheetId="3" hidden="1">2147483647</definedName>
    <definedName name="solver_mni" localSheetId="3" hidden="1">30</definedName>
    <definedName name="solver_mrt" localSheetId="3" hidden="1">0.075</definedName>
    <definedName name="solver_msl" localSheetId="3" hidden="1">2</definedName>
    <definedName name="solver_neg" localSheetId="3" hidden="1">1</definedName>
    <definedName name="solver_nod" localSheetId="3" hidden="1">2147483647</definedName>
    <definedName name="solver_num" localSheetId="3" hidden="1">0</definedName>
    <definedName name="solver_nwt" localSheetId="3" hidden="1">1</definedName>
    <definedName name="solver_opt" localSheetId="3" hidden="1">Conv!$Y$22</definedName>
    <definedName name="solver_pre" localSheetId="3" hidden="1">0.000001</definedName>
    <definedName name="solver_rbv" localSheetId="3" hidden="1">1</definedName>
    <definedName name="solver_rlx" localSheetId="3" hidden="1">2</definedName>
    <definedName name="solver_rsd" localSheetId="3" hidden="1">0</definedName>
    <definedName name="solver_scl" localSheetId="3" hidden="1">1</definedName>
    <definedName name="solver_sho" localSheetId="3" hidden="1">2</definedName>
    <definedName name="solver_ssz" localSheetId="3" hidden="1">100</definedName>
    <definedName name="solver_tim" localSheetId="3" hidden="1">2147483647</definedName>
    <definedName name="solver_tol" localSheetId="3" hidden="1">0.01</definedName>
    <definedName name="solver_typ" localSheetId="3" hidden="1">3</definedName>
    <definedName name="solver_val" localSheetId="3" hidden="1">0.393</definedName>
    <definedName name="solver_ver" localSheetId="3" hidden="1">3</definedName>
  </definedNames>
  <calcPr calcId="181029"/>
  <pivotCaches>
    <pivotCache cacheId="0" r:id="rId9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14" i="10" l="1"/>
  <c r="AA11" i="10"/>
  <c r="AA89" i="2" l="1"/>
  <c r="Z43" i="10"/>
  <c r="Y43" i="10"/>
  <c r="X43" i="10"/>
  <c r="Z39" i="10"/>
  <c r="Y39" i="10"/>
  <c r="X39" i="10"/>
  <c r="Y14" i="10" l="1"/>
  <c r="Q113" i="3" l="1"/>
  <c r="Q112" i="3"/>
  <c r="Q111" i="3"/>
  <c r="Q110" i="3"/>
  <c r="O31" i="3" l="1"/>
  <c r="AG51" i="11" l="1"/>
  <c r="AF51" i="11"/>
  <c r="AE51" i="11"/>
  <c r="AF49" i="11"/>
  <c r="AE49" i="11"/>
  <c r="AG49" i="11" s="1"/>
  <c r="Z49" i="11"/>
  <c r="W49" i="11"/>
  <c r="X49" i="11"/>
  <c r="Y49" i="11"/>
  <c r="V49" i="11"/>
  <c r="U49" i="11"/>
  <c r="C61" i="14" l="1"/>
  <c r="AJ51" i="11" l="1"/>
  <c r="AL51" i="11"/>
  <c r="AI51" i="11"/>
  <c r="AZ51" i="11" l="1"/>
  <c r="AS47" i="11"/>
  <c r="L47" i="11" s="1"/>
  <c r="Q47" i="11" s="1"/>
  <c r="AS46" i="11"/>
  <c r="M46" i="11" s="1"/>
  <c r="AS45" i="11"/>
  <c r="N45" i="11" s="1"/>
  <c r="R45" i="11" s="1"/>
  <c r="AS44" i="11"/>
  <c r="O44" i="11" s="1"/>
  <c r="S44" i="11" s="1"/>
  <c r="AS43" i="11"/>
  <c r="L43" i="11" s="1"/>
  <c r="Q43" i="11" s="1"/>
  <c r="AS42" i="11"/>
  <c r="M42" i="11" s="1"/>
  <c r="AS41" i="11"/>
  <c r="N41" i="11" s="1"/>
  <c r="R41" i="11" s="1"/>
  <c r="AS40" i="11"/>
  <c r="O40" i="11" s="1"/>
  <c r="S40" i="11" s="1"/>
  <c r="AS39" i="11"/>
  <c r="L39" i="11" s="1"/>
  <c r="Q39" i="11" s="1"/>
  <c r="AS38" i="11"/>
  <c r="M38" i="11" s="1"/>
  <c r="AS37" i="11"/>
  <c r="N37" i="11" s="1"/>
  <c r="R37" i="11" s="1"/>
  <c r="AS36" i="11"/>
  <c r="O36" i="11" s="1"/>
  <c r="S36" i="11" s="1"/>
  <c r="AS35" i="11"/>
  <c r="L35" i="11" s="1"/>
  <c r="Q35" i="11" s="1"/>
  <c r="AS34" i="11"/>
  <c r="M34" i="11" s="1"/>
  <c r="AS33" i="11"/>
  <c r="N33" i="11" s="1"/>
  <c r="R33" i="11" s="1"/>
  <c r="AS32" i="11"/>
  <c r="O32" i="11" s="1"/>
  <c r="S32" i="11" s="1"/>
  <c r="AS31" i="11"/>
  <c r="L31" i="11" s="1"/>
  <c r="Q31" i="11" s="1"/>
  <c r="AS30" i="11"/>
  <c r="M30" i="11" s="1"/>
  <c r="AS29" i="11"/>
  <c r="N29" i="11" s="1"/>
  <c r="R29" i="11" s="1"/>
  <c r="AS28" i="11"/>
  <c r="O28" i="11" s="1"/>
  <c r="S28" i="11" s="1"/>
  <c r="AS27" i="11"/>
  <c r="L27" i="11" s="1"/>
  <c r="Q27" i="11" s="1"/>
  <c r="AS26" i="11"/>
  <c r="M26" i="11" s="1"/>
  <c r="AS25" i="11"/>
  <c r="AS48" i="11"/>
  <c r="O48" i="11" s="1"/>
  <c r="S48" i="11" s="1"/>
  <c r="AM48" i="11"/>
  <c r="AM47" i="11"/>
  <c r="AM4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M29" i="11"/>
  <c r="AM28" i="11"/>
  <c r="AM27" i="11"/>
  <c r="AM26" i="11"/>
  <c r="AM25" i="11"/>
  <c r="AY51" i="11"/>
  <c r="AX51" i="11"/>
  <c r="AW51" i="11"/>
  <c r="AV51" i="11"/>
  <c r="AF48" i="11"/>
  <c r="AE48" i="11"/>
  <c r="AF47" i="11"/>
  <c r="AE47" i="11"/>
  <c r="AF46" i="11"/>
  <c r="AE46" i="11"/>
  <c r="AF45" i="11"/>
  <c r="AE45" i="11"/>
  <c r="AF44" i="11"/>
  <c r="AE44" i="11"/>
  <c r="AF43" i="11"/>
  <c r="AE43" i="11"/>
  <c r="AF42" i="11"/>
  <c r="AE42" i="11"/>
  <c r="AF41" i="11"/>
  <c r="AE41" i="11"/>
  <c r="AF40" i="11"/>
  <c r="AE40" i="11"/>
  <c r="AF39" i="11"/>
  <c r="AE39" i="11"/>
  <c r="AF38" i="11"/>
  <c r="AE38" i="11"/>
  <c r="AF37" i="11"/>
  <c r="AE37" i="11"/>
  <c r="AF36" i="11"/>
  <c r="AE36" i="11"/>
  <c r="AF35" i="11"/>
  <c r="AE35" i="11"/>
  <c r="AF34" i="11"/>
  <c r="AE34" i="11"/>
  <c r="AF33" i="11"/>
  <c r="AE33" i="11"/>
  <c r="AF32" i="11"/>
  <c r="AE32" i="11"/>
  <c r="AF31" i="11"/>
  <c r="AE31" i="11"/>
  <c r="AF30" i="11"/>
  <c r="AE30" i="11"/>
  <c r="AF29" i="11"/>
  <c r="AE29" i="11"/>
  <c r="AF28" i="11"/>
  <c r="AE28" i="11"/>
  <c r="AF27" i="11"/>
  <c r="AE27" i="11"/>
  <c r="AF26" i="11"/>
  <c r="AE26" i="11"/>
  <c r="AF25" i="11"/>
  <c r="AE25" i="11"/>
  <c r="N25" i="11" l="1"/>
  <c r="R25" i="11" s="1"/>
  <c r="K25" i="11"/>
  <c r="AG28" i="11"/>
  <c r="AM51" i="11"/>
  <c r="AG36" i="11"/>
  <c r="AG45" i="11"/>
  <c r="L28" i="11"/>
  <c r="Q28" i="11" s="1"/>
  <c r="L36" i="11"/>
  <c r="Q36" i="11" s="1"/>
  <c r="AG37" i="11"/>
  <c r="L44" i="11"/>
  <c r="Q44" i="11" s="1"/>
  <c r="C25" i="11"/>
  <c r="O29" i="11"/>
  <c r="S29" i="11" s="1"/>
  <c r="O45" i="11"/>
  <c r="S45" i="11" s="1"/>
  <c r="AG38" i="11"/>
  <c r="L25" i="11"/>
  <c r="Q25" i="11" s="1"/>
  <c r="M28" i="11"/>
  <c r="M31" i="11"/>
  <c r="L33" i="11"/>
  <c r="Q33" i="11" s="1"/>
  <c r="M36" i="11"/>
  <c r="M39" i="11"/>
  <c r="L41" i="11"/>
  <c r="Q41" i="11" s="1"/>
  <c r="M44" i="11"/>
  <c r="M47" i="11"/>
  <c r="K41" i="11"/>
  <c r="C41" i="11" s="1"/>
  <c r="O25" i="11"/>
  <c r="S25" i="11" s="1"/>
  <c r="K29" i="11"/>
  <c r="C29" i="11" s="1"/>
  <c r="L32" i="11"/>
  <c r="Q32" i="11" s="1"/>
  <c r="O33" i="11"/>
  <c r="S33" i="11" s="1"/>
  <c r="K37" i="11"/>
  <c r="C37" i="11" s="1"/>
  <c r="L40" i="11"/>
  <c r="Q40" i="11" s="1"/>
  <c r="O41" i="11"/>
  <c r="S41" i="11" s="1"/>
  <c r="K45" i="11"/>
  <c r="C45" i="11" s="1"/>
  <c r="L48" i="11"/>
  <c r="Q48" i="11" s="1"/>
  <c r="K33" i="11"/>
  <c r="C33" i="11" s="1"/>
  <c r="O37" i="11"/>
  <c r="S37" i="11" s="1"/>
  <c r="M27" i="11"/>
  <c r="L29" i="11"/>
  <c r="Q29" i="11" s="1"/>
  <c r="M32" i="11"/>
  <c r="M35" i="11"/>
  <c r="L37" i="11"/>
  <c r="Q37" i="11" s="1"/>
  <c r="M40" i="11"/>
  <c r="M43" i="11"/>
  <c r="L45" i="11"/>
  <c r="Q45" i="11" s="1"/>
  <c r="M48" i="11"/>
  <c r="N26" i="11"/>
  <c r="R26" i="11" s="1"/>
  <c r="N34" i="11"/>
  <c r="R34" i="11" s="1"/>
  <c r="N38" i="11"/>
  <c r="R38" i="11" s="1"/>
  <c r="N42" i="11"/>
  <c r="R42" i="11" s="1"/>
  <c r="AG44" i="11"/>
  <c r="K26" i="11"/>
  <c r="C26" i="11" s="1"/>
  <c r="N27" i="11"/>
  <c r="R27" i="11" s="1"/>
  <c r="O30" i="11"/>
  <c r="S30" i="11" s="1"/>
  <c r="K34" i="11"/>
  <c r="C34" i="11" s="1"/>
  <c r="N35" i="11"/>
  <c r="R35" i="11" s="1"/>
  <c r="O38" i="11"/>
  <c r="S38" i="11" s="1"/>
  <c r="K42" i="11"/>
  <c r="C42" i="11" s="1"/>
  <c r="N43" i="11"/>
  <c r="R43" i="11" s="1"/>
  <c r="K46" i="11"/>
  <c r="C46" i="11" s="1"/>
  <c r="AG29" i="11"/>
  <c r="AS51" i="11"/>
  <c r="M25" i="11"/>
  <c r="L26" i="11"/>
  <c r="Q26" i="11" s="1"/>
  <c r="K27" i="11"/>
  <c r="C27" i="11" s="1"/>
  <c r="O27" i="11"/>
  <c r="S27" i="11" s="1"/>
  <c r="N28" i="11"/>
  <c r="R28" i="11" s="1"/>
  <c r="M29" i="11"/>
  <c r="L30" i="11"/>
  <c r="Q30" i="11" s="1"/>
  <c r="K31" i="11"/>
  <c r="C31" i="11" s="1"/>
  <c r="O31" i="11"/>
  <c r="S31" i="11" s="1"/>
  <c r="N32" i="11"/>
  <c r="R32" i="11" s="1"/>
  <c r="M33" i="11"/>
  <c r="L34" i="11"/>
  <c r="Q34" i="11" s="1"/>
  <c r="K35" i="11"/>
  <c r="C35" i="11" s="1"/>
  <c r="O35" i="11"/>
  <c r="S35" i="11" s="1"/>
  <c r="N36" i="11"/>
  <c r="R36" i="11" s="1"/>
  <c r="M37" i="11"/>
  <c r="L38" i="11"/>
  <c r="Q38" i="11" s="1"/>
  <c r="K39" i="11"/>
  <c r="C39" i="11" s="1"/>
  <c r="O39" i="11"/>
  <c r="S39" i="11" s="1"/>
  <c r="N40" i="11"/>
  <c r="R40" i="11" s="1"/>
  <c r="M41" i="11"/>
  <c r="L42" i="11"/>
  <c r="K43" i="11"/>
  <c r="C43" i="11" s="1"/>
  <c r="O43" i="11"/>
  <c r="S43" i="11" s="1"/>
  <c r="N44" i="11"/>
  <c r="R44" i="11" s="1"/>
  <c r="M45" i="11"/>
  <c r="L46" i="11"/>
  <c r="Q46" i="11" s="1"/>
  <c r="K47" i="11"/>
  <c r="C47" i="11" s="1"/>
  <c r="O47" i="11"/>
  <c r="S47" i="11" s="1"/>
  <c r="N48" i="11"/>
  <c r="R48" i="11" s="1"/>
  <c r="N30" i="11"/>
  <c r="R30" i="11" s="1"/>
  <c r="N46" i="11"/>
  <c r="R46" i="11" s="1"/>
  <c r="AG48" i="11"/>
  <c r="O26" i="11"/>
  <c r="S26" i="11" s="1"/>
  <c r="K30" i="11"/>
  <c r="C30" i="11" s="1"/>
  <c r="N31" i="11"/>
  <c r="R31" i="11" s="1"/>
  <c r="O34" i="11"/>
  <c r="S34" i="11" s="1"/>
  <c r="K38" i="11"/>
  <c r="C38" i="11" s="1"/>
  <c r="N39" i="11"/>
  <c r="R39" i="11" s="1"/>
  <c r="O42" i="11"/>
  <c r="S42" i="11" s="1"/>
  <c r="O46" i="11"/>
  <c r="S46" i="11" s="1"/>
  <c r="N47" i="11"/>
  <c r="R47" i="11" s="1"/>
  <c r="AG30" i="11"/>
  <c r="AG32" i="11"/>
  <c r="K28" i="11"/>
  <c r="C28" i="11" s="1"/>
  <c r="K32" i="11"/>
  <c r="C32" i="11" s="1"/>
  <c r="K36" i="11"/>
  <c r="C36" i="11" s="1"/>
  <c r="K40" i="11"/>
  <c r="C40" i="11" s="1"/>
  <c r="K44" i="11"/>
  <c r="C44" i="11" s="1"/>
  <c r="K48" i="11"/>
  <c r="C48" i="11" s="1"/>
  <c r="AG31" i="11"/>
  <c r="AG47" i="11"/>
  <c r="AG46" i="11"/>
  <c r="AG33" i="11"/>
  <c r="AG40" i="11"/>
  <c r="AG41" i="11"/>
  <c r="AG35" i="11"/>
  <c r="AG43" i="11"/>
  <c r="AG34" i="11"/>
  <c r="AG42" i="11"/>
  <c r="AG39" i="11"/>
  <c r="X10" i="1"/>
  <c r="W35" i="14"/>
  <c r="S35" i="14"/>
  <c r="O35" i="14"/>
  <c r="K35" i="14"/>
  <c r="AU51" i="11"/>
  <c r="W6" i="14"/>
  <c r="S6" i="14"/>
  <c r="W36" i="10" l="1"/>
  <c r="W52" i="10"/>
  <c r="W48" i="10"/>
  <c r="W32" i="10"/>
  <c r="W40" i="10"/>
  <c r="R51" i="11"/>
  <c r="S51" i="11"/>
  <c r="L51" i="11"/>
  <c r="Q42" i="11"/>
  <c r="Q51" i="11" s="1"/>
  <c r="M51" i="11"/>
  <c r="W35" i="10" s="1"/>
  <c r="K51" i="11"/>
  <c r="W31" i="10" s="1"/>
  <c r="N51" i="11"/>
  <c r="O51" i="11"/>
  <c r="K12" i="14"/>
  <c r="D9" i="14"/>
  <c r="K9" i="14" s="1"/>
  <c r="D12" i="14"/>
  <c r="O9" i="14" l="1"/>
  <c r="O38" i="14" s="1"/>
  <c r="K38" i="14"/>
  <c r="W9" i="14"/>
  <c r="W38" i="14" s="1"/>
  <c r="S9" i="14"/>
  <c r="S38" i="14" s="1"/>
  <c r="D38" i="14"/>
  <c r="O12" i="14"/>
  <c r="O40" i="14" s="1"/>
  <c r="D40" i="14"/>
  <c r="S12" i="14"/>
  <c r="S40" i="14" s="1"/>
  <c r="K40" i="14"/>
  <c r="W12" i="14"/>
  <c r="W40" i="14" s="1"/>
  <c r="BH46" i="11"/>
  <c r="BH45" i="11"/>
  <c r="BH44" i="11"/>
  <c r="BH43" i="11"/>
  <c r="BH42" i="11"/>
  <c r="BH41" i="11"/>
  <c r="BH40" i="11"/>
  <c r="BH39" i="11"/>
  <c r="BH47" i="11"/>
  <c r="D51" i="11"/>
  <c r="W30" i="10" s="1"/>
  <c r="Z48" i="11"/>
  <c r="X48" i="11"/>
  <c r="W48" i="11"/>
  <c r="V48" i="11"/>
  <c r="U48" i="11"/>
  <c r="C17" i="14" l="1"/>
  <c r="H17" i="14" s="1"/>
  <c r="W29" i="10"/>
  <c r="BH51" i="11"/>
  <c r="Y48" i="11"/>
  <c r="F51" i="11" l="1"/>
  <c r="E40" i="14"/>
  <c r="E35" i="14"/>
  <c r="E16" i="14"/>
  <c r="F16" i="14" s="1"/>
  <c r="K15" i="14"/>
  <c r="E15" i="14"/>
  <c r="K13" i="14"/>
  <c r="E13" i="14"/>
  <c r="K10" i="14"/>
  <c r="E10" i="14"/>
  <c r="E9" i="14"/>
  <c r="K7" i="14"/>
  <c r="E7" i="14"/>
  <c r="E6" i="14"/>
  <c r="K36" i="14" l="1"/>
  <c r="S7" i="14"/>
  <c r="S36" i="14" s="1"/>
  <c r="W7" i="14"/>
  <c r="W36" i="14" s="1"/>
  <c r="D36" i="14"/>
  <c r="E36" i="14" s="1"/>
  <c r="O7" i="14"/>
  <c r="O36" i="14" s="1"/>
  <c r="W13" i="14"/>
  <c r="W41" i="14" s="1"/>
  <c r="K41" i="14"/>
  <c r="D41" i="14"/>
  <c r="E41" i="14" s="1"/>
  <c r="S13" i="14"/>
  <c r="S41" i="14" s="1"/>
  <c r="S10" i="14"/>
  <c r="S39" i="14" s="1"/>
  <c r="W10" i="14"/>
  <c r="W39" i="14" s="1"/>
  <c r="D39" i="14"/>
  <c r="E39" i="14" s="1"/>
  <c r="K39" i="14"/>
  <c r="O10" i="14"/>
  <c r="O39" i="14" s="1"/>
  <c r="K43" i="14"/>
  <c r="W15" i="14"/>
  <c r="W43" i="14" s="1"/>
  <c r="D43" i="14"/>
  <c r="E43" i="14" s="1"/>
  <c r="S15" i="14"/>
  <c r="S43" i="14" s="1"/>
  <c r="O15" i="14"/>
  <c r="O43" i="14" s="1"/>
  <c r="W34" i="10"/>
  <c r="C14" i="14" s="1"/>
  <c r="K16" i="14" s="1"/>
  <c r="F15" i="14"/>
  <c r="F13" i="14" s="1"/>
  <c r="O13" i="14"/>
  <c r="O41" i="14" s="1"/>
  <c r="O6" i="14"/>
  <c r="H15" i="14"/>
  <c r="H14" i="14" s="1"/>
  <c r="H12" i="14" s="1"/>
  <c r="E12" i="14"/>
  <c r="E38" i="14"/>
  <c r="E53" i="14" s="1"/>
  <c r="O16" i="14" l="1"/>
  <c r="W16" i="14"/>
  <c r="D44" i="14"/>
  <c r="S44" i="14" s="1"/>
  <c r="S16" i="14"/>
  <c r="I16" i="14"/>
  <c r="F12" i="14"/>
  <c r="F10" i="14" s="1"/>
  <c r="F9" i="14" s="1"/>
  <c r="F7" i="14" s="1"/>
  <c r="F6" i="14" s="1"/>
  <c r="H11" i="14"/>
  <c r="I13" i="14"/>
  <c r="I15" i="14"/>
  <c r="BP52" i="11"/>
  <c r="BT52" i="11"/>
  <c r="BS52" i="11"/>
  <c r="BR52" i="11"/>
  <c r="BO52" i="11"/>
  <c r="BQ52" i="11"/>
  <c r="W5" i="10" s="1"/>
  <c r="F2" i="13" s="1"/>
  <c r="F10" i="13"/>
  <c r="F9" i="13"/>
  <c r="F8" i="13"/>
  <c r="F6" i="13"/>
  <c r="F3" i="13"/>
  <c r="K44" i="14" l="1"/>
  <c r="W44" i="14"/>
  <c r="O44" i="14"/>
  <c r="E44" i="14"/>
  <c r="F44" i="14" s="1"/>
  <c r="F43" i="14" s="1"/>
  <c r="F41" i="14" s="1"/>
  <c r="F40" i="14" s="1"/>
  <c r="F39" i="14" s="1"/>
  <c r="F38" i="14" s="1"/>
  <c r="F36" i="14" s="1"/>
  <c r="F35" i="14" s="1"/>
  <c r="H9" i="14"/>
  <c r="I12" i="14"/>
  <c r="W7" i="10"/>
  <c r="H8" i="14" l="1"/>
  <c r="I10" i="14"/>
  <c r="X5" i="10"/>
  <c r="F4" i="13" s="1"/>
  <c r="H6" i="14" l="1"/>
  <c r="I7" i="14" s="1"/>
  <c r="I21" i="14" s="1"/>
  <c r="I22" i="14" s="1"/>
  <c r="I9" i="14"/>
  <c r="Z18" i="10"/>
  <c r="AA13" i="10"/>
  <c r="AA12" i="10"/>
  <c r="H5" i="14" l="1"/>
  <c r="I6" i="14" s="1"/>
  <c r="I23" i="14" s="1"/>
  <c r="I24" i="14" s="1"/>
  <c r="AA7" i="10"/>
  <c r="E27" i="10" l="1"/>
  <c r="H51" i="11"/>
  <c r="I51" i="11"/>
  <c r="G51" i="11"/>
  <c r="E51" i="11"/>
  <c r="BM51" i="11"/>
  <c r="BL51" i="11"/>
  <c r="BK51" i="11"/>
  <c r="BJ51" i="11"/>
  <c r="BG51" i="11"/>
  <c r="BF51" i="11"/>
  <c r="BE51" i="11"/>
  <c r="BD51" i="11"/>
  <c r="BC51" i="11"/>
  <c r="BT51" i="11"/>
  <c r="BS51" i="11"/>
  <c r="BR51" i="11"/>
  <c r="BQ51" i="11"/>
  <c r="W42" i="10" s="1"/>
  <c r="BP51" i="11"/>
  <c r="BO51" i="11"/>
  <c r="W43" i="10" s="1"/>
  <c r="C34" i="14" s="1"/>
  <c r="C5" i="14" l="1"/>
  <c r="L5" i="14"/>
  <c r="AA23" i="10"/>
  <c r="X5" i="14" l="1"/>
  <c r="Z42" i="10" s="1"/>
  <c r="AR51" i="11"/>
  <c r="AQ51" i="11"/>
  <c r="AO51" i="11"/>
  <c r="W39" i="10" s="1"/>
  <c r="C37" i="14" s="1"/>
  <c r="AP51" i="11"/>
  <c r="W41" i="10"/>
  <c r="W44" i="10" s="1"/>
  <c r="W38" i="10" l="1"/>
  <c r="C8" i="14" s="1"/>
  <c r="AQ53" i="11"/>
  <c r="L6" i="14"/>
  <c r="W37" i="10" l="1"/>
  <c r="M6" i="14"/>
  <c r="L8" i="14"/>
  <c r="X6" i="14"/>
  <c r="Y25" i="10"/>
  <c r="M7" i="14" l="1"/>
  <c r="L9" i="14"/>
  <c r="Y6" i="14"/>
  <c r="X8" i="14"/>
  <c r="Z38" i="10" s="1"/>
  <c r="Z37" i="10" s="1"/>
  <c r="Z40" i="10" s="1"/>
  <c r="C45" i="14" l="1"/>
  <c r="X9" i="14"/>
  <c r="Y7" i="14"/>
  <c r="M9" i="14"/>
  <c r="L11" i="14"/>
  <c r="X14" i="10"/>
  <c r="C47" i="14" l="1"/>
  <c r="X47" i="14" s="1"/>
  <c r="N71" i="10"/>
  <c r="M10" i="14"/>
  <c r="L12" i="14"/>
  <c r="Y9" i="14"/>
  <c r="X11" i="14"/>
  <c r="H47" i="14" l="1"/>
  <c r="T47" i="14"/>
  <c r="C46" i="14"/>
  <c r="H46" i="14" s="1"/>
  <c r="H45" i="14" s="1"/>
  <c r="P47" i="14"/>
  <c r="L47" i="14"/>
  <c r="M12" i="14"/>
  <c r="L14" i="14"/>
  <c r="X12" i="14"/>
  <c r="Y10" i="14"/>
  <c r="Z46" i="11"/>
  <c r="U46" i="11"/>
  <c r="P46" i="14" l="1"/>
  <c r="P45" i="14" s="1"/>
  <c r="Q44" i="14" s="1"/>
  <c r="P43" i="14" s="1"/>
  <c r="Q43" i="14" s="1"/>
  <c r="P42" i="14" s="1"/>
  <c r="Q41" i="14" s="1"/>
  <c r="P40" i="14" s="1"/>
  <c r="Q40" i="14" s="1"/>
  <c r="P39" i="14" s="1"/>
  <c r="Q39" i="14" s="1"/>
  <c r="P38" i="14" s="1"/>
  <c r="Q38" i="14" s="1"/>
  <c r="P37" i="14" s="1"/>
  <c r="Q36" i="14" s="1"/>
  <c r="P35" i="14" s="1"/>
  <c r="Q35" i="14" s="1"/>
  <c r="P34" i="14" s="1"/>
  <c r="L46" i="14"/>
  <c r="L45" i="14" s="1"/>
  <c r="M44" i="14" s="1"/>
  <c r="L43" i="14" s="1"/>
  <c r="X46" i="14"/>
  <c r="X45" i="14" s="1"/>
  <c r="Y44" i="14" s="1"/>
  <c r="X43" i="14" s="1"/>
  <c r="Y43" i="14" s="1"/>
  <c r="X42" i="14" s="1"/>
  <c r="Y41" i="14" s="1"/>
  <c r="X40" i="14" s="1"/>
  <c r="Y40" i="14" s="1"/>
  <c r="X39" i="14" s="1"/>
  <c r="T46" i="14"/>
  <c r="T45" i="14" s="1"/>
  <c r="U44" i="14" s="1"/>
  <c r="T43" i="14" s="1"/>
  <c r="U43" i="14" s="1"/>
  <c r="T42" i="14" s="1"/>
  <c r="U41" i="14" s="1"/>
  <c r="T40" i="14" s="1"/>
  <c r="H43" i="14"/>
  <c r="H42" i="14" s="1"/>
  <c r="X35" i="10"/>
  <c r="Y12" i="14"/>
  <c r="X14" i="14"/>
  <c r="Z34" i="10" s="1"/>
  <c r="L15" i="14"/>
  <c r="M13" i="14"/>
  <c r="BC80" i="2"/>
  <c r="I44" i="14" l="1"/>
  <c r="M43" i="14"/>
  <c r="L42" i="14" s="1"/>
  <c r="U40" i="14"/>
  <c r="T39" i="14" s="1"/>
  <c r="Y39" i="14"/>
  <c r="X38" i="14" s="1"/>
  <c r="Y38" i="14" s="1"/>
  <c r="X37" i="14" s="1"/>
  <c r="I43" i="14"/>
  <c r="H40" i="14"/>
  <c r="M15" i="14"/>
  <c r="M23" i="14" s="1"/>
  <c r="L17" i="14"/>
  <c r="X15" i="14"/>
  <c r="Y13" i="14"/>
  <c r="AW7" i="2"/>
  <c r="U39" i="14" l="1"/>
  <c r="T38" i="14"/>
  <c r="U38" i="14" s="1"/>
  <c r="T37" i="14" s="1"/>
  <c r="U36" i="14" s="1"/>
  <c r="T35" i="14" s="1"/>
  <c r="U35" i="14" s="1"/>
  <c r="T34" i="14" s="1"/>
  <c r="I41" i="14"/>
  <c r="H39" i="14"/>
  <c r="Y36" i="14"/>
  <c r="X35" i="14"/>
  <c r="Y35" i="14" s="1"/>
  <c r="X34" i="14" s="1"/>
  <c r="M41" i="14"/>
  <c r="L40" i="14" s="1"/>
  <c r="M16" i="14"/>
  <c r="M21" i="14" s="1"/>
  <c r="Q53" i="14"/>
  <c r="M24" i="14"/>
  <c r="Y15" i="14"/>
  <c r="Y23" i="14" s="1"/>
  <c r="X17" i="14"/>
  <c r="AC51" i="11"/>
  <c r="AX7" i="2"/>
  <c r="AY7" i="2" s="1"/>
  <c r="AZ7" i="2"/>
  <c r="AW8" i="2"/>
  <c r="AX8" i="2"/>
  <c r="AY8" i="2" s="1"/>
  <c r="AZ8" i="2"/>
  <c r="AW9" i="2"/>
  <c r="AX9" i="2"/>
  <c r="AY9" i="2"/>
  <c r="AZ9" i="2"/>
  <c r="AW10" i="2"/>
  <c r="AX10" i="2"/>
  <c r="AY10" i="2" s="1"/>
  <c r="AZ10" i="2"/>
  <c r="AW11" i="2"/>
  <c r="AX11" i="2"/>
  <c r="AY11" i="2" s="1"/>
  <c r="AZ11" i="2"/>
  <c r="AW12" i="2"/>
  <c r="AX12" i="2"/>
  <c r="AY12" i="2" s="1"/>
  <c r="AZ12" i="2"/>
  <c r="AW13" i="2"/>
  <c r="AX13" i="2"/>
  <c r="AY13" i="2" s="1"/>
  <c r="AZ13" i="2"/>
  <c r="AW14" i="2"/>
  <c r="AX14" i="2"/>
  <c r="AY14" i="2" s="1"/>
  <c r="AZ14" i="2"/>
  <c r="AW15" i="2"/>
  <c r="AX15" i="2"/>
  <c r="AY15" i="2" s="1"/>
  <c r="AZ15" i="2"/>
  <c r="AW16" i="2"/>
  <c r="AX16" i="2"/>
  <c r="AY16" i="2" s="1"/>
  <c r="AZ16" i="2"/>
  <c r="AW17" i="2"/>
  <c r="AX17" i="2"/>
  <c r="AY17" i="2" s="1"/>
  <c r="AZ17" i="2"/>
  <c r="AW18" i="2"/>
  <c r="AX18" i="2"/>
  <c r="AY18" i="2" s="1"/>
  <c r="AZ18" i="2"/>
  <c r="AW19" i="2"/>
  <c r="AX19" i="2"/>
  <c r="AY19" i="2" s="1"/>
  <c r="AZ19" i="2"/>
  <c r="AW20" i="2"/>
  <c r="AX20" i="2"/>
  <c r="AY20" i="2" s="1"/>
  <c r="AZ20" i="2"/>
  <c r="AW21" i="2"/>
  <c r="AX21" i="2"/>
  <c r="AY21" i="2" s="1"/>
  <c r="AZ21" i="2"/>
  <c r="AW22" i="2"/>
  <c r="AX22" i="2"/>
  <c r="AY22" i="2" s="1"/>
  <c r="AZ22" i="2"/>
  <c r="AW23" i="2"/>
  <c r="AX23" i="2"/>
  <c r="AY23" i="2" s="1"/>
  <c r="AZ23" i="2"/>
  <c r="AW24" i="2"/>
  <c r="AX24" i="2"/>
  <c r="AY24" i="2" s="1"/>
  <c r="AZ24" i="2"/>
  <c r="AW25" i="2"/>
  <c r="AX25" i="2"/>
  <c r="AY25" i="2" s="1"/>
  <c r="AZ25" i="2"/>
  <c r="AW26" i="2"/>
  <c r="AX26" i="2"/>
  <c r="AY26" i="2" s="1"/>
  <c r="AZ26" i="2"/>
  <c r="AW27" i="2"/>
  <c r="AX27" i="2"/>
  <c r="AY27" i="2" s="1"/>
  <c r="AZ27" i="2"/>
  <c r="AW28" i="2"/>
  <c r="AX28" i="2"/>
  <c r="AY28" i="2" s="1"/>
  <c r="AZ28" i="2"/>
  <c r="AW29" i="2"/>
  <c r="AX29" i="2"/>
  <c r="AY29" i="2" s="1"/>
  <c r="AZ29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C89" i="2" s="1"/>
  <c r="AT31" i="2"/>
  <c r="AU31" i="2"/>
  <c r="AV31" i="2"/>
  <c r="BD46" i="2"/>
  <c r="BE46" i="2"/>
  <c r="BG46" i="2"/>
  <c r="BD47" i="2"/>
  <c r="BE47" i="2"/>
  <c r="BG47" i="2"/>
  <c r="BD48" i="2"/>
  <c r="BE48" i="2"/>
  <c r="BG48" i="2"/>
  <c r="BD49" i="2"/>
  <c r="BE49" i="2"/>
  <c r="BG49" i="2"/>
  <c r="BD50" i="2"/>
  <c r="BE50" i="2"/>
  <c r="BG50" i="2"/>
  <c r="BD51" i="2"/>
  <c r="BE51" i="2"/>
  <c r="BG51" i="2"/>
  <c r="BD59" i="2"/>
  <c r="BE59" i="2"/>
  <c r="BG59" i="2"/>
  <c r="BD60" i="2"/>
  <c r="BE60" i="2"/>
  <c r="BG60" i="2"/>
  <c r="BD61" i="2"/>
  <c r="BE61" i="2"/>
  <c r="BG61" i="2"/>
  <c r="BD62" i="2"/>
  <c r="BE62" i="2"/>
  <c r="BG62" i="2"/>
  <c r="BD63" i="2"/>
  <c r="BE63" i="2"/>
  <c r="BG63" i="2"/>
  <c r="BD64" i="2"/>
  <c r="BE64" i="2"/>
  <c r="BG64" i="2"/>
  <c r="BD65" i="2"/>
  <c r="BE65" i="2"/>
  <c r="BG65" i="2"/>
  <c r="BD66" i="2"/>
  <c r="BE66" i="2"/>
  <c r="BG66" i="2"/>
  <c r="BD67" i="2"/>
  <c r="BE67" i="2"/>
  <c r="BG67" i="2"/>
  <c r="BD68" i="2"/>
  <c r="BE68" i="2"/>
  <c r="BG68" i="2"/>
  <c r="BD69" i="2"/>
  <c r="BE69" i="2"/>
  <c r="BG69" i="2"/>
  <c r="BD70" i="2"/>
  <c r="BE70" i="2"/>
  <c r="BG70" i="2"/>
  <c r="BD71" i="2"/>
  <c r="BE71" i="2"/>
  <c r="BG71" i="2"/>
  <c r="BD72" i="2"/>
  <c r="BE72" i="2"/>
  <c r="BG72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AA90" i="2" s="1"/>
  <c r="BB80" i="2"/>
  <c r="BD80" i="2" s="1"/>
  <c r="AC90" i="2"/>
  <c r="AW31" i="2" l="1"/>
  <c r="BF70" i="2"/>
  <c r="M40" i="14"/>
  <c r="L39" i="14" s="1"/>
  <c r="I40" i="14"/>
  <c r="H38" i="14"/>
  <c r="M22" i="14"/>
  <c r="M26" i="14" s="1"/>
  <c r="Q26" i="14" s="1"/>
  <c r="Q54" i="14"/>
  <c r="Q51" i="14"/>
  <c r="X31" i="10"/>
  <c r="Y16" i="14"/>
  <c r="Y21" i="14" s="1"/>
  <c r="Z30" i="10"/>
  <c r="Y24" i="14"/>
  <c r="BE76" i="2"/>
  <c r="BE75" i="2"/>
  <c r="BE74" i="2"/>
  <c r="BD74" i="2"/>
  <c r="BD76" i="2"/>
  <c r="BD75" i="2"/>
  <c r="BF50" i="2"/>
  <c r="AC87" i="2"/>
  <c r="AA88" i="2"/>
  <c r="AC88" i="2"/>
  <c r="AA86" i="2"/>
  <c r="AX31" i="2"/>
  <c r="AC86" i="2"/>
  <c r="AA87" i="2"/>
  <c r="AY31" i="2"/>
  <c r="M55" i="3"/>
  <c r="N55" i="3" s="1"/>
  <c r="L55" i="3"/>
  <c r="K55" i="3"/>
  <c r="J55" i="3"/>
  <c r="I55" i="3"/>
  <c r="H55" i="3"/>
  <c r="G55" i="3"/>
  <c r="F55" i="3"/>
  <c r="E55" i="3"/>
  <c r="D55" i="3"/>
  <c r="C55" i="3"/>
  <c r="M54" i="3"/>
  <c r="N54" i="3" s="1"/>
  <c r="L54" i="3"/>
  <c r="K54" i="3"/>
  <c r="J54" i="3"/>
  <c r="I54" i="3"/>
  <c r="H54" i="3"/>
  <c r="G54" i="3"/>
  <c r="F54" i="3"/>
  <c r="E54" i="3"/>
  <c r="D54" i="3"/>
  <c r="C54" i="3"/>
  <c r="M53" i="3"/>
  <c r="L53" i="3"/>
  <c r="K53" i="3"/>
  <c r="J53" i="3"/>
  <c r="I53" i="3"/>
  <c r="H53" i="3"/>
  <c r="G53" i="3"/>
  <c r="F53" i="3"/>
  <c r="E53" i="3"/>
  <c r="D53" i="3"/>
  <c r="C53" i="3"/>
  <c r="I39" i="14" l="1"/>
  <c r="H37" i="14"/>
  <c r="H35" i="14" s="1"/>
  <c r="M39" i="14"/>
  <c r="L38" i="14" s="1"/>
  <c r="Q52" i="14"/>
  <c r="X47" i="10"/>
  <c r="Y22" i="14"/>
  <c r="Z46" i="10"/>
  <c r="Z41" i="10"/>
  <c r="Z44" i="10" s="1"/>
  <c r="AC91" i="2"/>
  <c r="AA91" i="2"/>
  <c r="M56" i="3"/>
  <c r="N56" i="3" s="1"/>
  <c r="J56" i="3"/>
  <c r="E56" i="3"/>
  <c r="F56" i="3"/>
  <c r="C56" i="3"/>
  <c r="K56" i="3"/>
  <c r="H56" i="3"/>
  <c r="G56" i="3"/>
  <c r="D56" i="3"/>
  <c r="L56" i="3"/>
  <c r="I56" i="3"/>
  <c r="N53" i="3"/>
  <c r="I38" i="14" l="1"/>
  <c r="M38" i="14"/>
  <c r="L37" i="14" s="1"/>
  <c r="C10" i="2"/>
  <c r="C9" i="2"/>
  <c r="W18" i="10" s="1"/>
  <c r="C8" i="2"/>
  <c r="W19" i="10" s="1"/>
  <c r="M36" i="14" l="1"/>
  <c r="L35" i="14" s="1"/>
  <c r="D18" i="14"/>
  <c r="W23" i="10"/>
  <c r="AH18" i="10"/>
  <c r="AD19" i="10"/>
  <c r="D10" i="2"/>
  <c r="X47" i="11"/>
  <c r="V47" i="11"/>
  <c r="X46" i="11"/>
  <c r="Y46" i="11" s="1"/>
  <c r="V46" i="11"/>
  <c r="X45" i="11"/>
  <c r="V45" i="11"/>
  <c r="X44" i="11"/>
  <c r="V44" i="11"/>
  <c r="X43" i="11"/>
  <c r="V43" i="11"/>
  <c r="X42" i="11"/>
  <c r="V42" i="11"/>
  <c r="X41" i="11"/>
  <c r="V41" i="11"/>
  <c r="X40" i="11"/>
  <c r="V40" i="11"/>
  <c r="X39" i="11"/>
  <c r="V39" i="11"/>
  <c r="V51" i="11" s="1"/>
  <c r="X22" i="10" s="1"/>
  <c r="X38" i="11"/>
  <c r="V38" i="11"/>
  <c r="X37" i="11"/>
  <c r="V37" i="11"/>
  <c r="X36" i="11"/>
  <c r="V36" i="11"/>
  <c r="X35" i="11"/>
  <c r="V35" i="11"/>
  <c r="X34" i="11"/>
  <c r="V34" i="11"/>
  <c r="X33" i="11"/>
  <c r="V33" i="11"/>
  <c r="X32" i="11"/>
  <c r="V32" i="11"/>
  <c r="X31" i="11"/>
  <c r="V31" i="11"/>
  <c r="X30" i="11"/>
  <c r="V30" i="11"/>
  <c r="X29" i="11"/>
  <c r="V29" i="11"/>
  <c r="X28" i="11"/>
  <c r="V28" i="11"/>
  <c r="X27" i="11"/>
  <c r="V27" i="11"/>
  <c r="X26" i="11"/>
  <c r="V26" i="11"/>
  <c r="X25" i="11"/>
  <c r="V25" i="11"/>
  <c r="X24" i="11"/>
  <c r="V24" i="11"/>
  <c r="X23" i="11"/>
  <c r="V23" i="11"/>
  <c r="X22" i="11"/>
  <c r="V22" i="11"/>
  <c r="X21" i="11"/>
  <c r="V21" i="11"/>
  <c r="X20" i="11"/>
  <c r="V20" i="11"/>
  <c r="X19" i="11"/>
  <c r="V19" i="11"/>
  <c r="X18" i="11"/>
  <c r="V18" i="11"/>
  <c r="X17" i="11"/>
  <c r="V17" i="11"/>
  <c r="U47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9" i="11"/>
  <c r="U28" i="11"/>
  <c r="U27" i="11"/>
  <c r="U26" i="11"/>
  <c r="U25" i="11"/>
  <c r="U24" i="11"/>
  <c r="U23" i="11"/>
  <c r="U22" i="11"/>
  <c r="U21" i="11"/>
  <c r="U20" i="11"/>
  <c r="U19" i="11"/>
  <c r="U18" i="11"/>
  <c r="U17" i="11"/>
  <c r="W47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W29" i="11"/>
  <c r="W28" i="11"/>
  <c r="W27" i="11"/>
  <c r="W26" i="11"/>
  <c r="W25" i="11"/>
  <c r="W24" i="11"/>
  <c r="W23" i="11"/>
  <c r="W22" i="11"/>
  <c r="W21" i="11"/>
  <c r="W20" i="11"/>
  <c r="W19" i="11"/>
  <c r="W18" i="11"/>
  <c r="W17" i="11"/>
  <c r="Z47" i="11"/>
  <c r="Z45" i="11"/>
  <c r="Z44" i="11"/>
  <c r="Z43" i="11"/>
  <c r="Z42" i="11"/>
  <c r="Z41" i="11"/>
  <c r="Z40" i="11"/>
  <c r="Z39" i="11"/>
  <c r="Z38" i="11"/>
  <c r="Z37" i="11"/>
  <c r="Z36" i="11"/>
  <c r="Z35" i="11"/>
  <c r="Z34" i="11"/>
  <c r="Z33" i="11"/>
  <c r="Z32" i="11"/>
  <c r="Z31" i="11"/>
  <c r="Z30" i="11"/>
  <c r="Z29" i="11"/>
  <c r="Z28" i="11"/>
  <c r="Z27" i="11"/>
  <c r="Z26" i="11"/>
  <c r="Z25" i="11"/>
  <c r="Z24" i="11"/>
  <c r="Z23" i="11"/>
  <c r="Z22" i="11"/>
  <c r="Z21" i="11"/>
  <c r="Z20" i="11"/>
  <c r="Z19" i="11"/>
  <c r="Z18" i="11"/>
  <c r="Z17" i="11"/>
  <c r="B16" i="11"/>
  <c r="B15" i="11" s="1"/>
  <c r="B14" i="11" s="1"/>
  <c r="B13" i="11" s="1"/>
  <c r="B12" i="11" s="1"/>
  <c r="B11" i="11" s="1"/>
  <c r="B10" i="11" s="1"/>
  <c r="B9" i="11" s="1"/>
  <c r="B8" i="11" s="1"/>
  <c r="B7" i="11" s="1"/>
  <c r="B6" i="11" s="1"/>
  <c r="Z51" i="11" l="1"/>
  <c r="M35" i="14"/>
  <c r="L34" i="14" s="1"/>
  <c r="D48" i="14"/>
  <c r="W18" i="14"/>
  <c r="X19" i="14" s="1"/>
  <c r="Y18" i="14" s="1"/>
  <c r="Y30" i="14" s="1"/>
  <c r="Y26" i="14"/>
  <c r="U26" i="14" s="1"/>
  <c r="O18" i="14"/>
  <c r="K18" i="14"/>
  <c r="L19" i="14" s="1"/>
  <c r="M18" i="14" s="1"/>
  <c r="M30" i="14" s="1"/>
  <c r="M31" i="14" s="1"/>
  <c r="S18" i="14"/>
  <c r="AH19" i="10"/>
  <c r="AH20" i="10" s="1"/>
  <c r="AA22" i="10"/>
  <c r="W22" i="10"/>
  <c r="Y35" i="10"/>
  <c r="U51" i="11"/>
  <c r="W51" i="11"/>
  <c r="X51" i="11"/>
  <c r="Y17" i="11"/>
  <c r="Y21" i="11"/>
  <c r="Y25" i="11"/>
  <c r="Y29" i="11"/>
  <c r="Y33" i="11"/>
  <c r="Y37" i="11"/>
  <c r="Y41" i="11"/>
  <c r="Y45" i="11"/>
  <c r="Y24" i="11"/>
  <c r="Y32" i="11"/>
  <c r="Y40" i="11"/>
  <c r="Y20" i="11"/>
  <c r="Y28" i="11"/>
  <c r="Y36" i="11"/>
  <c r="Y44" i="11"/>
  <c r="Y18" i="11"/>
  <c r="Y22" i="11"/>
  <c r="Y26" i="11"/>
  <c r="Y30" i="11"/>
  <c r="Y34" i="11"/>
  <c r="Y38" i="11"/>
  <c r="Y42" i="11"/>
  <c r="Y47" i="11"/>
  <c r="Y19" i="11"/>
  <c r="Y23" i="11"/>
  <c r="Y27" i="11"/>
  <c r="Y31" i="11"/>
  <c r="Y35" i="11"/>
  <c r="Y39" i="11"/>
  <c r="Y51" i="11" s="1"/>
  <c r="X20" i="10" s="1"/>
  <c r="Y43" i="11"/>
  <c r="U56" i="11"/>
  <c r="V61" i="11" s="1"/>
  <c r="Z56" i="11"/>
  <c r="W56" i="11"/>
  <c r="V62" i="11" s="1"/>
  <c r="C6" i="2"/>
  <c r="Y31" i="14" l="1"/>
  <c r="Z50" i="10"/>
  <c r="K48" i="14"/>
  <c r="L49" i="14" s="1"/>
  <c r="M48" i="14" s="1"/>
  <c r="S48" i="14"/>
  <c r="W48" i="14"/>
  <c r="O48" i="14"/>
  <c r="P49" i="14" s="1"/>
  <c r="Q48" i="14" s="1"/>
  <c r="Q60" i="14" s="1"/>
  <c r="AA20" i="10"/>
  <c r="W45" i="10" s="1"/>
  <c r="C22" i="14"/>
  <c r="X25" i="10"/>
  <c r="W20" i="10"/>
  <c r="AD20" i="10" s="1"/>
  <c r="AA19" i="10"/>
  <c r="AA18" i="10"/>
  <c r="Z35" i="10"/>
  <c r="Z33" i="10" s="1"/>
  <c r="Z36" i="10" s="1"/>
  <c r="C7" i="2"/>
  <c r="V6" i="1"/>
  <c r="Z6" i="1" s="1"/>
  <c r="AA25" i="10" l="1"/>
  <c r="W49" i="10" s="1"/>
  <c r="W51" i="10" s="1"/>
  <c r="W50" i="10" s="1"/>
  <c r="Q61" i="14"/>
  <c r="X51" i="10"/>
  <c r="C5" i="2"/>
  <c r="T49" i="14"/>
  <c r="U48" i="14" s="1"/>
  <c r="U53" i="14"/>
  <c r="Y5" i="10"/>
  <c r="A1" i="3"/>
  <c r="P5" i="14" l="1"/>
  <c r="X42" i="10" s="1"/>
  <c r="C11" i="2"/>
  <c r="W25" i="10" s="1"/>
  <c r="D8" i="2"/>
  <c r="D7" i="2"/>
  <c r="U54" i="14"/>
  <c r="U51" i="14"/>
  <c r="U60" i="14" s="1"/>
  <c r="Y31" i="10"/>
  <c r="Y53" i="14"/>
  <c r="X49" i="14"/>
  <c r="Y48" i="14" s="1"/>
  <c r="Y7" i="10"/>
  <c r="Z5" i="10"/>
  <c r="T5" i="14" s="1"/>
  <c r="F5" i="13"/>
  <c r="A1" i="1"/>
  <c r="F71" i="10" l="1"/>
  <c r="C31" i="14"/>
  <c r="Y42" i="10"/>
  <c r="T6" i="14"/>
  <c r="P6" i="14"/>
  <c r="U61" i="14"/>
  <c r="Y51" i="10"/>
  <c r="Y51" i="14"/>
  <c r="Y60" i="14" s="1"/>
  <c r="Z31" i="10"/>
  <c r="Z29" i="10" s="1"/>
  <c r="Z32" i="10" s="1"/>
  <c r="U52" i="14"/>
  <c r="Y47" i="10"/>
  <c r="Y54" i="14"/>
  <c r="F7" i="13"/>
  <c r="Z7" i="10"/>
  <c r="E25" i="10" s="1"/>
  <c r="E24" i="10"/>
  <c r="X41" i="10"/>
  <c r="X44" i="10" s="1"/>
  <c r="E26" i="10"/>
  <c r="P8" i="14" l="1"/>
  <c r="Q6" i="14"/>
  <c r="U6" i="14"/>
  <c r="T8" i="14"/>
  <c r="Y61" i="14"/>
  <c r="Z51" i="10"/>
  <c r="Z49" i="10" s="1"/>
  <c r="Y52" i="14"/>
  <c r="Z47" i="10"/>
  <c r="Z45" i="10" s="1"/>
  <c r="AB20" i="10" s="1"/>
  <c r="Y41" i="10"/>
  <c r="Y44" i="10" s="1"/>
  <c r="E23" i="10"/>
  <c r="Y38" i="10" l="1"/>
  <c r="Y37" i="10" s="1"/>
  <c r="Y40" i="10" s="1"/>
  <c r="U7" i="14"/>
  <c r="T9" i="14"/>
  <c r="X38" i="10"/>
  <c r="X37" i="10" s="1"/>
  <c r="X40" i="10" s="1"/>
  <c r="Q7" i="14"/>
  <c r="P9" i="14"/>
  <c r="Z52" i="10"/>
  <c r="AB25" i="10"/>
  <c r="AB18" i="10"/>
  <c r="Z48" i="10"/>
  <c r="T11" i="14" l="1"/>
  <c r="U9" i="14"/>
  <c r="Q9" i="14"/>
  <c r="P11" i="14"/>
  <c r="Q10" i="14" l="1"/>
  <c r="P12" i="14"/>
  <c r="U10" i="14"/>
  <c r="T12" i="14"/>
  <c r="M53" i="14"/>
  <c r="M54" i="14" s="1"/>
  <c r="M51" i="14"/>
  <c r="T14" i="14" l="1"/>
  <c r="U12" i="14"/>
  <c r="Q12" i="14"/>
  <c r="P14" i="14"/>
  <c r="M52" i="14"/>
  <c r="M60" i="14"/>
  <c r="M61" i="14" s="1"/>
  <c r="X34" i="10" l="1"/>
  <c r="X33" i="10" s="1"/>
  <c r="X36" i="10" s="1"/>
  <c r="P15" i="14"/>
  <c r="Q13" i="14"/>
  <c r="Y34" i="10"/>
  <c r="Y33" i="10" s="1"/>
  <c r="Y36" i="10" s="1"/>
  <c r="T15" i="14"/>
  <c r="U13" i="14"/>
  <c r="T17" i="14" l="1"/>
  <c r="U15" i="14"/>
  <c r="U23" i="14" s="1"/>
  <c r="U24" i="14" s="1"/>
  <c r="P17" i="14"/>
  <c r="Q15" i="14"/>
  <c r="Q23" i="14" s="1"/>
  <c r="I36" i="14"/>
  <c r="I51" i="14" s="1"/>
  <c r="I52" i="14" s="1"/>
  <c r="H34" i="14"/>
  <c r="I35" i="14" s="1"/>
  <c r="I53" i="14" s="1"/>
  <c r="I54" i="14" s="1"/>
  <c r="Q24" i="14" l="1"/>
  <c r="P19" i="14"/>
  <c r="Q18" i="14" s="1"/>
  <c r="Q16" i="14"/>
  <c r="Q21" i="14" s="1"/>
  <c r="X30" i="10"/>
  <c r="X29" i="10" s="1"/>
  <c r="X32" i="10" s="1"/>
  <c r="T19" i="14"/>
  <c r="U18" i="14" s="1"/>
  <c r="Y30" i="10"/>
  <c r="Y29" i="10" s="1"/>
  <c r="Y32" i="10" s="1"/>
  <c r="U16" i="14"/>
  <c r="U21" i="14" s="1"/>
  <c r="C42" i="14"/>
  <c r="W33" i="10"/>
  <c r="W47" i="10"/>
  <c r="C51" i="14" s="1"/>
  <c r="U30" i="14" l="1"/>
  <c r="U22" i="14"/>
  <c r="Y46" i="10"/>
  <c r="Y45" i="10" s="1"/>
  <c r="Y48" i="10" s="1"/>
  <c r="Q30" i="14"/>
  <c r="Q22" i="14"/>
  <c r="X46" i="10"/>
  <c r="X45" i="10" s="1"/>
  <c r="X48" i="10" s="1"/>
  <c r="W46" i="10"/>
  <c r="C21" i="14" s="1"/>
  <c r="Q31" i="14" l="1"/>
  <c r="X50" i="10"/>
  <c r="X49" i="10" s="1"/>
  <c r="X52" i="10" s="1"/>
  <c r="Y50" i="10"/>
  <c r="Y49" i="10" s="1"/>
  <c r="Y52" i="10" s="1"/>
  <c r="U3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AG19" authorId="0" shapeId="0" xr:uid="{94665DBE-67E4-4F53-9449-3113A8F49DE2}">
      <text>
        <r>
          <rPr>
            <b/>
            <sz val="9"/>
            <color indexed="81"/>
            <rFont val="Tahoma"/>
            <family val="2"/>
          </rPr>
          <t>CR equivalents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I1" authorId="0" shapeId="0" xr:uid="{5AF18DA6-A5D8-4732-9F3D-1323DC688425}">
      <text>
        <r>
          <rPr>
            <b/>
            <u/>
            <sz val="9"/>
            <color indexed="81"/>
            <rFont val="Tahoma"/>
            <family val="2"/>
          </rPr>
          <t>Natural Production (eg)</t>
        </r>
        <r>
          <rPr>
            <b/>
            <sz val="9"/>
            <color indexed="81"/>
            <rFont val="Tahoma"/>
            <family val="2"/>
          </rPr>
          <t xml:space="preserve">
(current)
spawning ground survey 
dam count
weir count
EDT model (patient)
expert judgement
(historical)
Reference period estimate
EDT model (template)
Other model
Harvest expansion
???
(goals)
</t>
        </r>
        <r>
          <rPr>
            <b/>
            <u/>
            <sz val="9"/>
            <color indexed="81"/>
            <rFont val="Tahoma"/>
            <family val="2"/>
          </rPr>
          <t>Hatchery</t>
        </r>
        <r>
          <rPr>
            <b/>
            <sz val="9"/>
            <color indexed="81"/>
            <rFont val="Tahoma"/>
            <family val="2"/>
          </rPr>
          <t xml:space="preserve">
release
adult return</t>
        </r>
      </text>
    </comment>
    <comment ref="J1" authorId="0" shapeId="0" xr:uid="{A6E87A10-7C13-4BD2-8075-220BACE475A6}">
      <text>
        <r>
          <rPr>
            <b/>
            <sz val="9"/>
            <color indexed="81"/>
            <rFont val="Tahoma"/>
            <family val="2"/>
          </rPr>
          <t>if applicable</t>
        </r>
      </text>
    </comment>
    <comment ref="L1" authorId="0" shapeId="0" xr:uid="{C5749116-D09F-4B31-A242-5288E322268B}">
      <text>
        <r>
          <rPr>
            <b/>
            <u/>
            <sz val="9"/>
            <color indexed="81"/>
            <rFont val="Tahoma"/>
            <family val="2"/>
          </rPr>
          <t>Reference (short form)</t>
        </r>
        <r>
          <rPr>
            <b/>
            <sz val="9"/>
            <color indexed="81"/>
            <rFont val="Tahoma"/>
            <family val="2"/>
          </rPr>
          <t xml:space="preserve">
Recovery plan
Subbasin plan
Technical report
Website
Agency unpublished
etc.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Ray Beamesderfer</author>
    <author>xxx</author>
    <author>Bill Young</author>
  </authors>
  <commentList>
    <comment ref="AB3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data from J Jording</t>
        </r>
      </text>
    </comment>
    <comment ref="AI3" authorId="1" shapeId="0" xr:uid="{7457CA1B-3AC6-42CB-B7C9-E33758F6478B}">
      <text>
        <r>
          <rPr>
            <b/>
            <sz val="9"/>
            <color indexed="81"/>
            <rFont val="Tahoma"/>
            <family val="2"/>
          </rPr>
          <t>from BA tables</t>
        </r>
      </text>
    </comment>
    <comment ref="AM3" authorId="2" shapeId="0" xr:uid="{00000000-0006-0000-0400-000002000000}">
      <text>
        <r>
          <rPr>
            <b/>
            <sz val="9"/>
            <color indexed="81"/>
            <rFont val="Tahoma"/>
            <family val="2"/>
          </rPr>
          <t>Bill Young:</t>
        </r>
        <r>
          <rPr>
            <sz val="9"/>
            <color indexed="81"/>
            <rFont val="Tahoma"/>
            <family val="2"/>
          </rPr>
          <t xml:space="preserve">
added run reconstruction estimates that differed from window counts from 2003 - 2016
</t>
        </r>
      </text>
    </comment>
    <comment ref="BP5" authorId="2" shapeId="0" xr:uid="{00000000-0006-0000-0400-000008000000}">
      <text>
        <r>
          <rPr>
            <b/>
            <sz val="9"/>
            <color indexed="81"/>
            <rFont val="Tahoma"/>
            <family val="2"/>
          </rPr>
          <t>Bill Young:</t>
        </r>
        <r>
          <rPr>
            <sz val="9"/>
            <color indexed="81"/>
            <rFont val="Tahoma"/>
            <family val="2"/>
          </rPr>
          <t xml:space="preserve">
assumed no tribal harvest of jacks or NPTH volunteer jacks
</t>
        </r>
      </text>
    </comment>
    <comment ref="BM34" authorId="2" shapeId="0" xr:uid="{00000000-0006-0000-0400-000009000000}">
      <text>
        <r>
          <rPr>
            <b/>
            <sz val="9"/>
            <color rgb="FF000000"/>
            <rFont val="Tahoma"/>
            <family val="2"/>
          </rPr>
          <t>Bill Young:</t>
        </r>
        <r>
          <rPr>
            <sz val="9"/>
            <color rgb="FF000000"/>
            <rFont val="Tahoma"/>
            <family val="2"/>
          </rPr>
          <t xml:space="preserve">
haul to Texas rapid ID by 1L OP</t>
        </r>
      </text>
    </comment>
    <comment ref="BM41" authorId="2" shapeId="0" xr:uid="{00000000-0006-0000-0400-00000A000000}">
      <text>
        <r>
          <rPr>
            <b/>
            <sz val="9"/>
            <color rgb="FF000000"/>
            <rFont val="Tahoma"/>
            <family val="2"/>
          </rPr>
          <t>Bill Young:</t>
        </r>
        <r>
          <rPr>
            <sz val="9"/>
            <color rgb="FF000000"/>
            <rFont val="Tahoma"/>
            <family val="2"/>
          </rPr>
          <t xml:space="preserve">
6 marked/5 unmarked</t>
        </r>
      </text>
    </comment>
    <comment ref="BM43" authorId="2" shapeId="0" xr:uid="{00000000-0006-0000-0400-00000B000000}">
      <text>
        <r>
          <rPr>
            <b/>
            <sz val="9"/>
            <color rgb="FF000000"/>
            <rFont val="Tahoma"/>
            <family val="2"/>
          </rPr>
          <t>Bill Young:</t>
        </r>
        <r>
          <rPr>
            <sz val="9"/>
            <color rgb="FF000000"/>
            <rFont val="Tahoma"/>
            <family val="2"/>
          </rPr>
          <t xml:space="preserve">
4 marked/11 unmarked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L5" authorId="0" shapeId="0" xr:uid="{5C61863F-EAE4-4386-813E-28F6552E8857}">
      <text>
        <r>
          <rPr>
            <b/>
            <sz val="9"/>
            <color indexed="81"/>
            <rFont val="Tahoma"/>
            <family val="2"/>
          </rPr>
          <t>escape</t>
        </r>
      </text>
    </comment>
    <comment ref="P5" authorId="0" shapeId="0" xr:uid="{A3A99B16-E366-419B-9D5E-095753F09640}">
      <text>
        <r>
          <rPr>
            <b/>
            <sz val="9"/>
            <color indexed="81"/>
            <rFont val="Tahoma"/>
            <family val="2"/>
          </rPr>
          <t>escape</t>
        </r>
      </text>
    </comment>
    <comment ref="T5" authorId="0" shapeId="0" xr:uid="{7333B257-F916-4231-A6B0-2786462F6C50}">
      <text>
        <r>
          <rPr>
            <b/>
            <sz val="9"/>
            <color indexed="81"/>
            <rFont val="Tahoma"/>
            <family val="2"/>
          </rPr>
          <t>escape</t>
        </r>
      </text>
    </comment>
    <comment ref="X5" authorId="0" shapeId="0" xr:uid="{DFAD9FB6-F939-4039-90E8-1D8F05DFC685}">
      <text>
        <r>
          <rPr>
            <b/>
            <sz val="9"/>
            <color indexed="81"/>
            <rFont val="Tahoma"/>
            <family val="2"/>
          </rPr>
          <t>escape</t>
        </r>
      </text>
    </comment>
    <comment ref="D6" authorId="0" shapeId="0" xr:uid="{BC3AB44F-200E-4569-A6F8-DF6C2B52D6D4}">
      <text>
        <r>
          <rPr>
            <b/>
            <sz val="9"/>
            <color indexed="81"/>
            <rFont val="Tahoma"/>
            <family val="2"/>
          </rPr>
          <t>solved to match escape/LGR</t>
        </r>
      </text>
    </comment>
    <comment ref="H8" authorId="0" shapeId="0" xr:uid="{75ECF375-3E05-46F0-8021-1CE62FBE731D}">
      <text>
        <r>
          <rPr>
            <b/>
            <sz val="9"/>
            <color indexed="81"/>
            <rFont val="Tahoma"/>
            <family val="2"/>
          </rPr>
          <t>Note that hydro biop conv rates don't produce 10 yr avg numbers</t>
        </r>
      </text>
    </comment>
    <comment ref="L8" authorId="0" shapeId="0" xr:uid="{9917CC94-91D6-40FF-8E9F-3B3A02FB93F0}">
      <text>
        <r>
          <rPr>
            <b/>
            <sz val="9"/>
            <color indexed="81"/>
            <rFont val="Tahoma"/>
            <family val="2"/>
          </rPr>
          <t>LGr</t>
        </r>
      </text>
    </comment>
    <comment ref="P8" authorId="0" shapeId="0" xr:uid="{00FA9CCD-8AE0-413B-915A-6D25C523E78D}">
      <text>
        <r>
          <rPr>
            <b/>
            <sz val="9"/>
            <color indexed="81"/>
            <rFont val="Tahoma"/>
            <family val="2"/>
          </rPr>
          <t>LGr</t>
        </r>
      </text>
    </comment>
    <comment ref="T8" authorId="0" shapeId="0" xr:uid="{C684F9B8-D7F2-40B3-8F8D-A0CE0C97FC02}">
      <text>
        <r>
          <rPr>
            <b/>
            <sz val="9"/>
            <color indexed="81"/>
            <rFont val="Tahoma"/>
            <family val="2"/>
          </rPr>
          <t>LGr</t>
        </r>
      </text>
    </comment>
    <comment ref="X8" authorId="0" shapeId="0" xr:uid="{755E7BDF-1A53-4C08-8805-5034D0665883}">
      <text>
        <r>
          <rPr>
            <b/>
            <sz val="9"/>
            <color indexed="81"/>
            <rFont val="Tahoma"/>
            <family val="2"/>
          </rPr>
          <t>LGr</t>
        </r>
      </text>
    </comment>
    <comment ref="D9" authorId="0" shapeId="0" xr:uid="{2F75EC77-895B-4578-9E24-1C7BF776F803}">
      <text>
        <r>
          <rPr>
            <b/>
            <sz val="9"/>
            <color indexed="81"/>
            <rFont val="Tahoma"/>
            <family val="2"/>
          </rPr>
          <t>from 2017 suuplemental hydro module for recovery plan (2012-2016 avg)</t>
        </r>
      </text>
    </comment>
    <comment ref="D10" authorId="0" shapeId="0" xr:uid="{F32E1DB4-3F5B-4E4A-BF69-23AEE452594A}">
      <text>
        <r>
          <rPr>
            <b/>
            <sz val="9"/>
            <color indexed="81"/>
            <rFont val="Tahoma"/>
            <family val="2"/>
          </rPr>
          <t>assume included elsewhere</t>
        </r>
      </text>
    </comment>
    <comment ref="D12" authorId="0" shapeId="0" xr:uid="{91896308-ADC0-4E42-9FF9-71568F90BF15}">
      <text>
        <r>
          <rPr>
            <b/>
            <sz val="9"/>
            <color indexed="81"/>
            <rFont val="Tahoma"/>
            <family val="2"/>
          </rPr>
          <t>from 2017 suuplemental hydro module for recovery plan (2012-2016 avg)</t>
        </r>
      </text>
    </comment>
    <comment ref="D15" authorId="0" shapeId="0" xr:uid="{84ACBDF6-4438-456B-956F-510FA6C2E080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K15" authorId="0" shapeId="0" xr:uid="{53BC41D9-9F01-452E-BCFA-E977398A445E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O15" authorId="0" shapeId="0" xr:uid="{282B5BD4-E3D5-4BB6-848E-03234C0EF357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S15" authorId="0" shapeId="0" xr:uid="{AE054C08-2468-440F-8964-13773EDD4C83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W15" authorId="0" shapeId="0" xr:uid="{F2870F98-1A47-4B5C-AE25-0D352987B6C7}">
      <text>
        <r>
          <rPr>
            <b/>
            <sz val="9"/>
            <color indexed="81"/>
            <rFont val="Tahoma"/>
            <family val="2"/>
          </rPr>
          <t>Based on pinniped predation. Note that TAC CR mouth redturn and exploitation rates do not include a coversion for this</t>
        </r>
      </text>
    </comment>
    <comment ref="K16" authorId="0" shapeId="0" xr:uid="{7DDC9B47-7ACE-4E5D-96B9-3A74FC1634BB}">
      <text>
        <r>
          <rPr>
            <b/>
            <sz val="9"/>
            <color indexed="81"/>
            <rFont val="Tahoma"/>
            <family val="2"/>
          </rPr>
          <t>forced match</t>
        </r>
      </text>
    </comment>
    <comment ref="K28" authorId="0" shapeId="0" xr:uid="{7BFB1B21-4BAE-4461-86D2-35B4130ABC50}">
      <text>
        <r>
          <rPr>
            <b/>
            <sz val="9"/>
            <color indexed="81"/>
            <rFont val="Tahoma"/>
            <family val="2"/>
          </rPr>
          <t>conv rate scale to match 10-yr avg dam counts</t>
        </r>
      </text>
    </comment>
    <comment ref="D35" authorId="0" shapeId="0" xr:uid="{8ED3BD9E-1752-4A30-900C-22DB12A2DD6C}">
      <text>
        <r>
          <rPr>
            <b/>
            <sz val="9"/>
            <color indexed="81"/>
            <rFont val="Tahoma"/>
            <family val="2"/>
          </rPr>
          <t>solved to match actual</t>
        </r>
      </text>
    </comment>
    <comment ref="Q52" authorId="0" shapeId="0" xr:uid="{C7A2DA76-764A-4B79-A4B4-487DB9588E0B}">
      <text>
        <r>
          <rPr>
            <b/>
            <sz val="9"/>
            <color indexed="81"/>
            <rFont val="Tahoma"/>
            <family val="2"/>
          </rPr>
          <t>a/b avg less than b-run avg identified on summary page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Ray Beamesderfer</author>
  </authors>
  <commentList>
    <comment ref="H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Average/equilibrium abundance at high viability (e.g. minimum abundance threshold). Source: NMFS 2009 recovery plan</t>
        </r>
      </text>
    </comment>
    <comment ref="K5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Source: NMFS 2009 Recovery Plan</t>
        </r>
      </text>
    </comment>
    <comment ref="L5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Source: NMFS 2009 Recovery Plan</t>
        </r>
      </text>
    </comment>
    <comment ref="D6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2005-2015 geomean of natural origin spawners (2017 recovery plan)</t>
        </r>
      </text>
    </comment>
    <comment ref="M6" authorId="0" shapeId="0" xr:uid="{4541A536-E659-4EC8-8D70-807BA232E85A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single population goal (scenario B). MAT is 3,000</t>
        </r>
      </text>
    </comment>
    <comment ref="W6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broad sense goals identified in 2017 recovery plan - pg 117</t>
        </r>
      </text>
    </comment>
    <comment ref="X6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broad sense goals identified in 2017 recovery plan - pg 117</t>
        </r>
      </text>
    </comment>
    <comment ref="V10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interim goal identified in recovery plan for above Lower Monumental Dam</t>
        </r>
      </text>
    </comment>
    <comment ref="W10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long term goal identified in recovery plan for above lower Monumental Dam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Ray Beamesderfer</author>
  </authors>
  <commentList>
    <comment ref="C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Note these shares use PSC for ocean ER &amp; TAC for inriver. Inriver rates corrected back to ocean equiv. Not sure why TAC inriver estimates greater than PSC</t>
        </r>
      </text>
    </comment>
    <comment ref="BG59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note PSC &amp; TAC info does not match. I guess that's why the recovery plan made other calculations</t>
        </r>
      </text>
    </comment>
    <comment ref="AB85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Ray Beamesderfer:</t>
        </r>
        <r>
          <rPr>
            <sz val="8"/>
            <color indexed="81"/>
            <rFont val="Tahoma"/>
            <family val="2"/>
          </rPr>
          <t xml:space="preserve">
corrected inriver rates to match TAC (PSC appears to low according to recovery plan</t>
        </r>
      </text>
    </comment>
  </commentList>
</comments>
</file>

<file path=xl/sharedStrings.xml><?xml version="1.0" encoding="utf-8"?>
<sst xmlns="http://schemas.openxmlformats.org/spreadsheetml/2006/main" count="1666" uniqueCount="484">
  <si>
    <t xml:space="preserve">Quantitative sustainability reference values for (prototype) stock of Columbia R. Salmon and Steelhead. Sustainability includes conservation, viability, ESA recovery, and ecological/ecosystem function. </t>
  </si>
  <si>
    <t>Population</t>
  </si>
  <si>
    <t>Major Population Group</t>
  </si>
  <si>
    <t>Current</t>
  </si>
  <si>
    <t>Historical</t>
  </si>
  <si>
    <t>Abundance</t>
  </si>
  <si>
    <t>Metric</t>
  </si>
  <si>
    <t>Reference Values</t>
  </si>
  <si>
    <t>Capacity</t>
  </si>
  <si>
    <t>Potential</t>
  </si>
  <si>
    <t>Existing Goals</t>
  </si>
  <si>
    <t>Viable</t>
  </si>
  <si>
    <t>Tribal</t>
  </si>
  <si>
    <t>State</t>
  </si>
  <si>
    <t>Totals</t>
  </si>
  <si>
    <t>NPPC database</t>
  </si>
  <si>
    <t>Low</t>
  </si>
  <si>
    <t>Med</t>
  </si>
  <si>
    <t>High</t>
  </si>
  <si>
    <t>Delisting</t>
  </si>
  <si>
    <t>Numbers</t>
  </si>
  <si>
    <t>Zone 6 tribal</t>
  </si>
  <si>
    <t>Total</t>
  </si>
  <si>
    <t>--</t>
  </si>
  <si>
    <t>Production</t>
  </si>
  <si>
    <t>Return</t>
  </si>
  <si>
    <t>Broodstock</t>
  </si>
  <si>
    <t>Quantitative mitigation reference values (including hatcheries) for (prototype) stock of Columbia R. Salmon and Steelhead.</t>
  </si>
  <si>
    <t>Viability</t>
  </si>
  <si>
    <t>Year</t>
  </si>
  <si>
    <t>Hatchery</t>
  </si>
  <si>
    <t>Releases</t>
  </si>
  <si>
    <t>Location</t>
  </si>
  <si>
    <t>Program</t>
  </si>
  <si>
    <t>(US v OR)</t>
  </si>
  <si>
    <t>Rec Plan</t>
  </si>
  <si>
    <t>CPB  Options</t>
  </si>
  <si>
    <t>MPG</t>
  </si>
  <si>
    <t>Potential Goal Range</t>
  </si>
  <si>
    <t>Subbasin Plan</t>
  </si>
  <si>
    <t>Spnrs</t>
  </si>
  <si>
    <t>Col R</t>
  </si>
  <si>
    <t>(3 yr avg)</t>
  </si>
  <si>
    <t>(40 yr)</t>
  </si>
  <si>
    <t>For Plot</t>
  </si>
  <si>
    <t>Location (Program)</t>
  </si>
  <si>
    <t>Brood</t>
  </si>
  <si>
    <t>Natural Production</t>
  </si>
  <si>
    <t>SAR</t>
  </si>
  <si>
    <t>Adult rtn</t>
  </si>
  <si>
    <t>Harvest</t>
  </si>
  <si>
    <t>EDT</t>
  </si>
  <si>
    <t>Subasin Plan</t>
  </si>
  <si>
    <t>For plot</t>
  </si>
  <si>
    <t>Terminal</t>
  </si>
  <si>
    <t>Long term</t>
  </si>
  <si>
    <t>Avg</t>
  </si>
  <si>
    <t>Rtn goal</t>
  </si>
  <si>
    <t>Fisheries / Harvest</t>
  </si>
  <si>
    <t>Recent</t>
  </si>
  <si>
    <t>Grand Total</t>
  </si>
  <si>
    <t>ESA: Threatened</t>
  </si>
  <si>
    <t>Status</t>
  </si>
  <si>
    <t>From FPC database</t>
  </si>
  <si>
    <t>Subtotal</t>
  </si>
  <si>
    <t>@ Columbia R Mouth</t>
  </si>
  <si>
    <t>?</t>
  </si>
  <si>
    <t>Non-Indian</t>
  </si>
  <si>
    <t>Treaty</t>
  </si>
  <si>
    <t>10-yr avg</t>
  </si>
  <si>
    <t>LCR comm. &amp; sport</t>
  </si>
  <si>
    <t>Snake River Fall Chinook</t>
  </si>
  <si>
    <t>Life History: Fall run, Ocean-type rearing</t>
  </si>
  <si>
    <t>Snake</t>
  </si>
  <si>
    <t>Lower mainstem</t>
  </si>
  <si>
    <t>Upper mainstem</t>
  </si>
  <si>
    <t>Salmon Falls</t>
  </si>
  <si>
    <t>Natural spawners</t>
  </si>
  <si>
    <t>PSC TCChinook15</t>
  </si>
  <si>
    <t>Appdx C12</t>
  </si>
  <si>
    <t>Percent distribution of Hanford Wild Brights total fishing mortalities among fisheries and escapement.</t>
  </si>
  <si>
    <t>Catch</t>
  </si>
  <si>
    <t># of</t>
  </si>
  <si>
    <t>Ages</t>
  </si>
  <si>
    <t>SEAK</t>
  </si>
  <si>
    <t>NBC</t>
  </si>
  <si>
    <t>WCVI</t>
  </si>
  <si>
    <t>Geo St</t>
  </si>
  <si>
    <t>Cent.</t>
  </si>
  <si>
    <t>Canada</t>
  </si>
  <si>
    <t>N Falcon</t>
  </si>
  <si>
    <t>S Falcon</t>
  </si>
  <si>
    <t>Pgt Snd</t>
  </si>
  <si>
    <t>Esc.</t>
  </si>
  <si>
    <t>CWTs</t>
  </si>
  <si>
    <t>Present</t>
  </si>
  <si>
    <t>Troll</t>
  </si>
  <si>
    <t>Net</t>
  </si>
  <si>
    <t>Sport</t>
  </si>
  <si>
    <t>Strays</t>
  </si>
  <si>
    <t>term</t>
  </si>
  <si>
    <t>vs riv rtn</t>
  </si>
  <si>
    <t>-</t>
  </si>
  <si>
    <t>Failed</t>
  </si>
  <si>
    <t>Criteria</t>
  </si>
  <si>
    <t>2,3</t>
  </si>
  <si>
    <t>2,3,4</t>
  </si>
  <si>
    <t>2,3,4,5</t>
  </si>
  <si>
    <t>3,4,5</t>
  </si>
  <si>
    <t>Table 5.  Estimated Columbia River return of Snake River wild fall Chinook adults, 1986-2016.</t>
  </si>
  <si>
    <t>Columbia</t>
  </si>
  <si>
    <t>Bonneville</t>
  </si>
  <si>
    <t>Lower</t>
  </si>
  <si>
    <t>River</t>
  </si>
  <si>
    <t>Zone 1-5</t>
  </si>
  <si>
    <t>Dam</t>
  </si>
  <si>
    <t>Zone 6</t>
  </si>
  <si>
    <t>Above BON</t>
  </si>
  <si>
    <t>Granite</t>
  </si>
  <si>
    <t>Count</t>
  </si>
  <si>
    <r>
      <t xml:space="preserve">1.   </t>
    </r>
    <r>
      <rPr>
        <i/>
        <sz val="10"/>
        <color indexed="8"/>
        <rFont val="Times New Roman"/>
        <family val="1"/>
        <charset val="204"/>
      </rPr>
      <t>Includes release mortalities.</t>
    </r>
  </si>
  <si>
    <r>
      <t xml:space="preserve">2.   </t>
    </r>
    <r>
      <rPr>
        <i/>
        <sz val="10"/>
        <color indexed="8"/>
        <rFont val="Times New Roman"/>
        <family val="1"/>
        <charset val="204"/>
      </rPr>
      <t>Recent   year   harvest   data   for  non-treaty  recreational  fisheries   upstream  of  Bonneville  Dam   considered preliminary until catch record card data is finalized.</t>
    </r>
  </si>
  <si>
    <t>Hatchery spawners</t>
  </si>
  <si>
    <t>Total Spawners</t>
  </si>
  <si>
    <t>Snake R</t>
  </si>
  <si>
    <t>total</t>
  </si>
  <si>
    <t>wild</t>
  </si>
  <si>
    <t>total cnt</t>
  </si>
  <si>
    <t>ad &amp; jks</t>
  </si>
  <si>
    <t>CR - LGR</t>
  </si>
  <si>
    <t>conv</t>
  </si>
  <si>
    <t>incl harv</t>
  </si>
  <si>
    <t>ER</t>
  </si>
  <si>
    <t>v CR</t>
  </si>
  <si>
    <t>Note: 2014 biop says 98% conv Bv-LGr 2008-2012</t>
  </si>
  <si>
    <t>hydro mod for RP says 59% BV-LGr (including harvest) 2012-2016 avg.</t>
  </si>
  <si>
    <t>hydro mod for RP says 91% BV-LGr (corrected for harvest) 2012-2016 avg.</t>
  </si>
  <si>
    <t>&lt;BV</t>
  </si>
  <si>
    <t>check 1</t>
  </si>
  <si>
    <t>check 2</t>
  </si>
  <si>
    <t>conversion rates:</t>
  </si>
  <si>
    <t>use 60% (approx middle)</t>
  </si>
  <si>
    <t>Appendix C. 19–  Percent distribution of Lyons Ferry (Lyons Ferry Hatchery) total fishing mortalities among fisheries and escapement.</t>
  </si>
  <si>
    <t>Est</t>
  </si>
  <si>
    <t>AABM Fishery</t>
  </si>
  <si>
    <t>ISBM Fishery</t>
  </si>
  <si>
    <t>Terminal Fishery</t>
  </si>
  <si>
    <t>Escapement</t>
  </si>
  <si>
    <t>NBC &amp; CBC</t>
  </si>
  <si>
    <t>Southern BC</t>
  </si>
  <si>
    <t>WAC</t>
  </si>
  <si>
    <t>Puget Sd</t>
  </si>
  <si>
    <t>Southern US</t>
  </si>
  <si>
    <t>Stray</t>
  </si>
  <si>
    <t>CWT</t>
  </si>
  <si>
    <t>T</t>
  </si>
  <si>
    <t>N</t>
  </si>
  <si>
    <t>S</t>
  </si>
  <si>
    <t>NA</t>
  </si>
  <si>
    <t>Failed Criteria</t>
  </si>
  <si>
    <t>2,4</t>
  </si>
  <si>
    <t>2,3,5</t>
  </si>
  <si>
    <t>4,5</t>
  </si>
  <si>
    <t>3,4</t>
  </si>
  <si>
    <t>2,4,5</t>
  </si>
  <si>
    <t>79–84</t>
  </si>
  <si>
    <t>85–95</t>
  </si>
  <si>
    <t>96–98</t>
  </si>
  <si>
    <t>99–08</t>
  </si>
  <si>
    <t>09–15</t>
  </si>
  <si>
    <t>BC</t>
  </si>
  <si>
    <t>WA/OR</t>
  </si>
  <si>
    <t>Term net</t>
  </si>
  <si>
    <t>Term spt</t>
  </si>
  <si>
    <t>OR/WA ocean</t>
  </si>
  <si>
    <t>Canada ocean</t>
  </si>
  <si>
    <t>Alaska ocean</t>
  </si>
  <si>
    <t>NI &gt;BV</t>
  </si>
  <si>
    <t>Lyons yrlg</t>
  </si>
  <si>
    <t>Hnfd</t>
  </si>
  <si>
    <t>ER Totals</t>
  </si>
  <si>
    <t>Nez Perce Tribal Hatchery</t>
  </si>
  <si>
    <t>Lyons Ferry Hatchery</t>
  </si>
  <si>
    <t>ocean</t>
  </si>
  <si>
    <t>Lyons Ferry yearlings</t>
  </si>
  <si>
    <t>from recovery plan</t>
  </si>
  <si>
    <t>CR ER</t>
  </si>
  <si>
    <t>v. CR rtn</t>
  </si>
  <si>
    <t>from TAC</t>
  </si>
  <si>
    <t>corrected</t>
  </si>
  <si>
    <t>CR TAC</t>
  </si>
  <si>
    <t>v ocean recr</t>
  </si>
  <si>
    <t>from BA table 2b</t>
  </si>
  <si>
    <t>SRW ER v CR rtn</t>
  </si>
  <si>
    <t>Non-Ind</t>
  </si>
  <si>
    <t>Total NI</t>
  </si>
  <si>
    <t>Er ER</t>
  </si>
  <si>
    <t>V Cr v</t>
  </si>
  <si>
    <t>Other</t>
  </si>
  <si>
    <t>Sum of NumReleased</t>
  </si>
  <si>
    <t>Column Labels</t>
  </si>
  <si>
    <t>Row Labels</t>
  </si>
  <si>
    <t>Clearwater Hatchery</t>
  </si>
  <si>
    <t>Lapwai Creek</t>
  </si>
  <si>
    <t>Irrigon Hatchery Complex</t>
  </si>
  <si>
    <t>Grande Ronde River</t>
  </si>
  <si>
    <t>Hells Canyon Dam</t>
  </si>
  <si>
    <t>Big Canyon (Clearwater River)</t>
  </si>
  <si>
    <t>Couse Creek</t>
  </si>
  <si>
    <t>Cpt John Acclim Pond</t>
  </si>
  <si>
    <t>Pittsburg Landing Acclim Pond</t>
  </si>
  <si>
    <t>Tucannon River</t>
  </si>
  <si>
    <t>Cedar Flats Acclim.</t>
  </si>
  <si>
    <t>Clearwater River</t>
  </si>
  <si>
    <t>Lukes Gulch Acclim.</t>
  </si>
  <si>
    <t>North Lapwai Valley Hatchery</t>
  </si>
  <si>
    <t>Oxbow-Idaho</t>
  </si>
  <si>
    <t>Umatilla Hatchery</t>
  </si>
  <si>
    <t>Artificial Production</t>
  </si>
  <si>
    <t>Idaho Power Program</t>
  </si>
  <si>
    <t>Goal</t>
  </si>
  <si>
    <t>21.5-45%</t>
  </si>
  <si>
    <t>Observed HR (%)</t>
  </si>
  <si>
    <t>Allowed HR (%)</t>
  </si>
  <si>
    <t>Difference</t>
  </si>
  <si>
    <t>Average</t>
  </si>
  <si>
    <t>Table 4. Observed harvest rate on Snake River fall Chinook salmon compared to the maximum allowable harvest rate limit under the 2008-2017 U.S. v Oregon Management Agreement (Patiño 2014).</t>
  </si>
  <si>
    <t>09-15</t>
  </si>
  <si>
    <t>LFH subs</t>
  </si>
  <si>
    <t>CJA sub</t>
  </si>
  <si>
    <t>PLA sub</t>
  </si>
  <si>
    <t>BCA sub</t>
  </si>
  <si>
    <t>escapement</t>
  </si>
  <si>
    <t>red numbers were changed to reflect</t>
  </si>
  <si>
    <t>updated run reconstruction estimates</t>
  </si>
  <si>
    <t>Run recon to LGR</t>
  </si>
  <si>
    <t>LGR Window</t>
  </si>
  <si>
    <t>run recon and haul data; subtract haul fish from total abundance at LGR</t>
  </si>
  <si>
    <t xml:space="preserve">LaVoy Mendel run recon; </t>
  </si>
  <si>
    <t>NJS run recon</t>
  </si>
  <si>
    <t>new subtraction method run recon</t>
  </si>
  <si>
    <t>Hat jacks</t>
  </si>
  <si>
    <t>Nat Jacks</t>
  </si>
  <si>
    <t>pHOS adult</t>
  </si>
  <si>
    <t>pHOS all</t>
  </si>
  <si>
    <t>data source</t>
  </si>
  <si>
    <t>total NPTH vol</t>
  </si>
  <si>
    <t>unmrk/untagged</t>
  </si>
  <si>
    <t>known HAT</t>
  </si>
  <si>
    <t>rel back to river</t>
  </si>
  <si>
    <t>Hat adults, adjusted</t>
  </si>
  <si>
    <t>Hat jacks, adjusted</t>
  </si>
  <si>
    <t>Nat adults, adjusted</t>
  </si>
  <si>
    <t>Nat Jacks, adjusted</t>
  </si>
  <si>
    <t>Total adults, adjusted</t>
  </si>
  <si>
    <t>Total all, adjusted</t>
  </si>
  <si>
    <t>Escapement to LGR from Run reconstruction</t>
  </si>
  <si>
    <t>volunteers to NPTH w/rel back to river</t>
  </si>
  <si>
    <t>Alternative way to calculate escapement/spawners above LGR</t>
  </si>
  <si>
    <t>not sure where the harvest rates above LGR came from</t>
  </si>
  <si>
    <t>run reconstruction escapement to LGR was adjusted for fallback/reascension and night passage from 2003 - 2016</t>
  </si>
  <si>
    <t>DA - data not available</t>
  </si>
  <si>
    <t>DA</t>
  </si>
  <si>
    <t>Escapement/spawners above LGR</t>
  </si>
  <si>
    <t>Abv LGR harvest estimates, IDFG and NPTH</t>
  </si>
  <si>
    <t>NPT Hatchery Adults</t>
  </si>
  <si>
    <t>NPT Natural Adults</t>
  </si>
  <si>
    <t>NPT Jacks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</si>
  <si>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States, Adult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</si>
  <si>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States, Jacks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</si>
  <si>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Combined Idaho, Oregon, Washington</t>
    </r>
  </si>
  <si>
    <t>Escapement above LGR following Brood removals and accounting for fallback</t>
  </si>
  <si>
    <t>provided by B. Young on 2/13/18</t>
  </si>
  <si>
    <t>Exploitation rate</t>
  </si>
  <si>
    <t>Ocean (WA/OR)</t>
  </si>
  <si>
    <t>Col sport</t>
  </si>
  <si>
    <t>Col commercial</t>
  </si>
  <si>
    <t>Col treaty</t>
  </si>
  <si>
    <t>Blocked area</t>
  </si>
  <si>
    <t>Ocean (AK/Can)</t>
  </si>
  <si>
    <t>@ Goals</t>
  </si>
  <si>
    <t>% hatchery</t>
  </si>
  <si>
    <t>Current Production</t>
  </si>
  <si>
    <t>production</t>
  </si>
  <si>
    <t xml:space="preserve"> </t>
  </si>
  <si>
    <t>v ocn abund</t>
  </si>
  <si>
    <t>(US v OR fisheries)</t>
  </si>
  <si>
    <t>ocn</t>
  </si>
  <si>
    <t>inriver</t>
  </si>
  <si>
    <t>Spawning escapement</t>
  </si>
  <si>
    <t>goal</t>
  </si>
  <si>
    <t>10 yr avg</t>
  </si>
  <si>
    <t>High goal</t>
  </si>
  <si>
    <t>Harvest (Col basin)</t>
  </si>
  <si>
    <t>Low goal</t>
  </si>
  <si>
    <t>Med goal</t>
  </si>
  <si>
    <t>Lower Snake R</t>
  </si>
  <si>
    <t>Middle Snake R</t>
  </si>
  <si>
    <t>Anticipated</t>
  </si>
  <si>
    <t>Subject</t>
  </si>
  <si>
    <t>Variable</t>
  </si>
  <si>
    <t>Value</t>
  </si>
  <si>
    <t>Method</t>
  </si>
  <si>
    <t>Years</t>
  </si>
  <si>
    <t>Quantitative Goal Rules</t>
  </si>
  <si>
    <t>Reference</t>
  </si>
  <si>
    <t>Reference Link</t>
  </si>
  <si>
    <t>Notes</t>
  </si>
  <si>
    <t>Stock</t>
  </si>
  <si>
    <t>Record type</t>
  </si>
  <si>
    <t>changed to geomean</t>
  </si>
  <si>
    <t>run reconstruction</t>
  </si>
  <si>
    <t>2008-2017</t>
  </si>
  <si>
    <t>not applicable</t>
  </si>
  <si>
    <t>B Young, Nez Perce Tribe, pers comm</t>
  </si>
  <si>
    <t xml:space="preserve">NMFS (National Marine Fisheries Service). 2017a. ESA Recovery Plan for Snake River Fall Chinook Salmon (Oncorhynchus tshawytscha). West Coast Region. Portland, Oregon. </t>
  </si>
  <si>
    <t>http://www.westcoast.fisheries.noaa.gov/publications/recovery_planning/salmon_steelhead/domains/interior_columbia/snake/Final%20Snake%20Recovery%20Plan%20Docs/final_snake_river_fall_chinook_salmon_recovery_plan.pdf</t>
  </si>
  <si>
    <t>Based on LGR dam count accounting for run composition and brood removal less upstream harvest</t>
  </si>
  <si>
    <t>Historically extirpated population</t>
  </si>
  <si>
    <t>blocked area</t>
  </si>
  <si>
    <t>NMFS subsequent to listing reduced # of populations from 3 to 2</t>
  </si>
  <si>
    <t>Expert judgement</t>
  </si>
  <si>
    <t>http://www.nptfisheries.org/DesktopModules/Bring2mind/DMX/Download.aspx?PortalId=0&amp;TabId=114&amp;EntryId=129</t>
  </si>
  <si>
    <t>Historical (1800s)</t>
  </si>
  <si>
    <t>Single population objective</t>
  </si>
  <si>
    <t>Delisting abundance goal</t>
  </si>
  <si>
    <t>Low range - 1</t>
  </si>
  <si>
    <t>Mid-way between low- and high-range goals</t>
  </si>
  <si>
    <t>Medium range - 2</t>
  </si>
  <si>
    <t>1800s</t>
  </si>
  <si>
    <t>Present condition</t>
  </si>
  <si>
    <t>No Chinook Salmon goals identified for Snake R blocked area by Idaho CBP partners</t>
  </si>
  <si>
    <t>historical revised from approx to midpoint of Recovery Plan values</t>
  </si>
  <si>
    <t>Broad sense goal identified in Recovery Plan pg 117 (includes adults &amp; jacks)</t>
  </si>
  <si>
    <t>WDFW &amp; NPT goal</t>
  </si>
  <si>
    <t>Units</t>
  </si>
  <si>
    <t>geomean</t>
  </si>
  <si>
    <t>For current net conversion incl harvest</t>
  </si>
  <si>
    <t>High range - 1</t>
  </si>
  <si>
    <t>natural origin spawners adults</t>
  </si>
  <si>
    <t>backwards</t>
  </si>
  <si>
    <t>forwards</t>
  </si>
  <si>
    <t>current</t>
  </si>
  <si>
    <t>Medium</t>
  </si>
  <si>
    <t>actual</t>
  </si>
  <si>
    <t>mort</t>
  </si>
  <si>
    <t>surv</t>
  </si>
  <si>
    <t>cummul</t>
  </si>
  <si>
    <t>#</t>
  </si>
  <si>
    <t>diff</t>
  </si>
  <si>
    <t>terminal run</t>
  </si>
  <si>
    <t>Natl loss from LGr to terminal area</t>
  </si>
  <si>
    <t>Harvest from LGR to terminal area</t>
  </si>
  <si>
    <t>@ LGR</t>
  </si>
  <si>
    <t>Natl loss from MCN to LGR</t>
  </si>
  <si>
    <t>Harvest from MCN to LGR</t>
  </si>
  <si>
    <t>Natl loss from BON to MCN</t>
  </si>
  <si>
    <t>Harvest from BON to MCN</t>
  </si>
  <si>
    <t>@ BON</t>
  </si>
  <si>
    <t>Natl loss from mouth to BON</t>
  </si>
  <si>
    <t>Harvest from mouth to BON</t>
  </si>
  <si>
    <t>CR Run</t>
  </si>
  <si>
    <t>ER v mouth</t>
  </si>
  <si>
    <t>Conversion loss</t>
  </si>
  <si>
    <t>%</t>
  </si>
  <si>
    <t>ER goal</t>
  </si>
  <si>
    <t>hatchery</t>
  </si>
  <si>
    <t>Subjective assumptions for how much hatchery harvest rates might increase relative to wild rates</t>
  </si>
  <si>
    <t>@ Lower Granite Dam</t>
  </si>
  <si>
    <t>@ Bonneville Dam</t>
  </si>
  <si>
    <t>Recent avg</t>
  </si>
  <si>
    <t>(2008-2017)</t>
  </si>
  <si>
    <t>ER v LGR</t>
  </si>
  <si>
    <t>adults</t>
  </si>
  <si>
    <t>In 1930, the annual Snake River fall chinook run was around half a million fish annually. http://www.critfc.org/fish-and-watersheds/fish-and-habitat-restoration/restoration-successes/snake-river-fall-chinook/</t>
  </si>
  <si>
    <t xml:space="preserve">Recovery plan reports 408,500 to 536,180 in late 1800s to the Snake River. </t>
  </si>
  <si>
    <t>Abundance (mean)</t>
  </si>
  <si>
    <t>misc scalar</t>
  </si>
  <si>
    <t>hatchery goals are defined for Lmo (but applied to L Granite)</t>
  </si>
  <si>
    <t>here the escapement goals are avgs (vs equivalent geomeans in natural production table</t>
  </si>
  <si>
    <t>Total Return (averages)</t>
  </si>
  <si>
    <t>30-80%</t>
  </si>
  <si>
    <t>added terminal harvest estimates from NPT</t>
  </si>
  <si>
    <t>Natural &amp; Hatchery</t>
  </si>
  <si>
    <t>Natural</t>
  </si>
  <si>
    <t>mitigation goal in figure is total for Snake - LGR portion is 24,750</t>
  </si>
  <si>
    <t>@ MCN</t>
  </si>
  <si>
    <t>ocn harv total</t>
  </si>
  <si>
    <t>ocn abundance</t>
  </si>
  <si>
    <t>ocn ER total</t>
  </si>
  <si>
    <t>combined</t>
  </si>
  <si>
    <t>v BON</t>
  </si>
  <si>
    <t>Hat</t>
  </si>
  <si>
    <t>Nat</t>
  </si>
  <si>
    <r>
      <t xml:space="preserve">Run Size </t>
    </r>
    <r>
      <rPr>
        <b/>
        <i/>
        <sz val="7"/>
        <color indexed="8"/>
        <rFont val="Times New Roman"/>
        <family val="1"/>
        <charset val="204"/>
      </rPr>
      <t>1</t>
    </r>
  </si>
  <si>
    <t>Assume same hatchery wild ratio as measured at LGR</t>
  </si>
  <si>
    <t>pHOS</t>
  </si>
  <si>
    <t>IHR</t>
  </si>
  <si>
    <t>jacks</t>
  </si>
  <si>
    <t>Avg (v ocn)</t>
  </si>
  <si>
    <t>Avg (v CR)</t>
  </si>
  <si>
    <t>may not fully account for Lyons Ferry rtn</t>
  </si>
  <si>
    <t>Harvest (total)</t>
  </si>
  <si>
    <t>Harvest in ocean</t>
  </si>
  <si>
    <t>Ocn abundance</t>
  </si>
  <si>
    <t>Total harvest CR</t>
  </si>
  <si>
    <t>Total harvest (incl ocean)</t>
  </si>
  <si>
    <t>ER v ocean</t>
  </si>
  <si>
    <t>combined ocean + fw = 55%, assume 19.5% in ocean</t>
  </si>
  <si>
    <t>releases</t>
  </si>
  <si>
    <t>million</t>
  </si>
  <si>
    <t>SpeciesCode</t>
  </si>
  <si>
    <t>CH</t>
  </si>
  <si>
    <t>RaceCode</t>
  </si>
  <si>
    <t>FA</t>
  </si>
  <si>
    <t>Hammer Creek</t>
  </si>
  <si>
    <t>had</t>
  </si>
  <si>
    <r>
      <t xml:space="preserve">Lyons Ferry, Irrigon, Fall Chinook Acclimation </t>
    </r>
    <r>
      <rPr>
        <b/>
        <i/>
        <sz val="10"/>
        <color rgb="FF000000"/>
        <rFont val="Calibri"/>
        <family val="2"/>
      </rPr>
      <t>Hatchery Production</t>
    </r>
  </si>
  <si>
    <t>Priority</t>
  </si>
  <si>
    <r>
      <t xml:space="preserve">Production Program 2008-2017 </t>
    </r>
    <r>
      <rPr>
        <b/>
        <i/>
        <sz val="8"/>
        <color theme="1"/>
        <rFont val="Calibri"/>
        <family val="2"/>
      </rPr>
      <t>US vs Oregon</t>
    </r>
    <r>
      <rPr>
        <b/>
        <sz val="8"/>
        <color theme="1"/>
        <rFont val="Calibri"/>
        <family val="2"/>
      </rPr>
      <t xml:space="preserve"> Management Agreement</t>
    </r>
  </si>
  <si>
    <r>
      <t xml:space="preserve">Production Program 2018-2027 </t>
    </r>
    <r>
      <rPr>
        <b/>
        <i/>
        <sz val="8"/>
        <color theme="1"/>
        <rFont val="Calibri"/>
        <family val="2"/>
      </rPr>
      <t>US vs Oregon</t>
    </r>
    <r>
      <rPr>
        <b/>
        <sz val="8"/>
        <color theme="1"/>
        <rFont val="Calibri"/>
        <family val="2"/>
      </rPr>
      <t xml:space="preserve"> Management Agreement</t>
    </r>
  </si>
  <si>
    <t>Rearing Facility</t>
  </si>
  <si>
    <t>Release Number</t>
  </si>
  <si>
    <t>Age</t>
  </si>
  <si>
    <t>Release Location</t>
  </si>
  <si>
    <t xml:space="preserve">Marking </t>
  </si>
  <si>
    <r>
      <t>Marking</t>
    </r>
    <r>
      <rPr>
        <vertAlign val="superscript"/>
        <sz val="10"/>
        <color theme="1"/>
        <rFont val="Calibri"/>
        <family val="2"/>
      </rPr>
      <t xml:space="preserve"> 2</t>
    </r>
  </si>
  <si>
    <t>Lyons Ferry</t>
  </si>
  <si>
    <t>1+</t>
  </si>
  <si>
    <t>On Station</t>
  </si>
  <si>
    <t>225K AdCWT</t>
  </si>
  <si>
    <t>225K CWT</t>
  </si>
  <si>
    <t xml:space="preserve">450K AdCWT </t>
  </si>
  <si>
    <t>Pittsburg Landing</t>
  </si>
  <si>
    <t>70K AdCWT</t>
  </si>
  <si>
    <t>80K CWT only</t>
  </si>
  <si>
    <t>0+</t>
  </si>
  <si>
    <t>Captain John Rapids</t>
  </si>
  <si>
    <t>200K AdCWT</t>
  </si>
  <si>
    <t xml:space="preserve">250K no clip </t>
  </si>
  <si>
    <t xml:space="preserve">Big Canyon </t>
  </si>
  <si>
    <t>Big Canyon</t>
  </si>
  <si>
    <t xml:space="preserve">300K no clip </t>
  </si>
  <si>
    <t xml:space="preserve">200K no clip </t>
  </si>
  <si>
    <t>100K AdCWT</t>
  </si>
  <si>
    <t>100K CWT only</t>
  </si>
  <si>
    <t>300K Unmarked</t>
  </si>
  <si>
    <t>Captain John Rapids 2</t>
  </si>
  <si>
    <t xml:space="preserve">200K AdCWT </t>
  </si>
  <si>
    <t>Big Canyon 2</t>
  </si>
  <si>
    <t>Pittsburg Landing 2</t>
  </si>
  <si>
    <t>Irrigon</t>
  </si>
  <si>
    <t>Salmon River</t>
  </si>
  <si>
    <t xml:space="preserve">800K no clip </t>
  </si>
  <si>
    <t>200K Unmarked</t>
  </si>
  <si>
    <t>Grande Ronde</t>
  </si>
  <si>
    <t xml:space="preserve">Captain John Rapids </t>
  </si>
  <si>
    <r>
      <t xml:space="preserve"> </t>
    </r>
    <r>
      <rPr>
        <sz val="8"/>
        <color theme="1"/>
        <rFont val="Calibri"/>
        <family val="2"/>
      </rPr>
      <t>Irrigon</t>
    </r>
  </si>
  <si>
    <t xml:space="preserve">Grande Ronde </t>
  </si>
  <si>
    <t>200K Ad Only</t>
  </si>
  <si>
    <t>600K Ad only</t>
  </si>
  <si>
    <t>Clipped</t>
  </si>
  <si>
    <t>Unclipped</t>
  </si>
  <si>
    <t>Nez Perce Tribal Hatchery Production</t>
  </si>
  <si>
    <t>NPTH</t>
  </si>
  <si>
    <t>On station</t>
  </si>
  <si>
    <t>200K CWT Only</t>
  </si>
  <si>
    <t xml:space="preserve">400K no clip </t>
  </si>
  <si>
    <t>Luke’s Gulch</t>
  </si>
  <si>
    <t>100K CWT Only</t>
  </si>
  <si>
    <t xml:space="preserve">250K no clip  </t>
  </si>
  <si>
    <t>Cedar Flats</t>
  </si>
  <si>
    <t>North Lapwai Valley</t>
  </si>
  <si>
    <t>100K no clip</t>
  </si>
  <si>
    <r>
      <t>1</t>
    </r>
    <r>
      <rPr>
        <sz val="9"/>
        <color theme="1"/>
        <rFont val="Times New Roman"/>
        <family val="1"/>
      </rPr>
      <t xml:space="preserve">  The parties agree during the term of the next agreement to re-evaluate and discuss the reduction and/or elimination of the yearling program at LFH</t>
    </r>
  </si>
  <si>
    <r>
      <t>2</t>
    </r>
    <r>
      <rPr>
        <sz val="9"/>
        <color theme="1"/>
        <rFont val="Times New Roman"/>
        <family val="1"/>
      </rPr>
      <t xml:space="preserve">  In addition to the standard marking/tagging shown, all release sites and times will be PIT Tagged and PBT marked/tagged.</t>
    </r>
  </si>
  <si>
    <r>
      <t>3</t>
    </r>
    <r>
      <rPr>
        <sz val="9"/>
        <color theme="1"/>
        <rFont val="Times New Roman"/>
        <family val="1"/>
      </rPr>
      <t xml:space="preserve">  If available, these will be included with Priority #4, and do not require an additional AdCWT group or PIT Tags.</t>
    </r>
  </si>
  <si>
    <r>
      <t>4</t>
    </r>
    <r>
      <rPr>
        <sz val="9"/>
        <color theme="1"/>
        <rFont val="Times New Roman"/>
        <family val="1"/>
      </rPr>
      <t xml:space="preserve"> Anticipated release numbers based on facility capacity.  Actual release numbers may be less depending on environmental conditions.  Fish not released at these sites will be released on station at NPTH.</t>
    </r>
  </si>
  <si>
    <r>
      <t>5</t>
    </r>
    <r>
      <rPr>
        <sz val="9"/>
        <color theme="1"/>
        <rFont val="Times New Roman"/>
        <family val="1"/>
      </rPr>
      <t xml:space="preserve"> If environmental conditions preclude acclimation at North Lapwai Valley these fish will be released on station at NPTH</t>
    </r>
  </si>
  <si>
    <t>Lyons</t>
  </si>
  <si>
    <t>middle snake med and high range goals supplied by Oregon</t>
  </si>
  <si>
    <t>Age 0</t>
  </si>
  <si>
    <t>Age 1</t>
  </si>
  <si>
    <t>PSC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</si>
</sst>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"/>
    <numFmt numFmtId="166" formatCode="0.000"/>
    <numFmt numFmtId="167" formatCode="#,##0.0"/>
  </numFmts>
  <fonts count="5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  <font>
      <sz val="10"/>
      <name val="Times New Roman"/>
      <family val="1"/>
      <charset val="204"/>
    </font>
    <font>
      <sz val="10"/>
      <color indexed="8"/>
      <name val="Arial"/>
      <family val="2"/>
    </font>
    <font>
      <sz val="10"/>
      <color indexed="8"/>
      <name val="Times New Roman"/>
      <family val="2"/>
    </font>
    <font>
      <i/>
      <sz val="7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sz val="12"/>
      <color indexed="8"/>
      <name val="Times New Roman"/>
      <family val="2"/>
    </font>
    <font>
      <b/>
      <i/>
      <sz val="7"/>
      <color indexed="8"/>
      <name val="Times New Roman"/>
      <family val="1"/>
      <charset val="204"/>
    </font>
    <font>
      <sz val="7"/>
      <color indexed="8"/>
      <name val="Calibri"/>
      <family val="2"/>
    </font>
    <font>
      <i/>
      <sz val="11"/>
      <color indexed="8"/>
      <name val="Calibri"/>
      <family val="2"/>
      <scheme val="minor"/>
    </font>
    <font>
      <sz val="1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Arial"/>
      <family val="2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vertAlign val="superscript"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0"/>
      <color rgb="FFFF0000"/>
      <name val="Times New Roman"/>
      <family val="1"/>
      <charset val="204"/>
    </font>
    <font>
      <b/>
      <i/>
      <sz val="10"/>
      <color theme="1"/>
      <name val="Calibri"/>
      <family val="2"/>
    </font>
    <font>
      <b/>
      <i/>
      <sz val="10"/>
      <color rgb="FF000000"/>
      <name val="Calibri"/>
      <family val="2"/>
    </font>
    <font>
      <b/>
      <sz val="8"/>
      <color theme="1"/>
      <name val="Calibri"/>
      <family val="2"/>
    </font>
    <font>
      <b/>
      <i/>
      <sz val="8"/>
      <color theme="1"/>
      <name val="Calibri"/>
      <family val="2"/>
    </font>
    <font>
      <vertAlign val="superscript"/>
      <sz val="10"/>
      <color theme="1"/>
      <name val="Calibri"/>
      <family val="2"/>
    </font>
    <font>
      <sz val="8"/>
      <color theme="1"/>
      <name val="Calibri"/>
      <family val="2"/>
    </font>
    <font>
      <vertAlign val="superscript"/>
      <sz val="8"/>
      <color theme="1"/>
      <name val="Calibri"/>
      <family val="2"/>
    </font>
    <font>
      <vertAlign val="superscript"/>
      <sz val="9"/>
      <color theme="1"/>
      <name val="Times New Roman"/>
      <family val="1"/>
    </font>
    <font>
      <sz val="9"/>
      <color theme="1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EBEB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68800"/>
        <bgColor indexed="64"/>
      </patternFill>
    </fill>
    <fill>
      <patternFill patternType="solid">
        <fgColor rgb="FFDAB000"/>
        <bgColor indexed="64"/>
      </patternFill>
    </fill>
    <fill>
      <patternFill patternType="solid">
        <fgColor rgb="FFFFF2BD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9CC2E5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14" fillId="0" borderId="0"/>
    <xf numFmtId="0" fontId="46" fillId="0" borderId="0" applyNumberFormat="0" applyFill="0" applyBorder="0" applyAlignment="0" applyProtection="0"/>
  </cellStyleXfs>
  <cellXfs count="586">
    <xf numFmtId="0" fontId="0" fillId="0" borderId="0" xfId="0"/>
    <xf numFmtId="0" fontId="1" fillId="2" borderId="0" xfId="0" applyFont="1" applyFill="1"/>
    <xf numFmtId="0" fontId="0" fillId="2" borderId="0" xfId="0" applyFill="1"/>
    <xf numFmtId="0" fontId="5" fillId="2" borderId="0" xfId="0" applyFont="1" applyFill="1"/>
    <xf numFmtId="0" fontId="2" fillId="4" borderId="1" xfId="0" applyFont="1" applyFill="1" applyBorder="1"/>
    <xf numFmtId="0" fontId="2" fillId="4" borderId="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3" fontId="0" fillId="2" borderId="0" xfId="0" applyNumberFormat="1" applyFill="1"/>
    <xf numFmtId="3" fontId="2" fillId="4" borderId="2" xfId="0" applyNumberFormat="1" applyFont="1" applyFill="1" applyBorder="1" applyAlignment="1">
      <alignment horizontal="center"/>
    </xf>
    <xf numFmtId="3" fontId="0" fillId="0" borderId="0" xfId="0" applyNumberFormat="1"/>
    <xf numFmtId="0" fontId="4" fillId="5" borderId="0" xfId="0" applyFont="1" applyFill="1" applyAlignment="1">
      <alignment horizontal="centerContinuous"/>
    </xf>
    <xf numFmtId="0" fontId="2" fillId="5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2" fillId="5" borderId="0" xfId="0" applyFont="1" applyFill="1"/>
    <xf numFmtId="0" fontId="2" fillId="5" borderId="0" xfId="0" applyFont="1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6" xfId="0" applyFont="1" applyFill="1" applyBorder="1"/>
    <xf numFmtId="0" fontId="9" fillId="6" borderId="0" xfId="0" applyFont="1" applyFill="1"/>
    <xf numFmtId="3" fontId="9" fillId="6" borderId="0" xfId="0" applyNumberFormat="1" applyFont="1" applyFill="1"/>
    <xf numFmtId="0" fontId="8" fillId="0" borderId="0" xfId="0" applyFont="1" applyAlignment="1">
      <alignment horizontal="center"/>
    </xf>
    <xf numFmtId="3" fontId="1" fillId="2" borderId="0" xfId="0" applyNumberFormat="1" applyFont="1" applyFill="1"/>
    <xf numFmtId="3" fontId="2" fillId="4" borderId="2" xfId="0" applyNumberFormat="1" applyFont="1" applyFill="1" applyBorder="1"/>
    <xf numFmtId="0" fontId="6" fillId="0" borderId="0" xfId="0" applyFont="1"/>
    <xf numFmtId="3" fontId="4" fillId="5" borderId="0" xfId="0" applyNumberFormat="1" applyFont="1" applyFill="1" applyAlignment="1">
      <alignment horizontal="centerContinuous"/>
    </xf>
    <xf numFmtId="3" fontId="2" fillId="5" borderId="0" xfId="0" applyNumberFormat="1" applyFont="1" applyFill="1" applyAlignment="1">
      <alignment horizontal="center" vertical="center" wrapText="1"/>
    </xf>
    <xf numFmtId="0" fontId="1" fillId="0" borderId="0" xfId="0" applyFont="1"/>
    <xf numFmtId="0" fontId="9" fillId="0" borderId="0" xfId="0" applyFont="1"/>
    <xf numFmtId="0" fontId="2" fillId="4" borderId="0" xfId="0" applyFont="1" applyFill="1"/>
    <xf numFmtId="3" fontId="4" fillId="4" borderId="7" xfId="0" applyNumberFormat="1" applyFont="1" applyFill="1" applyBorder="1" applyAlignment="1">
      <alignment horizontal="centerContinuous"/>
    </xf>
    <xf numFmtId="0" fontId="4" fillId="4" borderId="0" xfId="0" applyFont="1" applyFill="1" applyAlignment="1">
      <alignment horizontal="centerContinuous"/>
    </xf>
    <xf numFmtId="0" fontId="2" fillId="4" borderId="0" xfId="0" applyFont="1" applyFill="1" applyAlignment="1">
      <alignment horizontal="centerContinuous"/>
    </xf>
    <xf numFmtId="0" fontId="2" fillId="4" borderId="8" xfId="0" applyFont="1" applyFill="1" applyBorder="1" applyAlignment="1">
      <alignment horizontal="centerContinuous"/>
    </xf>
    <xf numFmtId="0" fontId="4" fillId="4" borderId="7" xfId="0" applyFont="1" applyFill="1" applyBorder="1" applyAlignment="1">
      <alignment horizontal="centerContinuous"/>
    </xf>
    <xf numFmtId="0" fontId="4" fillId="4" borderId="7" xfId="0" applyFont="1" applyFill="1" applyBorder="1"/>
    <xf numFmtId="0" fontId="0" fillId="8" borderId="0" xfId="0" applyFill="1"/>
    <xf numFmtId="165" fontId="0" fillId="0" borderId="0" xfId="0" applyNumberForma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4" fillId="0" borderId="0" xfId="0" applyFont="1"/>
    <xf numFmtId="0" fontId="6" fillId="0" borderId="1" xfId="0" applyFont="1" applyBorder="1"/>
    <xf numFmtId="0" fontId="11" fillId="0" borderId="0" xfId="0" quotePrefix="1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3" fontId="4" fillId="4" borderId="0" xfId="0" applyNumberFormat="1" applyFont="1" applyFill="1" applyAlignment="1">
      <alignment horizontal="centerContinuous"/>
    </xf>
    <xf numFmtId="0" fontId="0" fillId="0" borderId="0" xfId="0" applyAlignment="1">
      <alignment horizontal="left" vertical="center" wrapText="1"/>
    </xf>
    <xf numFmtId="3" fontId="2" fillId="4" borderId="1" xfId="0" applyNumberFormat="1" applyFont="1" applyFill="1" applyBorder="1" applyAlignment="1">
      <alignment horizontal="center"/>
    </xf>
    <xf numFmtId="0" fontId="8" fillId="0" borderId="0" xfId="0" applyFont="1"/>
    <xf numFmtId="0" fontId="0" fillId="0" borderId="0" xfId="0" quotePrefix="1" applyAlignment="1">
      <alignment horizontal="center"/>
    </xf>
    <xf numFmtId="3" fontId="6" fillId="0" borderId="0" xfId="0" applyNumberFormat="1" applyFont="1"/>
    <xf numFmtId="0" fontId="6" fillId="0" borderId="0" xfId="0" applyFont="1" applyAlignment="1">
      <alignment horizontal="center"/>
    </xf>
    <xf numFmtId="9" fontId="6" fillId="0" borderId="0" xfId="1" applyFont="1"/>
    <xf numFmtId="0" fontId="13" fillId="8" borderId="0" xfId="0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12" fillId="8" borderId="0" xfId="0" applyFont="1" applyFill="1" applyAlignment="1">
      <alignment vertical="center"/>
    </xf>
    <xf numFmtId="0" fontId="8" fillId="8" borderId="0" xfId="0" applyFont="1" applyFill="1"/>
    <xf numFmtId="0" fontId="0" fillId="0" borderId="1" xfId="0" applyBorder="1"/>
    <xf numFmtId="0" fontId="0" fillId="0" borderId="7" xfId="0" applyBorder="1"/>
    <xf numFmtId="0" fontId="11" fillId="8" borderId="0" xfId="0" applyFont="1" applyFill="1"/>
    <xf numFmtId="0" fontId="14" fillId="0" borderId="0" xfId="2"/>
    <xf numFmtId="0" fontId="11" fillId="0" borderId="4" xfId="0" applyFont="1" applyBorder="1"/>
    <xf numFmtId="0" fontId="0" fillId="4" borderId="0" xfId="0" applyFill="1"/>
    <xf numFmtId="0" fontId="2" fillId="11" borderId="12" xfId="0" applyFont="1" applyFill="1" applyBorder="1"/>
    <xf numFmtId="0" fontId="2" fillId="11" borderId="13" xfId="0" applyFont="1" applyFill="1" applyBorder="1"/>
    <xf numFmtId="0" fontId="2" fillId="10" borderId="2" xfId="0" applyFont="1" applyFill="1" applyBorder="1"/>
    <xf numFmtId="0" fontId="2" fillId="10" borderId="1" xfId="0" applyFont="1" applyFill="1" applyBorder="1"/>
    <xf numFmtId="0" fontId="2" fillId="10" borderId="1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0" fillId="0" borderId="2" xfId="0" applyBorder="1"/>
    <xf numFmtId="3" fontId="0" fillId="0" borderId="7" xfId="0" applyNumberFormat="1" applyBorder="1" applyAlignment="1">
      <alignment horizontal="right"/>
    </xf>
    <xf numFmtId="0" fontId="11" fillId="0" borderId="0" xfId="0" applyFont="1"/>
    <xf numFmtId="3" fontId="10" fillId="0" borderId="0" xfId="0" applyNumberFormat="1" applyFont="1" applyAlignment="1">
      <alignment horizontal="right"/>
    </xf>
    <xf numFmtId="0" fontId="24" fillId="12" borderId="25" xfId="0" applyFont="1" applyFill="1" applyBorder="1" applyAlignment="1">
      <alignment horizontal="center" vertical="top" wrapText="1"/>
    </xf>
    <xf numFmtId="0" fontId="24" fillId="12" borderId="26" xfId="0" applyFont="1" applyFill="1" applyBorder="1" applyAlignment="1">
      <alignment horizontal="left" vertical="top" wrapText="1" indent="1"/>
    </xf>
    <xf numFmtId="0" fontId="24" fillId="12" borderId="26" xfId="0" applyFont="1" applyFill="1" applyBorder="1" applyAlignment="1">
      <alignment horizontal="left" vertical="top" wrapText="1"/>
    </xf>
    <xf numFmtId="0" fontId="11" fillId="12" borderId="20" xfId="0" applyFont="1" applyFill="1" applyBorder="1" applyAlignment="1">
      <alignment horizontal="left" vertical="top" wrapText="1"/>
    </xf>
    <xf numFmtId="0" fontId="24" fillId="12" borderId="19" xfId="0" applyFont="1" applyFill="1" applyBorder="1" applyAlignment="1">
      <alignment horizontal="left" vertical="top" wrapText="1" indent="1"/>
    </xf>
    <xf numFmtId="0" fontId="11" fillId="12" borderId="23" xfId="0" applyFont="1" applyFill="1" applyBorder="1" applyAlignment="1">
      <alignment horizontal="left" vertical="top" wrapText="1"/>
    </xf>
    <xf numFmtId="0" fontId="24" fillId="12" borderId="20" xfId="0" applyFont="1" applyFill="1" applyBorder="1" applyAlignment="1">
      <alignment horizontal="right" vertical="top" wrapText="1"/>
    </xf>
    <xf numFmtId="0" fontId="24" fillId="12" borderId="19" xfId="0" applyFont="1" applyFill="1" applyBorder="1" applyAlignment="1">
      <alignment horizontal="right" vertical="top" wrapText="1"/>
    </xf>
    <xf numFmtId="0" fontId="24" fillId="12" borderId="23" xfId="0" applyFont="1" applyFill="1" applyBorder="1" applyAlignment="1">
      <alignment horizontal="right" vertical="top" wrapText="1" indent="1"/>
    </xf>
    <xf numFmtId="0" fontId="24" fillId="12" borderId="0" xfId="0" applyFont="1" applyFill="1" applyAlignment="1">
      <alignment horizontal="left" wrapText="1" indent="1"/>
    </xf>
    <xf numFmtId="0" fontId="24" fillId="12" borderId="24" xfId="0" applyFont="1" applyFill="1" applyBorder="1" applyAlignment="1">
      <alignment horizontal="center" vertical="top" wrapText="1"/>
    </xf>
    <xf numFmtId="0" fontId="24" fillId="12" borderId="27" xfId="0" applyFont="1" applyFill="1" applyBorder="1" applyAlignment="1">
      <alignment horizontal="left" vertical="top" wrapText="1" indent="1"/>
    </xf>
    <xf numFmtId="0" fontId="24" fillId="12" borderId="27" xfId="0" applyFont="1" applyFill="1" applyBorder="1" applyAlignment="1">
      <alignment horizontal="left" vertical="top" wrapText="1"/>
    </xf>
    <xf numFmtId="0" fontId="24" fillId="12" borderId="21" xfId="0" applyFont="1" applyFill="1" applyBorder="1" applyAlignment="1">
      <alignment horizontal="right" vertical="top" wrapText="1" indent="1"/>
    </xf>
    <xf numFmtId="0" fontId="24" fillId="12" borderId="22" xfId="0" applyFont="1" applyFill="1" applyBorder="1" applyAlignment="1">
      <alignment horizontal="left" vertical="top" wrapText="1" indent="1"/>
    </xf>
    <xf numFmtId="0" fontId="24" fillId="12" borderId="24" xfId="0" applyFont="1" applyFill="1" applyBorder="1" applyAlignment="1">
      <alignment horizontal="right" vertical="top" wrapText="1"/>
    </xf>
    <xf numFmtId="0" fontId="24" fillId="12" borderId="21" xfId="0" applyFont="1" applyFill="1" applyBorder="1" applyAlignment="1">
      <alignment horizontal="right" vertical="top" wrapText="1"/>
    </xf>
    <xf numFmtId="0" fontId="24" fillId="12" borderId="22" xfId="0" applyFont="1" applyFill="1" applyBorder="1" applyAlignment="1">
      <alignment horizontal="right" vertical="top" wrapText="1"/>
    </xf>
    <xf numFmtId="0" fontId="24" fillId="0" borderId="19" xfId="0" applyFont="1" applyBorder="1" applyAlignment="1">
      <alignment horizontal="right" vertical="top" wrapText="1"/>
    </xf>
    <xf numFmtId="1" fontId="24" fillId="0" borderId="0" xfId="0" applyNumberFormat="1" applyFont="1" applyAlignment="1">
      <alignment horizontal="center" vertical="top" wrapText="1"/>
    </xf>
    <xf numFmtId="0" fontId="24" fillId="0" borderId="0" xfId="0" applyFont="1" applyAlignment="1">
      <alignment horizontal="right" vertical="top" wrapText="1"/>
    </xf>
    <xf numFmtId="1" fontId="24" fillId="0" borderId="0" xfId="0" applyNumberFormat="1" applyFont="1" applyAlignment="1">
      <alignment horizontal="right" vertical="top" wrapText="1"/>
    </xf>
    <xf numFmtId="1" fontId="24" fillId="0" borderId="0" xfId="0" applyNumberFormat="1" applyFont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164" fontId="24" fillId="0" borderId="0" xfId="0" applyNumberFormat="1" applyFont="1" applyAlignment="1">
      <alignment horizontal="right" vertical="top" wrapText="1"/>
    </xf>
    <xf numFmtId="164" fontId="0" fillId="0" borderId="0" xfId="0" applyNumberFormat="1"/>
    <xf numFmtId="3" fontId="2" fillId="0" borderId="0" xfId="0" applyNumberFormat="1" applyFont="1"/>
    <xf numFmtId="3" fontId="2" fillId="0" borderId="1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1" fontId="18" fillId="0" borderId="0" xfId="0" applyNumberFormat="1" applyFont="1" applyAlignment="1">
      <alignment horizontal="right" vertical="top" wrapText="1" indent="2"/>
    </xf>
    <xf numFmtId="3" fontId="18" fillId="0" borderId="0" xfId="0" applyNumberFormat="1" applyFont="1" applyAlignment="1">
      <alignment horizontal="center" vertical="top" wrapText="1"/>
    </xf>
    <xf numFmtId="1" fontId="18" fillId="0" borderId="0" xfId="0" applyNumberFormat="1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0" fillId="13" borderId="4" xfId="0" applyFill="1" applyBorder="1"/>
    <xf numFmtId="0" fontId="0" fillId="13" borderId="5" xfId="0" applyFill="1" applyBorder="1"/>
    <xf numFmtId="9" fontId="0" fillId="13" borderId="7" xfId="1" applyFont="1" applyFill="1" applyBorder="1" applyAlignment="1">
      <alignment horizontal="center"/>
    </xf>
    <xf numFmtId="9" fontId="0" fillId="13" borderId="0" xfId="1" applyFont="1" applyFill="1" applyAlignment="1">
      <alignment horizontal="center"/>
    </xf>
    <xf numFmtId="0" fontId="0" fillId="13" borderId="0" xfId="0" applyFill="1"/>
    <xf numFmtId="0" fontId="0" fillId="13" borderId="8" xfId="0" applyFill="1" applyBorder="1"/>
    <xf numFmtId="0" fontId="0" fillId="13" borderId="1" xfId="0" applyFill="1" applyBorder="1"/>
    <xf numFmtId="0" fontId="0" fillId="13" borderId="6" xfId="0" applyFill="1" applyBorder="1"/>
    <xf numFmtId="0" fontId="2" fillId="13" borderId="3" xfId="0" applyFont="1" applyFill="1" applyBorder="1"/>
    <xf numFmtId="9" fontId="0" fillId="13" borderId="1" xfId="1" applyFont="1" applyFill="1" applyBorder="1" applyAlignment="1">
      <alignment horizontal="center"/>
    </xf>
    <xf numFmtId="0" fontId="17" fillId="0" borderId="0" xfId="0" applyFont="1" applyAlignment="1">
      <alignment horizontal="left" vertical="top" wrapText="1"/>
    </xf>
    <xf numFmtId="0" fontId="19" fillId="0" borderId="0" xfId="0" applyFont="1" applyAlignment="1">
      <alignment horizontal="right" vertical="center" wrapText="1" indent="2"/>
    </xf>
    <xf numFmtId="1" fontId="17" fillId="0" borderId="0" xfId="0" applyNumberFormat="1" applyFont="1" applyAlignment="1">
      <alignment horizontal="center" vertical="top" wrapText="1"/>
    </xf>
    <xf numFmtId="0" fontId="28" fillId="0" borderId="0" xfId="0" applyFont="1" applyAlignment="1">
      <alignment horizontal="left" vertical="top"/>
    </xf>
    <xf numFmtId="0" fontId="11" fillId="0" borderId="0" xfId="0" applyFont="1" applyAlignment="1">
      <alignment vertical="top" wrapText="1"/>
    </xf>
    <xf numFmtId="0" fontId="11" fillId="14" borderId="28" xfId="0" applyFont="1" applyFill="1" applyBorder="1" applyAlignment="1">
      <alignment horizontal="left" vertical="top" wrapText="1"/>
    </xf>
    <xf numFmtId="0" fontId="24" fillId="14" borderId="28" xfId="0" applyFont="1" applyFill="1" applyBorder="1" applyAlignment="1">
      <alignment horizontal="right" vertical="top" wrapText="1" indent="1"/>
    </xf>
    <xf numFmtId="0" fontId="24" fillId="14" borderId="26" xfId="0" applyFont="1" applyFill="1" applyBorder="1" applyAlignment="1">
      <alignment horizontal="left" vertical="top" wrapText="1"/>
    </xf>
    <xf numFmtId="0" fontId="24" fillId="14" borderId="26" xfId="0" applyFont="1" applyFill="1" applyBorder="1" applyAlignment="1">
      <alignment horizontal="right" vertical="top" wrapText="1" indent="1"/>
    </xf>
    <xf numFmtId="0" fontId="11" fillId="15" borderId="20" xfId="0" applyFont="1" applyFill="1" applyBorder="1" applyAlignment="1">
      <alignment horizontal="left" vertical="top" wrapText="1"/>
    </xf>
    <xf numFmtId="0" fontId="24" fillId="15" borderId="19" xfId="0" applyFont="1" applyFill="1" applyBorder="1" applyAlignment="1">
      <alignment horizontal="right" vertical="top" wrapText="1"/>
    </xf>
    <xf numFmtId="0" fontId="11" fillId="15" borderId="23" xfId="0" applyFont="1" applyFill="1" applyBorder="1" applyAlignment="1">
      <alignment horizontal="left" vertical="top" wrapText="1"/>
    </xf>
    <xf numFmtId="0" fontId="24" fillId="15" borderId="28" xfId="0" applyFont="1" applyFill="1" applyBorder="1" applyAlignment="1">
      <alignment horizontal="right" vertical="top" wrapText="1"/>
    </xf>
    <xf numFmtId="0" fontId="24" fillId="14" borderId="27" xfId="0" applyFont="1" applyFill="1" applyBorder="1" applyAlignment="1">
      <alignment horizontal="left" vertical="top" wrapText="1"/>
    </xf>
    <xf numFmtId="0" fontId="24" fillId="14" borderId="27" xfId="0" applyFont="1" applyFill="1" applyBorder="1" applyAlignment="1">
      <alignment horizontal="right" vertical="top" wrapText="1"/>
    </xf>
    <xf numFmtId="0" fontId="24" fillId="15" borderId="21" xfId="0" applyFont="1" applyFill="1" applyBorder="1" applyAlignment="1">
      <alignment horizontal="right" vertical="top" wrapText="1" indent="1"/>
    </xf>
    <xf numFmtId="0" fontId="24" fillId="15" borderId="22" xfId="0" applyFont="1" applyFill="1" applyBorder="1" applyAlignment="1">
      <alignment horizontal="center" vertical="top" wrapText="1"/>
    </xf>
    <xf numFmtId="0" fontId="24" fillId="15" borderId="24" xfId="0" applyFont="1" applyFill="1" applyBorder="1" applyAlignment="1">
      <alignment horizontal="center" vertical="top" wrapText="1"/>
    </xf>
    <xf numFmtId="0" fontId="24" fillId="15" borderId="21" xfId="0" applyFont="1" applyFill="1" applyBorder="1" applyAlignment="1">
      <alignment horizontal="center" vertical="top" wrapText="1"/>
    </xf>
    <xf numFmtId="0" fontId="24" fillId="15" borderId="22" xfId="0" applyFont="1" applyFill="1" applyBorder="1" applyAlignment="1">
      <alignment horizontal="right" vertical="top" wrapText="1" indent="1"/>
    </xf>
    <xf numFmtId="0" fontId="24" fillId="15" borderId="24" xfId="0" applyFont="1" applyFill="1" applyBorder="1" applyAlignment="1">
      <alignment horizontal="right" vertical="top" wrapText="1" indent="1"/>
    </xf>
    <xf numFmtId="0" fontId="24" fillId="15" borderId="24" xfId="0" applyFont="1" applyFill="1" applyBorder="1" applyAlignment="1">
      <alignment horizontal="left" vertical="top" wrapText="1" indent="1"/>
    </xf>
    <xf numFmtId="0" fontId="24" fillId="15" borderId="27" xfId="0" applyFont="1" applyFill="1" applyBorder="1" applyAlignment="1">
      <alignment horizontal="center" vertical="top" wrapText="1"/>
    </xf>
    <xf numFmtId="1" fontId="24" fillId="0" borderId="28" xfId="0" applyNumberFormat="1" applyFont="1" applyBorder="1" applyAlignment="1">
      <alignment horizontal="left" vertical="top" wrapText="1"/>
    </xf>
    <xf numFmtId="0" fontId="24" fillId="0" borderId="28" xfId="0" applyFont="1" applyBorder="1" applyAlignment="1">
      <alignment horizontal="right" vertical="top" wrapText="1"/>
    </xf>
    <xf numFmtId="0" fontId="11" fillId="0" borderId="28" xfId="0" applyFont="1" applyBorder="1" applyAlignment="1">
      <alignment horizontal="left" vertical="top" wrapText="1"/>
    </xf>
    <xf numFmtId="0" fontId="24" fillId="0" borderId="20" xfId="0" applyFont="1" applyBorder="1" applyAlignment="1">
      <alignment horizontal="right" vertical="top" wrapText="1"/>
    </xf>
    <xf numFmtId="0" fontId="24" fillId="0" borderId="23" xfId="0" applyFont="1" applyBorder="1" applyAlignment="1">
      <alignment horizontal="right" vertical="top" wrapText="1"/>
    </xf>
    <xf numFmtId="0" fontId="24" fillId="0" borderId="20" xfId="0" applyFont="1" applyBorder="1" applyAlignment="1">
      <alignment horizontal="center" vertical="top" wrapText="1"/>
    </xf>
    <xf numFmtId="1" fontId="24" fillId="0" borderId="26" xfId="0" applyNumberFormat="1" applyFont="1" applyBorder="1" applyAlignment="1">
      <alignment horizontal="left" vertical="top" wrapText="1"/>
    </xf>
    <xf numFmtId="0" fontId="24" fillId="0" borderId="26" xfId="0" applyFont="1" applyBorder="1" applyAlignment="1">
      <alignment horizontal="right" vertical="top" wrapText="1"/>
    </xf>
    <xf numFmtId="0" fontId="11" fillId="0" borderId="26" xfId="0" applyFont="1" applyBorder="1" applyAlignment="1">
      <alignment horizontal="left" vertical="top" wrapText="1"/>
    </xf>
    <xf numFmtId="0" fontId="24" fillId="0" borderId="15" xfId="0" applyFont="1" applyBorder="1" applyAlignment="1">
      <alignment horizontal="right" vertical="top" wrapText="1"/>
    </xf>
    <xf numFmtId="0" fontId="24" fillId="0" borderId="25" xfId="0" applyFont="1" applyBorder="1" applyAlignment="1">
      <alignment horizontal="right" vertical="top" wrapText="1"/>
    </xf>
    <xf numFmtId="0" fontId="24" fillId="0" borderId="15" xfId="0" applyFont="1" applyBorder="1" applyAlignment="1">
      <alignment horizontal="center" vertical="top" wrapText="1"/>
    </xf>
    <xf numFmtId="1" fontId="24" fillId="0" borderId="26" xfId="0" applyNumberFormat="1" applyFont="1" applyBorder="1" applyAlignment="1">
      <alignment horizontal="right" vertical="top" wrapText="1"/>
    </xf>
    <xf numFmtId="1" fontId="24" fillId="16" borderId="26" xfId="0" applyNumberFormat="1" applyFont="1" applyFill="1" applyBorder="1" applyAlignment="1">
      <alignment horizontal="left" vertical="top" wrapText="1"/>
    </xf>
    <xf numFmtId="1" fontId="24" fillId="16" borderId="26" xfId="0" applyNumberFormat="1" applyFont="1" applyFill="1" applyBorder="1" applyAlignment="1">
      <alignment horizontal="right" vertical="top" wrapText="1"/>
    </xf>
    <xf numFmtId="0" fontId="24" fillId="16" borderId="26" xfId="0" applyFont="1" applyFill="1" applyBorder="1" applyAlignment="1">
      <alignment horizontal="left" vertical="top" wrapText="1"/>
    </xf>
    <xf numFmtId="165" fontId="24" fillId="16" borderId="15" xfId="0" applyNumberFormat="1" applyFont="1" applyFill="1" applyBorder="1" applyAlignment="1">
      <alignment horizontal="right" vertical="top" wrapText="1"/>
    </xf>
    <xf numFmtId="165" fontId="24" fillId="16" borderId="0" xfId="0" applyNumberFormat="1" applyFont="1" applyFill="1" applyAlignment="1">
      <alignment horizontal="right" vertical="top" wrapText="1"/>
    </xf>
    <xf numFmtId="165" fontId="24" fillId="16" borderId="25" xfId="0" applyNumberFormat="1" applyFont="1" applyFill="1" applyBorder="1" applyAlignment="1">
      <alignment horizontal="right" vertical="top" wrapText="1"/>
    </xf>
    <xf numFmtId="165" fontId="24" fillId="16" borderId="15" xfId="0" applyNumberFormat="1" applyFont="1" applyFill="1" applyBorder="1" applyAlignment="1">
      <alignment horizontal="center" vertical="top" wrapText="1"/>
    </xf>
    <xf numFmtId="165" fontId="24" fillId="16" borderId="0" xfId="0" applyNumberFormat="1" applyFont="1" applyFill="1" applyAlignment="1">
      <alignment horizontal="left" vertical="top" wrapText="1"/>
    </xf>
    <xf numFmtId="0" fontId="24" fillId="0" borderId="26" xfId="0" applyFont="1" applyBorder="1" applyAlignment="1">
      <alignment horizontal="left" vertical="top" wrapText="1"/>
    </xf>
    <xf numFmtId="165" fontId="24" fillId="0" borderId="15" xfId="0" applyNumberFormat="1" applyFont="1" applyBorder="1" applyAlignment="1">
      <alignment horizontal="right" vertical="top" wrapText="1"/>
    </xf>
    <xf numFmtId="165" fontId="24" fillId="0" borderId="0" xfId="0" applyNumberFormat="1" applyFont="1" applyAlignment="1">
      <alignment horizontal="right" vertical="top" wrapText="1"/>
    </xf>
    <xf numFmtId="165" fontId="24" fillId="0" borderId="25" xfId="0" applyNumberFormat="1" applyFont="1" applyBorder="1" applyAlignment="1">
      <alignment horizontal="right" vertical="top" wrapText="1"/>
    </xf>
    <xf numFmtId="165" fontId="24" fillId="0" borderId="15" xfId="0" applyNumberFormat="1" applyFont="1" applyBorder="1" applyAlignment="1">
      <alignment horizontal="center" vertical="top" wrapText="1"/>
    </xf>
    <xf numFmtId="165" fontId="24" fillId="0" borderId="0" xfId="0" applyNumberFormat="1" applyFont="1" applyAlignment="1">
      <alignment horizontal="left" vertical="top" wrapText="1"/>
    </xf>
    <xf numFmtId="1" fontId="24" fillId="16" borderId="0" xfId="0" applyNumberFormat="1" applyFont="1" applyFill="1" applyAlignment="1">
      <alignment horizontal="left" vertical="top" wrapText="1"/>
    </xf>
    <xf numFmtId="1" fontId="24" fillId="16" borderId="0" xfId="0" applyNumberFormat="1" applyFont="1" applyFill="1" applyAlignment="1">
      <alignment horizontal="right" vertical="top" wrapText="1"/>
    </xf>
    <xf numFmtId="0" fontId="24" fillId="16" borderId="0" xfId="0" applyFont="1" applyFill="1" applyAlignment="1">
      <alignment horizontal="left" vertical="top" wrapText="1"/>
    </xf>
    <xf numFmtId="165" fontId="24" fillId="16" borderId="0" xfId="0" applyNumberFormat="1" applyFont="1" applyFill="1" applyAlignment="1">
      <alignment horizontal="center" vertical="top" wrapText="1"/>
    </xf>
    <xf numFmtId="165" fontId="24" fillId="0" borderId="0" xfId="0" applyNumberFormat="1" applyFont="1" applyAlignment="1">
      <alignment horizontal="center" vertical="top" wrapText="1"/>
    </xf>
    <xf numFmtId="1" fontId="24" fillId="0" borderId="22" xfId="0" applyNumberFormat="1" applyFont="1" applyBorder="1" applyAlignment="1">
      <alignment horizontal="left" vertical="top" wrapText="1"/>
    </xf>
    <xf numFmtId="0" fontId="24" fillId="0" borderId="22" xfId="0" applyFont="1" applyBorder="1" applyAlignment="1">
      <alignment horizontal="right" vertical="top" wrapText="1"/>
    </xf>
    <xf numFmtId="0" fontId="11" fillId="0" borderId="22" xfId="0" applyFont="1" applyBorder="1" applyAlignment="1">
      <alignment horizontal="left" vertical="top" wrapText="1"/>
    </xf>
    <xf numFmtId="0" fontId="24" fillId="0" borderId="22" xfId="0" applyFont="1" applyBorder="1" applyAlignment="1">
      <alignment horizontal="center" vertical="top" wrapText="1"/>
    </xf>
    <xf numFmtId="0" fontId="24" fillId="0" borderId="29" xfId="0" applyFont="1" applyBorder="1" applyAlignment="1">
      <alignment horizontal="left" vertical="top" wrapText="1"/>
    </xf>
    <xf numFmtId="0" fontId="24" fillId="0" borderId="29" xfId="0" applyFont="1" applyBorder="1" applyAlignment="1">
      <alignment horizontal="right" vertical="top" wrapText="1"/>
    </xf>
    <xf numFmtId="0" fontId="11" fillId="0" borderId="29" xfId="0" applyFont="1" applyBorder="1" applyAlignment="1">
      <alignment horizontal="left" vertical="top" wrapText="1"/>
    </xf>
    <xf numFmtId="0" fontId="24" fillId="0" borderId="16" xfId="0" applyFont="1" applyBorder="1" applyAlignment="1">
      <alignment horizontal="right" vertical="top" wrapText="1"/>
    </xf>
    <xf numFmtId="0" fontId="24" fillId="0" borderId="18" xfId="0" applyFont="1" applyBorder="1" applyAlignment="1">
      <alignment horizontal="right" vertical="top" wrapText="1"/>
    </xf>
    <xf numFmtId="0" fontId="24" fillId="0" borderId="17" xfId="0" applyFont="1" applyBorder="1" applyAlignment="1">
      <alignment horizontal="right" vertical="top" wrapText="1"/>
    </xf>
    <xf numFmtId="0" fontId="24" fillId="0" borderId="16" xfId="0" applyFont="1" applyBorder="1" applyAlignment="1">
      <alignment horizontal="center" vertical="top" wrapText="1"/>
    </xf>
    <xf numFmtId="1" fontId="24" fillId="0" borderId="29" xfId="0" applyNumberFormat="1" applyFont="1" applyBorder="1" applyAlignment="1">
      <alignment horizontal="right" vertical="top" wrapText="1"/>
    </xf>
    <xf numFmtId="165" fontId="24" fillId="0" borderId="16" xfId="0" applyNumberFormat="1" applyFont="1" applyBorder="1" applyAlignment="1">
      <alignment horizontal="right" vertical="top" wrapText="1"/>
    </xf>
    <xf numFmtId="165" fontId="24" fillId="0" borderId="18" xfId="0" applyNumberFormat="1" applyFont="1" applyBorder="1" applyAlignment="1">
      <alignment horizontal="right" vertical="top" wrapText="1"/>
    </xf>
    <xf numFmtId="165" fontId="24" fillId="0" borderId="17" xfId="0" applyNumberFormat="1" applyFont="1" applyBorder="1" applyAlignment="1">
      <alignment horizontal="right" vertical="top" wrapText="1"/>
    </xf>
    <xf numFmtId="165" fontId="24" fillId="0" borderId="16" xfId="0" applyNumberFormat="1" applyFont="1" applyBorder="1" applyAlignment="1">
      <alignment horizontal="center" vertical="top" wrapText="1"/>
    </xf>
    <xf numFmtId="165" fontId="24" fillId="0" borderId="18" xfId="0" applyNumberFormat="1" applyFont="1" applyBorder="1" applyAlignment="1">
      <alignment horizontal="left" vertical="top" wrapText="1"/>
    </xf>
    <xf numFmtId="0" fontId="29" fillId="0" borderId="0" xfId="0" applyFont="1" applyAlignment="1">
      <alignment vertical="top" wrapText="1"/>
    </xf>
    <xf numFmtId="0" fontId="30" fillId="15" borderId="22" xfId="0" applyFont="1" applyFill="1" applyBorder="1" applyAlignment="1">
      <alignment horizontal="center" vertical="top" wrapText="1"/>
    </xf>
    <xf numFmtId="0" fontId="30" fillId="15" borderId="24" xfId="0" applyFont="1" applyFill="1" applyBorder="1" applyAlignment="1">
      <alignment horizontal="center" vertical="top" wrapText="1"/>
    </xf>
    <xf numFmtId="0" fontId="30" fillId="0" borderId="19" xfId="0" applyFont="1" applyBorder="1" applyAlignment="1">
      <alignment horizontal="right" vertical="top" wrapText="1"/>
    </xf>
    <xf numFmtId="0" fontId="30" fillId="0" borderId="23" xfId="0" applyFont="1" applyBorder="1" applyAlignment="1">
      <alignment horizontal="right" vertical="top" wrapText="1"/>
    </xf>
    <xf numFmtId="0" fontId="30" fillId="0" borderId="20" xfId="0" applyFont="1" applyBorder="1" applyAlignment="1">
      <alignment horizontal="right" vertical="top" wrapText="1"/>
    </xf>
    <xf numFmtId="0" fontId="30" fillId="0" borderId="0" xfId="0" applyFont="1" applyAlignment="1">
      <alignment horizontal="right" vertical="top" wrapText="1"/>
    </xf>
    <xf numFmtId="0" fontId="30" fillId="0" borderId="25" xfId="0" applyFont="1" applyBorder="1" applyAlignment="1">
      <alignment horizontal="right" vertical="top" wrapText="1"/>
    </xf>
    <xf numFmtId="0" fontId="30" fillId="0" borderId="15" xfId="0" applyFont="1" applyBorder="1" applyAlignment="1">
      <alignment horizontal="right" vertical="top" wrapText="1"/>
    </xf>
    <xf numFmtId="165" fontId="31" fillId="16" borderId="0" xfId="0" applyNumberFormat="1" applyFont="1" applyFill="1" applyAlignment="1">
      <alignment horizontal="right" vertical="top" wrapText="1"/>
    </xf>
    <xf numFmtId="165" fontId="31" fillId="16" borderId="25" xfId="0" applyNumberFormat="1" applyFont="1" applyFill="1" applyBorder="1" applyAlignment="1">
      <alignment horizontal="right" vertical="top" wrapText="1"/>
    </xf>
    <xf numFmtId="165" fontId="31" fillId="16" borderId="15" xfId="0" applyNumberFormat="1" applyFont="1" applyFill="1" applyBorder="1" applyAlignment="1">
      <alignment horizontal="right" vertical="top" wrapText="1"/>
    </xf>
    <xf numFmtId="165" fontId="31" fillId="0" borderId="0" xfId="0" applyNumberFormat="1" applyFont="1" applyAlignment="1">
      <alignment horizontal="right" vertical="top" wrapText="1"/>
    </xf>
    <xf numFmtId="165" fontId="31" fillId="0" borderId="25" xfId="0" applyNumberFormat="1" applyFont="1" applyBorder="1" applyAlignment="1">
      <alignment horizontal="right" vertical="top" wrapText="1"/>
    </xf>
    <xf numFmtId="165" fontId="31" fillId="0" borderId="15" xfId="0" applyNumberFormat="1" applyFont="1" applyBorder="1" applyAlignment="1">
      <alignment horizontal="right" vertical="top" wrapText="1"/>
    </xf>
    <xf numFmtId="0" fontId="30" fillId="0" borderId="22" xfId="0" applyFont="1" applyBorder="1" applyAlignment="1">
      <alignment horizontal="right" vertical="top" wrapText="1"/>
    </xf>
    <xf numFmtId="0" fontId="30" fillId="0" borderId="18" xfId="0" applyFont="1" applyBorder="1" applyAlignment="1">
      <alignment horizontal="right" vertical="top" wrapText="1"/>
    </xf>
    <xf numFmtId="0" fontId="30" fillId="0" borderId="17" xfId="0" applyFont="1" applyBorder="1" applyAlignment="1">
      <alignment horizontal="right" vertical="top" wrapText="1"/>
    </xf>
    <xf numFmtId="0" fontId="30" fillId="0" borderId="16" xfId="0" applyFont="1" applyBorder="1" applyAlignment="1">
      <alignment horizontal="right" vertical="top" wrapText="1"/>
    </xf>
    <xf numFmtId="165" fontId="31" fillId="0" borderId="18" xfId="0" applyNumberFormat="1" applyFont="1" applyBorder="1" applyAlignment="1">
      <alignment horizontal="right" vertical="top" wrapText="1"/>
    </xf>
    <xf numFmtId="165" fontId="31" fillId="0" borderId="17" xfId="0" applyNumberFormat="1" applyFont="1" applyBorder="1" applyAlignment="1">
      <alignment horizontal="right" vertical="top" wrapText="1"/>
    </xf>
    <xf numFmtId="165" fontId="31" fillId="0" borderId="16" xfId="0" applyNumberFormat="1" applyFont="1" applyBorder="1" applyAlignment="1">
      <alignment horizontal="right" vertical="top" wrapText="1"/>
    </xf>
    <xf numFmtId="0" fontId="0" fillId="13" borderId="7" xfId="0" applyFill="1" applyBorder="1"/>
    <xf numFmtId="0" fontId="0" fillId="13" borderId="2" xfId="0" applyFill="1" applyBorder="1"/>
    <xf numFmtId="0" fontId="30" fillId="15" borderId="0" xfId="0" applyFont="1" applyFill="1" applyAlignment="1">
      <alignment horizontal="center" vertical="top" wrapText="1"/>
    </xf>
    <xf numFmtId="0" fontId="24" fillId="0" borderId="0" xfId="0" applyFont="1" applyAlignment="1">
      <alignment horizontal="left" wrapText="1" indent="1"/>
    </xf>
    <xf numFmtId="0" fontId="24" fillId="0" borderId="0" xfId="0" applyFont="1" applyAlignment="1">
      <alignment horizontal="right" vertical="top" wrapText="1" indent="1"/>
    </xf>
    <xf numFmtId="0" fontId="24" fillId="0" borderId="0" xfId="0" applyFont="1" applyAlignment="1">
      <alignment horizontal="center" vertical="top" wrapText="1"/>
    </xf>
    <xf numFmtId="0" fontId="24" fillId="0" borderId="0" xfId="0" applyFont="1" applyAlignment="1">
      <alignment horizontal="left" vertical="top" wrapText="1" inden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left" vertical="center" wrapText="1"/>
    </xf>
    <xf numFmtId="165" fontId="0" fillId="13" borderId="0" xfId="0" applyNumberFormat="1" applyFill="1"/>
    <xf numFmtId="164" fontId="0" fillId="13" borderId="0" xfId="0" applyNumberFormat="1" applyFill="1"/>
    <xf numFmtId="164" fontId="0" fillId="13" borderId="0" xfId="1" applyNumberFormat="1" applyFont="1" applyFill="1"/>
    <xf numFmtId="164" fontId="0" fillId="0" borderId="0" xfId="1" applyNumberFormat="1" applyFont="1"/>
    <xf numFmtId="0" fontId="24" fillId="12" borderId="0" xfId="0" applyFont="1" applyFill="1" applyAlignment="1">
      <alignment horizontal="left" indent="1"/>
    </xf>
    <xf numFmtId="0" fontId="32" fillId="0" borderId="0" xfId="0" applyFont="1" applyAlignment="1">
      <alignment horizontal="left" vertical="center" wrapText="1"/>
    </xf>
    <xf numFmtId="165" fontId="0" fillId="10" borderId="3" xfId="0" applyNumberFormat="1" applyFill="1" applyBorder="1"/>
    <xf numFmtId="0" fontId="0" fillId="10" borderId="5" xfId="0" applyFill="1" applyBorder="1"/>
    <xf numFmtId="165" fontId="0" fillId="10" borderId="7" xfId="0" applyNumberFormat="1" applyFill="1" applyBorder="1"/>
    <xf numFmtId="0" fontId="0" fillId="10" borderId="8" xfId="0" applyFill="1" applyBorder="1"/>
    <xf numFmtId="165" fontId="0" fillId="10" borderId="2" xfId="0" applyNumberFormat="1" applyFill="1" applyBorder="1"/>
    <xf numFmtId="0" fontId="0" fillId="10" borderId="6" xfId="0" applyFill="1" applyBorder="1"/>
    <xf numFmtId="3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center" vertical="top" wrapText="1"/>
    </xf>
    <xf numFmtId="9" fontId="18" fillId="7" borderId="0" xfId="1" applyFont="1" applyFill="1" applyAlignment="1">
      <alignment horizontal="center" vertical="top" wrapText="1"/>
    </xf>
    <xf numFmtId="3" fontId="18" fillId="7" borderId="0" xfId="0" applyNumberFormat="1" applyFont="1" applyFill="1" applyAlignment="1">
      <alignment horizontal="center" vertical="top" wrapText="1"/>
    </xf>
    <xf numFmtId="0" fontId="34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0" fontId="33" fillId="3" borderId="0" xfId="0" applyFont="1" applyFill="1" applyAlignment="1">
      <alignment horizontal="center" vertical="top" wrapText="1"/>
    </xf>
    <xf numFmtId="0" fontId="21" fillId="3" borderId="0" xfId="0" applyFont="1" applyFill="1" applyAlignment="1">
      <alignment horizontal="center" vertical="top" wrapText="1"/>
    </xf>
    <xf numFmtId="9" fontId="35" fillId="3" borderId="0" xfId="1" applyFont="1" applyFill="1" applyAlignment="1">
      <alignment horizontal="center" vertical="top" wrapText="1"/>
    </xf>
    <xf numFmtId="9" fontId="18" fillId="3" borderId="0" xfId="1" applyFont="1" applyFill="1" applyAlignment="1">
      <alignment horizontal="center" vertical="top" wrapText="1"/>
    </xf>
    <xf numFmtId="9" fontId="34" fillId="3" borderId="0" xfId="0" applyNumberFormat="1" applyFont="1" applyFill="1" applyAlignment="1">
      <alignment horizontal="center" vertical="center" wrapText="1"/>
    </xf>
    <xf numFmtId="0" fontId="23" fillId="0" borderId="0" xfId="0" applyFont="1"/>
    <xf numFmtId="0" fontId="6" fillId="13" borderId="7" xfId="0" applyFont="1" applyFill="1" applyBorder="1"/>
    <xf numFmtId="9" fontId="2" fillId="13" borderId="1" xfId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3" fontId="8" fillId="0" borderId="0" xfId="0" applyNumberFormat="1" applyFont="1" applyAlignment="1">
      <alignment horizontal="center"/>
    </xf>
    <xf numFmtId="0" fontId="0" fillId="0" borderId="4" xfId="0" applyBorder="1"/>
    <xf numFmtId="0" fontId="8" fillId="0" borderId="1" xfId="0" applyFont="1" applyBorder="1"/>
    <xf numFmtId="0" fontId="9" fillId="17" borderId="12" xfId="0" applyFont="1" applyFill="1" applyBorder="1"/>
    <xf numFmtId="9" fontId="0" fillId="0" borderId="0" xfId="0" applyNumberFormat="1"/>
    <xf numFmtId="0" fontId="37" fillId="12" borderId="29" xfId="0" applyFont="1" applyFill="1" applyBorder="1" applyAlignment="1">
      <alignment horizontal="center" vertical="center" wrapText="1"/>
    </xf>
    <xf numFmtId="0" fontId="37" fillId="12" borderId="29" xfId="0" applyFont="1" applyFill="1" applyBorder="1" applyAlignment="1">
      <alignment horizontal="left" vertical="top" wrapText="1" indent="1"/>
    </xf>
    <xf numFmtId="0" fontId="37" fillId="12" borderId="29" xfId="0" applyFont="1" applyFill="1" applyBorder="1" applyAlignment="1">
      <alignment horizontal="left" vertical="top" wrapText="1"/>
    </xf>
    <xf numFmtId="1" fontId="18" fillId="0" borderId="29" xfId="0" applyNumberFormat="1" applyFont="1" applyBorder="1" applyAlignment="1">
      <alignment horizontal="center" vertical="top" wrapText="1"/>
    </xf>
    <xf numFmtId="164" fontId="18" fillId="0" borderId="29" xfId="0" applyNumberFormat="1" applyFont="1" applyBorder="1" applyAlignment="1">
      <alignment horizontal="center" vertical="top" wrapText="1"/>
    </xf>
    <xf numFmtId="1" fontId="18" fillId="18" borderId="29" xfId="0" applyNumberFormat="1" applyFont="1" applyFill="1" applyBorder="1" applyAlignment="1">
      <alignment horizontal="center" vertical="top" wrapText="1"/>
    </xf>
    <xf numFmtId="164" fontId="18" fillId="18" borderId="29" xfId="0" applyNumberFormat="1" applyFont="1" applyFill="1" applyBorder="1" applyAlignment="1">
      <alignment horizontal="center" vertical="top" wrapText="1"/>
    </xf>
    <xf numFmtId="0" fontId="37" fillId="0" borderId="19" xfId="0" applyFont="1" applyBorder="1" applyAlignment="1">
      <alignment horizontal="center" vertical="top" wrapText="1"/>
    </xf>
    <xf numFmtId="164" fontId="36" fillId="0" borderId="19" xfId="0" applyNumberFormat="1" applyFont="1" applyBorder="1" applyAlignment="1">
      <alignment horizontal="center" vertical="top" wrapText="1"/>
    </xf>
    <xf numFmtId="0" fontId="17" fillId="0" borderId="19" xfId="0" applyFont="1" applyBorder="1" applyAlignment="1">
      <alignment horizontal="left" vertical="top" wrapText="1"/>
    </xf>
    <xf numFmtId="0" fontId="11" fillId="0" borderId="0" xfId="0" applyFont="1" applyAlignment="1">
      <alignment horizontal="left"/>
    </xf>
    <xf numFmtId="164" fontId="18" fillId="7" borderId="0" xfId="1" applyNumberFormat="1" applyFont="1" applyFill="1" applyAlignment="1">
      <alignment horizontal="center" vertical="top" wrapText="1"/>
    </xf>
    <xf numFmtId="3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Alignment="1">
      <alignment wrapText="1"/>
    </xf>
    <xf numFmtId="0" fontId="0" fillId="0" borderId="0" xfId="0" quotePrefix="1"/>
    <xf numFmtId="0" fontId="17" fillId="19" borderId="0" xfId="0" applyFont="1" applyFill="1" applyAlignment="1">
      <alignment vertical="top" wrapText="1"/>
    </xf>
    <xf numFmtId="3" fontId="17" fillId="19" borderId="0" xfId="0" applyNumberFormat="1" applyFont="1" applyFill="1" applyAlignment="1">
      <alignment vertical="top" wrapText="1"/>
    </xf>
    <xf numFmtId="3" fontId="23" fillId="0" borderId="0" xfId="0" applyNumberFormat="1" applyFont="1"/>
    <xf numFmtId="4" fontId="23" fillId="0" borderId="0" xfId="0" applyNumberFormat="1" applyFont="1"/>
    <xf numFmtId="1" fontId="23" fillId="0" borderId="0" xfId="0" applyNumberFormat="1" applyFont="1"/>
    <xf numFmtId="3" fontId="23" fillId="0" borderId="0" xfId="0" applyNumberFormat="1" applyFont="1" applyAlignment="1">
      <alignment horizontal="center"/>
    </xf>
    <xf numFmtId="0" fontId="0" fillId="20" borderId="0" xfId="0" applyFill="1"/>
    <xf numFmtId="0" fontId="44" fillId="0" borderId="0" xfId="0" applyFont="1"/>
    <xf numFmtId="0" fontId="4" fillId="10" borderId="4" xfId="0" applyFont="1" applyFill="1" applyBorder="1" applyAlignment="1">
      <alignment horizontal="centerContinuous"/>
    </xf>
    <xf numFmtId="0" fontId="2" fillId="10" borderId="4" xfId="0" applyFont="1" applyFill="1" applyBorder="1" applyAlignment="1">
      <alignment horizontal="centerContinuous"/>
    </xf>
    <xf numFmtId="0" fontId="4" fillId="10" borderId="5" xfId="0" applyFont="1" applyFill="1" applyBorder="1" applyAlignment="1">
      <alignment horizontal="centerContinuous"/>
    </xf>
    <xf numFmtId="0" fontId="11" fillId="0" borderId="7" xfId="0" applyFont="1" applyBorder="1"/>
    <xf numFmtId="0" fontId="0" fillId="0" borderId="1" xfId="0" quotePrefix="1" applyBorder="1" applyAlignment="1">
      <alignment horizontal="center"/>
    </xf>
    <xf numFmtId="0" fontId="0" fillId="10" borderId="4" xfId="0" applyFill="1" applyBorder="1" applyAlignment="1">
      <alignment horizontal="centerContinuous"/>
    </xf>
    <xf numFmtId="0" fontId="11" fillId="0" borderId="3" xfId="0" applyFont="1" applyBorder="1"/>
    <xf numFmtId="0" fontId="0" fillId="0" borderId="4" xfId="0" quotePrefix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0" fontId="2" fillId="0" borderId="3" xfId="0" applyFont="1" applyBorder="1"/>
    <xf numFmtId="0" fontId="2" fillId="0" borderId="3" xfId="0" quotePrefix="1" applyFont="1" applyBorder="1" applyAlignment="1">
      <alignment horizontal="left"/>
    </xf>
    <xf numFmtId="0" fontId="2" fillId="9" borderId="12" xfId="0" applyFont="1" applyFill="1" applyBorder="1"/>
    <xf numFmtId="0" fontId="0" fillId="9" borderId="13" xfId="0" applyFill="1" applyBorder="1"/>
    <xf numFmtId="0" fontId="4" fillId="3" borderId="4" xfId="0" applyFont="1" applyFill="1" applyBorder="1" applyAlignment="1">
      <alignment horizontal="centerContinuous"/>
    </xf>
    <xf numFmtId="0" fontId="2" fillId="3" borderId="4" xfId="0" applyFont="1" applyFill="1" applyBorder="1" applyAlignment="1">
      <alignment horizontal="centerContinuous"/>
    </xf>
    <xf numFmtId="0" fontId="2" fillId="3" borderId="5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8" fillId="3" borderId="14" xfId="0" applyFont="1" applyFill="1" applyBorder="1"/>
    <xf numFmtId="0" fontId="0" fillId="0" borderId="0" xfId="0" applyAlignment="1">
      <alignment horizontal="center" vertical="center" wrapText="1"/>
    </xf>
    <xf numFmtId="9" fontId="36" fillId="7" borderId="0" xfId="1" applyFont="1" applyFill="1" applyAlignment="1">
      <alignment horizontal="center" vertical="top" wrapText="1"/>
    </xf>
    <xf numFmtId="0" fontId="0" fillId="0" borderId="0" xfId="0" applyAlignment="1">
      <alignment horizontal="right" vertical="center" wrapText="1"/>
    </xf>
    <xf numFmtId="9" fontId="0" fillId="0" borderId="0" xfId="1" quotePrefix="1" applyFont="1" applyAlignment="1">
      <alignment horizontal="center"/>
    </xf>
    <xf numFmtId="9" fontId="0" fillId="0" borderId="1" xfId="1" applyFont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3" fontId="0" fillId="0" borderId="10" xfId="0" quotePrefix="1" applyNumberFormat="1" applyBorder="1" applyAlignment="1">
      <alignment horizontal="right"/>
    </xf>
    <xf numFmtId="0" fontId="44" fillId="8" borderId="0" xfId="0" applyFont="1" applyFill="1"/>
    <xf numFmtId="0" fontId="2" fillId="3" borderId="4" xfId="0" applyFont="1" applyFill="1" applyBorder="1" applyAlignment="1">
      <alignment horizontal="center"/>
    </xf>
    <xf numFmtId="3" fontId="0" fillId="0" borderId="9" xfId="0" applyNumberFormat="1" applyBorder="1" applyAlignment="1">
      <alignment horizontal="right"/>
    </xf>
    <xf numFmtId="0" fontId="0" fillId="0" borderId="6" xfId="0" quotePrefix="1" applyBorder="1" applyAlignment="1">
      <alignment horizontal="center"/>
    </xf>
    <xf numFmtId="3" fontId="8" fillId="8" borderId="0" xfId="0" applyNumberFormat="1" applyFont="1" applyFill="1"/>
    <xf numFmtId="0" fontId="8" fillId="8" borderId="0" xfId="0" applyFont="1" applyFill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19" borderId="0" xfId="0" applyFont="1" applyFill="1"/>
    <xf numFmtId="0" fontId="2" fillId="19" borderId="0" xfId="0" applyFont="1" applyFill="1" applyAlignment="1">
      <alignment horizontal="left"/>
    </xf>
    <xf numFmtId="0" fontId="46" fillId="0" borderId="0" xfId="3"/>
    <xf numFmtId="0" fontId="47" fillId="0" borderId="0" xfId="2" applyFont="1"/>
    <xf numFmtId="3" fontId="8" fillId="0" borderId="0" xfId="0" applyNumberFormat="1" applyFont="1"/>
    <xf numFmtId="0" fontId="8" fillId="0" borderId="0" xfId="0" applyFont="1" applyAlignment="1">
      <alignment horizontal="right"/>
    </xf>
    <xf numFmtId="3" fontId="8" fillId="0" borderId="0" xfId="0" applyNumberFormat="1" applyFont="1" applyAlignment="1">
      <alignment horizontal="right"/>
    </xf>
    <xf numFmtId="9" fontId="0" fillId="13" borderId="0" xfId="1" applyFont="1" applyFill="1" applyAlignment="1">
      <alignment horizontal="left"/>
    </xf>
    <xf numFmtId="3" fontId="0" fillId="3" borderId="30" xfId="0" applyNumberFormat="1" applyFill="1" applyBorder="1"/>
    <xf numFmtId="0" fontId="2" fillId="19" borderId="0" xfId="0" applyFont="1" applyFill="1" applyAlignment="1">
      <alignment horizontal="center"/>
    </xf>
    <xf numFmtId="3" fontId="0" fillId="0" borderId="30" xfId="0" applyNumberFormat="1" applyBorder="1"/>
    <xf numFmtId="166" fontId="8" fillId="0" borderId="0" xfId="0" applyNumberFormat="1" applyFont="1"/>
    <xf numFmtId="166" fontId="0" fillId="21" borderId="0" xfId="0" applyNumberFormat="1" applyFill="1"/>
    <xf numFmtId="3" fontId="0" fillId="21" borderId="0" xfId="0" applyNumberFormat="1" applyFill="1"/>
    <xf numFmtId="166" fontId="0" fillId="0" borderId="0" xfId="0" applyNumberFormat="1"/>
    <xf numFmtId="9" fontId="0" fillId="0" borderId="0" xfId="1" applyFont="1" applyAlignment="1">
      <alignment horizontal="right"/>
    </xf>
    <xf numFmtId="164" fontId="8" fillId="0" borderId="0" xfId="1" applyNumberFormat="1" applyFont="1"/>
    <xf numFmtId="164" fontId="7" fillId="0" borderId="0" xfId="1" applyNumberFormat="1"/>
    <xf numFmtId="164" fontId="7" fillId="0" borderId="0" xfId="1" applyNumberFormat="1" applyAlignment="1">
      <alignment horizontal="right"/>
    </xf>
    <xf numFmtId="164" fontId="0" fillId="0" borderId="0" xfId="1" applyNumberFormat="1" applyFont="1" applyAlignment="1">
      <alignment horizontal="right"/>
    </xf>
    <xf numFmtId="166" fontId="0" fillId="13" borderId="0" xfId="0" applyNumberFormat="1" applyFill="1"/>
    <xf numFmtId="164" fontId="8" fillId="0" borderId="0" xfId="1" applyNumberFormat="1" applyFont="1" applyAlignment="1">
      <alignment horizontal="right"/>
    </xf>
    <xf numFmtId="0" fontId="2" fillId="0" borderId="3" xfId="0" quotePrefix="1" applyFont="1" applyBorder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wrapText="1"/>
    </xf>
    <xf numFmtId="164" fontId="23" fillId="0" borderId="0" xfId="1" applyNumberFormat="1" applyFont="1"/>
    <xf numFmtId="9" fontId="0" fillId="0" borderId="0" xfId="1" applyFont="1"/>
    <xf numFmtId="166" fontId="8" fillId="0" borderId="0" xfId="1" applyNumberFormat="1" applyFont="1"/>
    <xf numFmtId="165" fontId="0" fillId="3" borderId="0" xfId="1" applyNumberFormat="1" applyFont="1" applyFill="1"/>
    <xf numFmtId="166" fontId="7" fillId="3" borderId="0" xfId="1" applyNumberFormat="1" applyFill="1"/>
    <xf numFmtId="2" fontId="7" fillId="3" borderId="0" xfId="1" applyNumberFormat="1" applyFill="1"/>
    <xf numFmtId="166" fontId="0" fillId="0" borderId="0" xfId="1" applyNumberFormat="1" applyFont="1"/>
    <xf numFmtId="0" fontId="17" fillId="0" borderId="0" xfId="0" applyFont="1" applyAlignment="1">
      <alignment vertical="top" wrapText="1"/>
    </xf>
    <xf numFmtId="9" fontId="18" fillId="0" borderId="0" xfId="1" applyFont="1" applyAlignment="1">
      <alignment horizontal="center" vertical="top" wrapText="1"/>
    </xf>
    <xf numFmtId="164" fontId="18" fillId="0" borderId="0" xfId="1" applyNumberFormat="1" applyFont="1" applyAlignment="1">
      <alignment horizontal="center" vertical="top" wrapText="1"/>
    </xf>
    <xf numFmtId="9" fontId="36" fillId="0" borderId="0" xfId="1" applyFont="1" applyAlignment="1">
      <alignment horizontal="center" vertical="top" wrapText="1"/>
    </xf>
    <xf numFmtId="1" fontId="18" fillId="3" borderId="0" xfId="0" applyNumberFormat="1" applyFont="1" applyFill="1" applyAlignment="1">
      <alignment horizontal="center" vertical="top" wrapText="1"/>
    </xf>
    <xf numFmtId="164" fontId="35" fillId="0" borderId="0" xfId="1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2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4" fontId="2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25" fillId="0" borderId="0" xfId="0" applyFont="1" applyAlignment="1">
      <alignment horizontal="left" vertical="top"/>
    </xf>
    <xf numFmtId="0" fontId="33" fillId="0" borderId="0" xfId="0" applyFont="1" applyAlignment="1">
      <alignment vertical="top" wrapText="1"/>
    </xf>
    <xf numFmtId="0" fontId="32" fillId="0" borderId="0" xfId="0" applyFont="1" applyAlignment="1">
      <alignment horizontal="left"/>
    </xf>
    <xf numFmtId="0" fontId="17" fillId="0" borderId="0" xfId="0" applyFont="1" applyAlignment="1">
      <alignment horizontal="center" vertical="top" wrapText="1"/>
    </xf>
    <xf numFmtId="0" fontId="20" fillId="0" borderId="0" xfId="0" applyFont="1" applyAlignment="1">
      <alignment horizontal="left" vertical="top"/>
    </xf>
    <xf numFmtId="9" fontId="33" fillId="0" borderId="0" xfId="0" applyNumberFormat="1" applyFont="1" applyAlignment="1">
      <alignment vertical="top" wrapText="1"/>
    </xf>
    <xf numFmtId="0" fontId="17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17" fillId="0" borderId="0" xfId="0" applyFont="1" applyAlignment="1">
      <alignment vertical="top"/>
    </xf>
    <xf numFmtId="0" fontId="19" fillId="0" borderId="0" xfId="0" applyFont="1" applyAlignment="1">
      <alignment horizontal="left" vertical="top"/>
    </xf>
    <xf numFmtId="9" fontId="23" fillId="0" borderId="0" xfId="1" applyFont="1" applyAlignment="1">
      <alignment horizontal="center"/>
    </xf>
    <xf numFmtId="9" fontId="0" fillId="0" borderId="0" xfId="1" applyFont="1" applyAlignment="1">
      <alignment horizontal="center"/>
    </xf>
    <xf numFmtId="3" fontId="17" fillId="0" borderId="0" xfId="0" applyNumberFormat="1" applyFont="1" applyAlignment="1">
      <alignment vertical="top" wrapText="1"/>
    </xf>
    <xf numFmtId="164" fontId="35" fillId="3" borderId="0" xfId="1" applyNumberFormat="1" applyFont="1" applyFill="1" applyAlignment="1">
      <alignment horizontal="center" vertical="top" wrapText="1"/>
    </xf>
    <xf numFmtId="0" fontId="9" fillId="0" borderId="12" xfId="0" applyFont="1" applyBorder="1"/>
    <xf numFmtId="0" fontId="9" fillId="0" borderId="14" xfId="0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3" fontId="0" fillId="0" borderId="1" xfId="0" applyNumberFormat="1" applyBorder="1"/>
    <xf numFmtId="166" fontId="8" fillId="0" borderId="1" xfId="0" applyNumberFormat="1" applyFont="1" applyBorder="1"/>
    <xf numFmtId="2" fontId="0" fillId="0" borderId="1" xfId="0" applyNumberFormat="1" applyBorder="1"/>
    <xf numFmtId="3" fontId="8" fillId="0" borderId="1" xfId="0" applyNumberFormat="1" applyFont="1" applyBorder="1"/>
    <xf numFmtId="2" fontId="8" fillId="0" borderId="1" xfId="0" applyNumberFormat="1" applyFont="1" applyBorder="1"/>
    <xf numFmtId="166" fontId="0" fillId="0" borderId="1" xfId="0" applyNumberFormat="1" applyBorder="1"/>
    <xf numFmtId="166" fontId="0" fillId="10" borderId="0" xfId="0" applyNumberFormat="1" applyFill="1"/>
    <xf numFmtId="2" fontId="7" fillId="0" borderId="0" xfId="1" applyNumberFormat="1"/>
    <xf numFmtId="166" fontId="7" fillId="0" borderId="0" xfId="1" applyNumberFormat="1"/>
    <xf numFmtId="165" fontId="0" fillId="0" borderId="0" xfId="1" applyNumberFormat="1" applyFont="1"/>
    <xf numFmtId="3" fontId="7" fillId="0" borderId="0" xfId="1" applyNumberFormat="1"/>
    <xf numFmtId="164" fontId="9" fillId="0" borderId="14" xfId="0" applyNumberFormat="1" applyFont="1" applyBorder="1" applyAlignment="1">
      <alignment horizontal="center"/>
    </xf>
    <xf numFmtId="164" fontId="0" fillId="0" borderId="0" xfId="0" applyNumberFormat="1" applyAlignment="1">
      <alignment horizontal="center" vertical="center"/>
    </xf>
    <xf numFmtId="164" fontId="0" fillId="0" borderId="1" xfId="0" quotePrefix="1" applyNumberFormat="1" applyBorder="1" applyAlignment="1">
      <alignment horizontal="center"/>
    </xf>
    <xf numFmtId="164" fontId="2" fillId="0" borderId="14" xfId="0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165" fontId="7" fillId="0" borderId="0" xfId="1" applyNumberFormat="1"/>
    <xf numFmtId="3" fontId="7" fillId="0" borderId="30" xfId="1" applyNumberFormat="1" applyBorder="1"/>
    <xf numFmtId="3" fontId="0" fillId="22" borderId="0" xfId="0" applyNumberFormat="1" applyFill="1"/>
    <xf numFmtId="3" fontId="0" fillId="0" borderId="3" xfId="0" applyNumberFormat="1" applyBorder="1" applyAlignment="1">
      <alignment horizontal="right"/>
    </xf>
    <xf numFmtId="3" fontId="0" fillId="0" borderId="4" xfId="0" applyNumberForma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3" fontId="9" fillId="0" borderId="13" xfId="0" applyNumberFormat="1" applyFont="1" applyBorder="1" applyAlignment="1">
      <alignment horizontal="center"/>
    </xf>
    <xf numFmtId="3" fontId="2" fillId="0" borderId="5" xfId="0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0" fontId="43" fillId="8" borderId="0" xfId="0" applyFont="1" applyFill="1"/>
    <xf numFmtId="0" fontId="5" fillId="23" borderId="0" xfId="0" applyFont="1" applyFill="1" applyAlignment="1">
      <alignment vertical="center"/>
    </xf>
    <xf numFmtId="0" fontId="43" fillId="23" borderId="0" xfId="0" applyFont="1" applyFill="1" applyAlignment="1">
      <alignment vertical="center"/>
    </xf>
    <xf numFmtId="0" fontId="5" fillId="23" borderId="0" xfId="0" applyFont="1" applyFill="1" applyAlignment="1">
      <alignment horizontal="right" vertical="center"/>
    </xf>
    <xf numFmtId="0" fontId="13" fillId="23" borderId="0" xfId="0" applyFont="1" applyFill="1" applyAlignment="1">
      <alignment vertical="center"/>
    </xf>
    <xf numFmtId="0" fontId="5" fillId="23" borderId="0" xfId="0" applyFont="1" applyFill="1" applyAlignment="1">
      <alignment horizontal="left" vertical="center"/>
    </xf>
    <xf numFmtId="0" fontId="43" fillId="23" borderId="0" xfId="0" applyFont="1" applyFill="1"/>
    <xf numFmtId="0" fontId="2" fillId="24" borderId="12" xfId="0" applyFont="1" applyFill="1" applyBorder="1"/>
    <xf numFmtId="0" fontId="0" fillId="24" borderId="13" xfId="0" applyFill="1" applyBorder="1"/>
    <xf numFmtId="0" fontId="2" fillId="7" borderId="3" xfId="0" applyFont="1" applyFill="1" applyBorder="1" applyAlignment="1">
      <alignment horizontal="center"/>
    </xf>
    <xf numFmtId="0" fontId="2" fillId="7" borderId="14" xfId="0" quotePrefix="1" applyFont="1" applyFill="1" applyBorder="1" applyAlignment="1">
      <alignment horizontal="centerContinuous"/>
    </xf>
    <xf numFmtId="0" fontId="2" fillId="7" borderId="14" xfId="0" applyFont="1" applyFill="1" applyBorder="1" applyAlignment="1">
      <alignment horizontal="centerContinuous"/>
    </xf>
    <xf numFmtId="0" fontId="2" fillId="7" borderId="13" xfId="0" applyFont="1" applyFill="1" applyBorder="1" applyAlignment="1">
      <alignment horizontal="centerContinuous"/>
    </xf>
    <xf numFmtId="0" fontId="2" fillId="7" borderId="2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4" fillId="25" borderId="3" xfId="0" applyFont="1" applyFill="1" applyBorder="1" applyAlignment="1">
      <alignment horizontal="centerContinuous"/>
    </xf>
    <xf numFmtId="0" fontId="0" fillId="25" borderId="5" xfId="0" applyFill="1" applyBorder="1" applyAlignment="1">
      <alignment horizontal="centerContinuous"/>
    </xf>
    <xf numFmtId="0" fontId="4" fillId="25" borderId="4" xfId="0" applyFont="1" applyFill="1" applyBorder="1" applyAlignment="1">
      <alignment horizontal="centerContinuous"/>
    </xf>
    <xf numFmtId="0" fontId="2" fillId="25" borderId="4" xfId="0" applyFont="1" applyFill="1" applyBorder="1" applyAlignment="1">
      <alignment horizontal="centerContinuous"/>
    </xf>
    <xf numFmtId="0" fontId="2" fillId="25" borderId="5" xfId="0" applyFont="1" applyFill="1" applyBorder="1" applyAlignment="1">
      <alignment horizontal="centerContinuous"/>
    </xf>
    <xf numFmtId="0" fontId="2" fillId="25" borderId="7" xfId="0" applyFont="1" applyFill="1" applyBorder="1" applyAlignment="1">
      <alignment horizontal="center" vertical="center"/>
    </xf>
    <xf numFmtId="0" fontId="2" fillId="25" borderId="8" xfId="0" applyFont="1" applyFill="1" applyBorder="1" applyAlignment="1">
      <alignment horizontal="center" vertical="center"/>
    </xf>
    <xf numFmtId="0" fontId="2" fillId="25" borderId="0" xfId="0" applyFont="1" applyFill="1" applyAlignment="1">
      <alignment horizontal="center" vertical="center"/>
    </xf>
    <xf numFmtId="0" fontId="2" fillId="25" borderId="12" xfId="0" applyFont="1" applyFill="1" applyBorder="1" applyAlignment="1">
      <alignment horizontal="center" vertical="center"/>
    </xf>
    <xf numFmtId="0" fontId="2" fillId="25" borderId="5" xfId="0" applyFont="1" applyFill="1" applyBorder="1" applyAlignment="1">
      <alignment horizontal="center" vertical="center"/>
    </xf>
    <xf numFmtId="0" fontId="2" fillId="25" borderId="12" xfId="0" applyFont="1" applyFill="1" applyBorder="1" applyAlignment="1">
      <alignment horizontal="centerContinuous"/>
    </xf>
    <xf numFmtId="0" fontId="0" fillId="25" borderId="14" xfId="0" applyFill="1" applyBorder="1" applyAlignment="1">
      <alignment horizontal="centerContinuous"/>
    </xf>
    <xf numFmtId="3" fontId="2" fillId="25" borderId="12" xfId="0" applyNumberFormat="1" applyFont="1" applyFill="1" applyBorder="1" applyAlignment="1">
      <alignment horizontal="right"/>
    </xf>
    <xf numFmtId="3" fontId="2" fillId="25" borderId="13" xfId="0" applyNumberFormat="1" applyFont="1" applyFill="1" applyBorder="1" applyAlignment="1">
      <alignment horizontal="right"/>
    </xf>
    <xf numFmtId="3" fontId="2" fillId="25" borderId="14" xfId="0" applyNumberFormat="1" applyFont="1" applyFill="1" applyBorder="1" applyAlignment="1">
      <alignment horizontal="right"/>
    </xf>
    <xf numFmtId="0" fontId="48" fillId="8" borderId="12" xfId="0" applyFont="1" applyFill="1" applyBorder="1" applyAlignment="1">
      <alignment horizontal="center"/>
    </xf>
    <xf numFmtId="9" fontId="48" fillId="8" borderId="13" xfId="0" applyNumberFormat="1" applyFont="1" applyFill="1" applyBorder="1" applyAlignment="1">
      <alignment horizontal="center"/>
    </xf>
    <xf numFmtId="167" fontId="48" fillId="8" borderId="14" xfId="0" applyNumberFormat="1" applyFont="1" applyFill="1" applyBorder="1" applyAlignment="1">
      <alignment horizontal="center"/>
    </xf>
    <xf numFmtId="0" fontId="48" fillId="8" borderId="13" xfId="0" applyFont="1" applyFill="1" applyBorder="1"/>
    <xf numFmtId="3" fontId="0" fillId="0" borderId="0" xfId="0" applyNumberFormat="1" applyFont="1" applyAlignment="1">
      <alignment horizontal="center"/>
    </xf>
    <xf numFmtId="1" fontId="18" fillId="0" borderId="0" xfId="0" applyNumberFormat="1" applyFont="1" applyFill="1" applyAlignment="1">
      <alignment horizontal="right" vertical="top" wrapText="1" indent="2"/>
    </xf>
    <xf numFmtId="3" fontId="18" fillId="0" borderId="0" xfId="0" applyNumberFormat="1" applyFont="1" applyFill="1" applyAlignment="1">
      <alignment horizontal="center" vertical="top" wrapText="1"/>
    </xf>
    <xf numFmtId="1" fontId="18" fillId="0" borderId="0" xfId="0" applyNumberFormat="1" applyFont="1" applyFill="1" applyAlignment="1">
      <alignment horizontal="center" vertical="top" wrapText="1"/>
    </xf>
    <xf numFmtId="9" fontId="35" fillId="0" borderId="0" xfId="1" applyFont="1" applyFill="1" applyAlignment="1">
      <alignment horizontal="center" vertical="top" wrapText="1"/>
    </xf>
    <xf numFmtId="9" fontId="18" fillId="0" borderId="0" xfId="1" applyFont="1" applyFill="1" applyAlignment="1">
      <alignment horizontal="center" vertical="top" wrapText="1"/>
    </xf>
    <xf numFmtId="3" fontId="17" fillId="0" borderId="0" xfId="0" applyNumberFormat="1" applyFont="1" applyFill="1" applyAlignment="1">
      <alignment vertical="top" wrapText="1"/>
    </xf>
    <xf numFmtId="0" fontId="0" fillId="0" borderId="0" xfId="0" applyFill="1"/>
    <xf numFmtId="3" fontId="0" fillId="0" borderId="0" xfId="0" applyNumberFormat="1" applyFill="1"/>
    <xf numFmtId="0" fontId="0" fillId="0" borderId="0" xfId="0" applyFill="1" applyAlignment="1">
      <alignment horizontal="center"/>
    </xf>
    <xf numFmtId="10" fontId="49" fillId="0" borderId="0" xfId="1" applyNumberFormat="1" applyFont="1" applyAlignment="1">
      <alignment vertical="top" wrapText="1"/>
    </xf>
    <xf numFmtId="3" fontId="2" fillId="8" borderId="0" xfId="0" applyNumberFormat="1" applyFont="1" applyFill="1"/>
    <xf numFmtId="0" fontId="52" fillId="0" borderId="38" xfId="0" applyFont="1" applyBorder="1" applyAlignment="1">
      <alignment horizontal="center" vertical="center" wrapText="1"/>
    </xf>
    <xf numFmtId="0" fontId="52" fillId="0" borderId="39" xfId="0" applyFont="1" applyBorder="1" applyAlignment="1">
      <alignment horizontal="center" vertical="center" wrapText="1"/>
    </xf>
    <xf numFmtId="0" fontId="55" fillId="0" borderId="40" xfId="0" applyFont="1" applyBorder="1" applyAlignment="1">
      <alignment horizontal="center" vertical="center" wrapText="1"/>
    </xf>
    <xf numFmtId="0" fontId="55" fillId="0" borderId="39" xfId="0" applyFont="1" applyBorder="1" applyAlignment="1">
      <alignment horizontal="center" vertical="center" wrapText="1"/>
    </xf>
    <xf numFmtId="0" fontId="55" fillId="0" borderId="34" xfId="0" applyFont="1" applyBorder="1" applyAlignment="1">
      <alignment horizontal="center" vertical="center" wrapText="1"/>
    </xf>
    <xf numFmtId="0" fontId="55" fillId="0" borderId="38" xfId="0" applyFont="1" applyBorder="1" applyAlignment="1">
      <alignment horizontal="center" vertical="center" wrapText="1"/>
    </xf>
    <xf numFmtId="3" fontId="55" fillId="0" borderId="38" xfId="0" applyNumberFormat="1" applyFont="1" applyBorder="1" applyAlignment="1">
      <alignment horizontal="center" vertical="center" wrapText="1"/>
    </xf>
    <xf numFmtId="0" fontId="55" fillId="0" borderId="41" xfId="0" applyFont="1" applyBorder="1" applyAlignment="1">
      <alignment horizontal="center" vertical="center" wrapText="1"/>
    </xf>
    <xf numFmtId="0" fontId="55" fillId="0" borderId="36" xfId="0" applyFont="1" applyBorder="1" applyAlignment="1">
      <alignment horizontal="center" vertical="center" wrapText="1"/>
    </xf>
    <xf numFmtId="0" fontId="56" fillId="0" borderId="38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3" fontId="55" fillId="0" borderId="41" xfId="0" applyNumberFormat="1" applyFont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52" fillId="0" borderId="41" xfId="0" applyFont="1" applyBorder="1" applyAlignment="1">
      <alignment horizontal="center" vertical="center" wrapText="1"/>
    </xf>
    <xf numFmtId="0" fontId="52" fillId="0" borderId="3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3" fontId="0" fillId="0" borderId="0" xfId="0" quotePrefix="1" applyNumberFormat="1" applyFont="1" applyAlignment="1">
      <alignment horizontal="right"/>
    </xf>
    <xf numFmtId="0" fontId="0" fillId="0" borderId="0" xfId="0" applyFont="1" applyAlignment="1">
      <alignment horizontal="center"/>
    </xf>
    <xf numFmtId="3" fontId="0" fillId="0" borderId="8" xfId="0" applyNumberFormat="1" applyFont="1" applyBorder="1" applyAlignment="1">
      <alignment horizontal="center"/>
    </xf>
    <xf numFmtId="3" fontId="2" fillId="3" borderId="14" xfId="0" applyNumberFormat="1" applyFont="1" applyFill="1" applyBorder="1"/>
    <xf numFmtId="3" fontId="2" fillId="3" borderId="13" xfId="0" applyNumberFormat="1" applyFont="1" applyFill="1" applyBorder="1" applyAlignment="1">
      <alignment horizontal="center"/>
    </xf>
    <xf numFmtId="3" fontId="2" fillId="3" borderId="14" xfId="0" applyNumberFormat="1" applyFont="1" applyFill="1" applyBorder="1" applyAlignment="1">
      <alignment horizontal="center"/>
    </xf>
    <xf numFmtId="0" fontId="8" fillId="0" borderId="0" xfId="0" applyFont="1" applyBorder="1"/>
    <xf numFmtId="3" fontId="0" fillId="0" borderId="0" xfId="0" quotePrefix="1" applyNumberFormat="1" applyFont="1" applyBorder="1" applyAlignment="1">
      <alignment horizontal="right"/>
    </xf>
    <xf numFmtId="0" fontId="0" fillId="0" borderId="0" xfId="0" applyFont="1" applyBorder="1" applyAlignment="1">
      <alignment horizontal="center"/>
    </xf>
    <xf numFmtId="3" fontId="8" fillId="0" borderId="0" xfId="0" applyNumberFormat="1" applyFont="1" applyBorder="1" applyAlignment="1">
      <alignment horizontal="center"/>
    </xf>
    <xf numFmtId="0" fontId="0" fillId="3" borderId="4" xfId="0" applyFill="1" applyBorder="1" applyAlignment="1">
      <alignment horizontal="centerContinuous"/>
    </xf>
    <xf numFmtId="3" fontId="0" fillId="0" borderId="8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1" borderId="3" xfId="0" applyFont="1" applyFill="1" applyBorder="1" applyAlignment="1">
      <alignment horizontal="center" vertical="center"/>
    </xf>
    <xf numFmtId="0" fontId="0" fillId="21" borderId="4" xfId="0" applyFill="1" applyBorder="1" applyAlignment="1">
      <alignment horizontal="center" vertical="center"/>
    </xf>
    <xf numFmtId="0" fontId="0" fillId="21" borderId="2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10" xfId="0" applyFont="1" applyBorder="1" applyAlignment="1">
      <alignment horizontal="center" vertical="center" textRotation="90" wrapText="1"/>
    </xf>
    <xf numFmtId="0" fontId="2" fillId="0" borderId="11" xfId="0" applyFont="1" applyBorder="1" applyAlignment="1">
      <alignment horizontal="center" vertical="center" textRotation="90" wrapText="1"/>
    </xf>
    <xf numFmtId="164" fontId="0" fillId="0" borderId="4" xfId="0" quotePrefix="1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textRotation="90" wrapText="1"/>
    </xf>
    <xf numFmtId="0" fontId="0" fillId="0" borderId="0" xfId="0"/>
    <xf numFmtId="0" fontId="2" fillId="0" borderId="0" xfId="0" applyFont="1" applyAlignment="1">
      <alignment horizontal="center" vertical="center" textRotation="90" wrapText="1"/>
    </xf>
    <xf numFmtId="0" fontId="24" fillId="12" borderId="20" xfId="0" applyFont="1" applyFill="1" applyBorder="1" applyAlignment="1">
      <alignment horizontal="center" vertical="top" wrapText="1"/>
    </xf>
    <xf numFmtId="0" fontId="24" fillId="12" borderId="23" xfId="0" applyFont="1" applyFill="1" applyBorder="1" applyAlignment="1">
      <alignment horizontal="center" vertical="top" wrapText="1"/>
    </xf>
    <xf numFmtId="0" fontId="24" fillId="12" borderId="20" xfId="0" applyFont="1" applyFill="1" applyBorder="1" applyAlignment="1">
      <alignment horizontal="left" vertical="top" wrapText="1" indent="2"/>
    </xf>
    <xf numFmtId="0" fontId="24" fillId="12" borderId="23" xfId="0" applyFont="1" applyFill="1" applyBorder="1" applyAlignment="1">
      <alignment horizontal="left" vertical="top" wrapText="1" indent="2"/>
    </xf>
    <xf numFmtId="0" fontId="24" fillId="12" borderId="20" xfId="0" applyFont="1" applyFill="1" applyBorder="1" applyAlignment="1">
      <alignment horizontal="left" vertical="top" wrapText="1" indent="1"/>
    </xf>
    <xf numFmtId="0" fontId="24" fillId="12" borderId="23" xfId="0" applyFont="1" applyFill="1" applyBorder="1" applyAlignment="1">
      <alignment horizontal="left" vertical="top" wrapText="1" indent="1"/>
    </xf>
    <xf numFmtId="0" fontId="30" fillId="15" borderId="16" xfId="0" applyFont="1" applyFill="1" applyBorder="1" applyAlignment="1">
      <alignment horizontal="left" vertical="top" wrapText="1"/>
    </xf>
    <xf numFmtId="0" fontId="30" fillId="15" borderId="17" xfId="0" applyFont="1" applyFill="1" applyBorder="1" applyAlignment="1">
      <alignment horizontal="left" vertical="top" wrapText="1"/>
    </xf>
    <xf numFmtId="0" fontId="24" fillId="15" borderId="20" xfId="0" applyFont="1" applyFill="1" applyBorder="1" applyAlignment="1">
      <alignment horizontal="left" vertical="top" wrapText="1" indent="1"/>
    </xf>
    <xf numFmtId="0" fontId="24" fillId="15" borderId="23" xfId="0" applyFont="1" applyFill="1" applyBorder="1" applyAlignment="1">
      <alignment horizontal="left" vertical="top" wrapText="1" indent="1"/>
    </xf>
    <xf numFmtId="0" fontId="24" fillId="15" borderId="19" xfId="0" applyFont="1" applyFill="1" applyBorder="1" applyAlignment="1">
      <alignment horizontal="left" vertical="top" wrapText="1" indent="1"/>
    </xf>
    <xf numFmtId="0" fontId="24" fillId="14" borderId="28" xfId="0" applyFont="1" applyFill="1" applyBorder="1" applyAlignment="1">
      <alignment horizontal="left" wrapText="1" indent="1"/>
    </xf>
    <xf numFmtId="0" fontId="24" fillId="14" borderId="26" xfId="0" applyFont="1" applyFill="1" applyBorder="1" applyAlignment="1">
      <alignment horizontal="left" wrapText="1" indent="1"/>
    </xf>
    <xf numFmtId="0" fontId="24" fillId="14" borderId="27" xfId="0" applyFont="1" applyFill="1" applyBorder="1" applyAlignment="1">
      <alignment horizontal="left" wrapText="1" indent="1"/>
    </xf>
    <xf numFmtId="0" fontId="24" fillId="15" borderId="16" xfId="0" applyFont="1" applyFill="1" applyBorder="1" applyAlignment="1">
      <alignment horizontal="center" vertical="top" wrapText="1"/>
    </xf>
    <xf numFmtId="0" fontId="24" fillId="15" borderId="18" xfId="0" applyFont="1" applyFill="1" applyBorder="1" applyAlignment="1">
      <alignment horizontal="center" vertical="top" wrapText="1"/>
    </xf>
    <xf numFmtId="0" fontId="24" fillId="15" borderId="17" xfId="0" applyFont="1" applyFill="1" applyBorder="1" applyAlignment="1">
      <alignment horizontal="center" vertical="top" wrapText="1"/>
    </xf>
    <xf numFmtId="0" fontId="30" fillId="15" borderId="16" xfId="0" applyFont="1" applyFill="1" applyBorder="1" applyAlignment="1">
      <alignment horizontal="center" vertical="top" wrapText="1"/>
    </xf>
    <xf numFmtId="0" fontId="30" fillId="15" borderId="18" xfId="0" applyFont="1" applyFill="1" applyBorder="1" applyAlignment="1">
      <alignment horizontal="center" vertical="top" wrapText="1"/>
    </xf>
    <xf numFmtId="0" fontId="30" fillId="15" borderId="17" xfId="0" applyFont="1" applyFill="1" applyBorder="1" applyAlignment="1">
      <alignment horizontal="center" vertical="top" wrapText="1"/>
    </xf>
    <xf numFmtId="0" fontId="24" fillId="12" borderId="19" xfId="0" applyFont="1" applyFill="1" applyBorder="1" applyAlignment="1">
      <alignment horizontal="left" vertical="top" wrapText="1" indent="2"/>
    </xf>
    <xf numFmtId="0" fontId="24" fillId="12" borderId="26" xfId="0" applyFont="1" applyFill="1" applyBorder="1" applyAlignment="1">
      <alignment horizontal="left" wrapText="1" indent="1"/>
    </xf>
    <xf numFmtId="0" fontId="24" fillId="12" borderId="27" xfId="0" applyFont="1" applyFill="1" applyBorder="1" applyAlignment="1">
      <alignment horizontal="left" wrapText="1" indent="1"/>
    </xf>
    <xf numFmtId="0" fontId="24" fillId="15" borderId="20" xfId="0" applyFont="1" applyFill="1" applyBorder="1" applyAlignment="1">
      <alignment horizontal="left" vertical="top" wrapText="1"/>
    </xf>
    <xf numFmtId="0" fontId="24" fillId="15" borderId="23" xfId="0" applyFont="1" applyFill="1" applyBorder="1" applyAlignment="1">
      <alignment horizontal="left" vertical="top" wrapText="1"/>
    </xf>
    <xf numFmtId="0" fontId="24" fillId="0" borderId="15" xfId="0" applyFont="1" applyBorder="1" applyAlignment="1">
      <alignment horizontal="left" vertical="top" wrapText="1" indent="1"/>
    </xf>
    <xf numFmtId="0" fontId="24" fillId="0" borderId="0" xfId="0" applyFont="1" applyAlignment="1">
      <alignment horizontal="left" vertical="top" wrapText="1" indent="1"/>
    </xf>
    <xf numFmtId="0" fontId="30" fillId="15" borderId="28" xfId="0" applyFont="1" applyFill="1" applyBorder="1" applyAlignment="1">
      <alignment horizontal="left" vertical="center" wrapText="1"/>
    </xf>
    <xf numFmtId="0" fontId="30" fillId="15" borderId="27" xfId="0" applyFont="1" applyFill="1" applyBorder="1" applyAlignment="1">
      <alignment horizontal="left" vertical="center" wrapText="1"/>
    </xf>
    <xf numFmtId="0" fontId="30" fillId="15" borderId="20" xfId="0" applyFont="1" applyFill="1" applyBorder="1" applyAlignment="1">
      <alignment horizontal="left" vertical="top" wrapText="1" indent="1"/>
    </xf>
    <xf numFmtId="0" fontId="30" fillId="15" borderId="19" xfId="0" applyFont="1" applyFill="1" applyBorder="1" applyAlignment="1">
      <alignment horizontal="left" vertical="top" wrapText="1" indent="1"/>
    </xf>
    <xf numFmtId="0" fontId="30" fillId="15" borderId="23" xfId="0" applyFont="1" applyFill="1" applyBorder="1" applyAlignment="1">
      <alignment horizontal="left" vertical="top" wrapText="1" indent="1"/>
    </xf>
    <xf numFmtId="0" fontId="30" fillId="0" borderId="0" xfId="0" applyFont="1" applyAlignment="1">
      <alignment horizontal="center" vertical="top"/>
    </xf>
    <xf numFmtId="0" fontId="27" fillId="15" borderId="20" xfId="0" applyFont="1" applyFill="1" applyBorder="1" applyAlignment="1">
      <alignment horizontal="left" vertical="top" wrapText="1" indent="1"/>
    </xf>
    <xf numFmtId="0" fontId="27" fillId="15" borderId="19" xfId="0" applyFont="1" applyFill="1" applyBorder="1" applyAlignment="1">
      <alignment horizontal="left" vertical="top" wrapText="1" indent="1"/>
    </xf>
    <xf numFmtId="0" fontId="27" fillId="15" borderId="23" xfId="0" applyFont="1" applyFill="1" applyBorder="1" applyAlignment="1">
      <alignment horizontal="left" vertical="top" wrapText="1" indent="1"/>
    </xf>
    <xf numFmtId="0" fontId="55" fillId="0" borderId="52" xfId="0" applyFont="1" applyBorder="1" applyAlignment="1">
      <alignment horizontal="center" vertical="center" wrapText="1"/>
    </xf>
    <xf numFmtId="0" fontId="55" fillId="0" borderId="46" xfId="0" applyFont="1" applyBorder="1" applyAlignment="1">
      <alignment horizontal="center" vertical="center" wrapText="1"/>
    </xf>
    <xf numFmtId="0" fontId="57" fillId="0" borderId="59" xfId="0" applyFont="1" applyBorder="1" applyAlignment="1">
      <alignment vertical="center" wrapText="1"/>
    </xf>
    <xf numFmtId="0" fontId="57" fillId="0" borderId="0" xfId="0" applyFont="1" applyAlignment="1">
      <alignment vertical="center" wrapText="1"/>
    </xf>
    <xf numFmtId="3" fontId="55" fillId="0" borderId="52" xfId="0" applyNumberFormat="1" applyFont="1" applyBorder="1" applyAlignment="1">
      <alignment horizontal="center" vertical="center" wrapText="1"/>
    </xf>
    <xf numFmtId="3" fontId="55" fillId="0" borderId="56" xfId="0" applyNumberFormat="1" applyFont="1" applyBorder="1" applyAlignment="1">
      <alignment horizontal="center" vertical="center" wrapText="1"/>
    </xf>
    <xf numFmtId="3" fontId="55" fillId="0" borderId="68" xfId="0" applyNumberFormat="1" applyFont="1" applyBorder="1" applyAlignment="1">
      <alignment horizontal="center" vertical="center" wrapText="1"/>
    </xf>
    <xf numFmtId="0" fontId="55" fillId="0" borderId="56" xfId="0" applyFont="1" applyBorder="1" applyAlignment="1">
      <alignment horizontal="center" vertical="center" wrapText="1"/>
    </xf>
    <xf numFmtId="0" fontId="55" fillId="0" borderId="68" xfId="0" applyFont="1" applyBorder="1" applyAlignment="1">
      <alignment horizontal="center" vertical="center" wrapText="1"/>
    </xf>
    <xf numFmtId="0" fontId="55" fillId="0" borderId="62" xfId="0" applyFont="1" applyBorder="1" applyAlignment="1">
      <alignment horizontal="center" vertical="center" wrapText="1"/>
    </xf>
    <xf numFmtId="0" fontId="55" fillId="0" borderId="63" xfId="0" applyFont="1" applyBorder="1" applyAlignment="1">
      <alignment horizontal="center" vertical="center" wrapText="1"/>
    </xf>
    <xf numFmtId="0" fontId="55" fillId="0" borderId="64" xfId="0" applyFont="1" applyBorder="1" applyAlignment="1">
      <alignment horizontal="center" vertical="center" wrapText="1"/>
    </xf>
    <xf numFmtId="0" fontId="55" fillId="0" borderId="33" xfId="0" applyFont="1" applyBorder="1" applyAlignment="1">
      <alignment horizontal="center" vertical="center" wrapText="1"/>
    </xf>
    <xf numFmtId="0" fontId="55" fillId="0" borderId="48" xfId="0" applyFont="1" applyBorder="1" applyAlignment="1">
      <alignment horizontal="center" vertical="center" wrapText="1"/>
    </xf>
    <xf numFmtId="0" fontId="55" fillId="0" borderId="65" xfId="0" applyFont="1" applyBorder="1" applyAlignment="1">
      <alignment horizontal="center" vertical="center" wrapText="1"/>
    </xf>
    <xf numFmtId="0" fontId="55" fillId="0" borderId="47" xfId="0" applyFont="1" applyBorder="1" applyAlignment="1">
      <alignment horizontal="center" vertical="center" wrapText="1"/>
    </xf>
    <xf numFmtId="0" fontId="55" fillId="0" borderId="35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 wrapText="1"/>
    </xf>
    <xf numFmtId="0" fontId="55" fillId="0" borderId="55" xfId="0" applyFont="1" applyBorder="1" applyAlignment="1">
      <alignment horizontal="center" vertical="center" wrapText="1"/>
    </xf>
    <xf numFmtId="0" fontId="55" fillId="0" borderId="44" xfId="0" applyFont="1" applyBorder="1" applyAlignment="1">
      <alignment horizontal="center" vertical="center" wrapText="1"/>
    </xf>
    <xf numFmtId="3" fontId="55" fillId="0" borderId="46" xfId="0" applyNumberFormat="1" applyFont="1" applyBorder="1" applyAlignment="1">
      <alignment horizontal="center" vertical="center" wrapText="1"/>
    </xf>
    <xf numFmtId="0" fontId="55" fillId="0" borderId="34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/>
    </xf>
    <xf numFmtId="0" fontId="55" fillId="27" borderId="58" xfId="0" applyFont="1" applyFill="1" applyBorder="1" applyAlignment="1">
      <alignment horizontal="center" vertical="center" wrapText="1"/>
    </xf>
    <xf numFmtId="0" fontId="55" fillId="27" borderId="59" xfId="0" applyFont="1" applyFill="1" applyBorder="1" applyAlignment="1">
      <alignment horizontal="center" vertical="center" wrapText="1"/>
    </xf>
    <xf numFmtId="0" fontId="55" fillId="27" borderId="60" xfId="0" applyFont="1" applyFill="1" applyBorder="1" applyAlignment="1">
      <alignment horizontal="center" vertical="center" wrapText="1"/>
    </xf>
    <xf numFmtId="0" fontId="55" fillId="27" borderId="61" xfId="0" applyFont="1" applyFill="1" applyBorder="1" applyAlignment="1">
      <alignment horizontal="center" vertical="center" wrapText="1"/>
    </xf>
    <xf numFmtId="0" fontId="55" fillId="27" borderId="0" xfId="0" applyFont="1" applyFill="1" applyAlignment="1">
      <alignment horizontal="center" vertical="center" wrapText="1"/>
    </xf>
    <xf numFmtId="0" fontId="55" fillId="27" borderId="40" xfId="0" applyFont="1" applyFill="1" applyBorder="1" applyAlignment="1">
      <alignment horizontal="center" vertical="center" wrapText="1"/>
    </xf>
    <xf numFmtId="0" fontId="55" fillId="27" borderId="45" xfId="0" applyFont="1" applyFill="1" applyBorder="1" applyAlignment="1">
      <alignment horizontal="center" vertical="center" wrapText="1"/>
    </xf>
    <xf numFmtId="0" fontId="55" fillId="27" borderId="37" xfId="0" applyFont="1" applyFill="1" applyBorder="1" applyAlignment="1">
      <alignment horizontal="center" vertical="center" wrapText="1"/>
    </xf>
    <xf numFmtId="0" fontId="55" fillId="27" borderId="36" xfId="0" applyFont="1" applyFill="1" applyBorder="1" applyAlignment="1">
      <alignment horizontal="center" vertical="center" wrapText="1"/>
    </xf>
    <xf numFmtId="0" fontId="51" fillId="28" borderId="66" xfId="0" applyFont="1" applyFill="1" applyBorder="1" applyAlignment="1">
      <alignment vertical="center" wrapText="1"/>
    </xf>
    <xf numFmtId="0" fontId="51" fillId="28" borderId="67" xfId="0" applyFont="1" applyFill="1" applyBorder="1" applyAlignment="1">
      <alignment vertical="center" wrapText="1"/>
    </xf>
    <xf numFmtId="0" fontId="51" fillId="28" borderId="63" xfId="0" applyFont="1" applyFill="1" applyBorder="1" applyAlignment="1">
      <alignment vertical="center" wrapText="1"/>
    </xf>
    <xf numFmtId="0" fontId="55" fillId="0" borderId="53" xfId="0" applyFont="1" applyBorder="1" applyAlignment="1">
      <alignment horizontal="center" vertical="center" wrapText="1"/>
    </xf>
    <xf numFmtId="0" fontId="55" fillId="0" borderId="54" xfId="0" applyFont="1" applyBorder="1" applyAlignment="1">
      <alignment horizontal="center" vertical="center" wrapText="1"/>
    </xf>
    <xf numFmtId="0" fontId="55" fillId="0" borderId="57" xfId="0" applyFont="1" applyBorder="1" applyAlignment="1">
      <alignment horizontal="center" vertical="center" wrapText="1"/>
    </xf>
    <xf numFmtId="0" fontId="50" fillId="26" borderId="31" xfId="0" applyFont="1" applyFill="1" applyBorder="1" applyAlignment="1">
      <alignment vertical="center" wrapText="1"/>
    </xf>
    <xf numFmtId="0" fontId="50" fillId="26" borderId="32" xfId="0" applyFont="1" applyFill="1" applyBorder="1" applyAlignment="1">
      <alignment vertical="center" wrapText="1"/>
    </xf>
    <xf numFmtId="0" fontId="50" fillId="26" borderId="33" xfId="0" applyFont="1" applyFill="1" applyBorder="1" applyAlignment="1">
      <alignment vertical="center" wrapText="1"/>
    </xf>
    <xf numFmtId="0" fontId="52" fillId="0" borderId="47" xfId="0" applyFont="1" applyBorder="1" applyAlignment="1">
      <alignment horizontal="center" vertical="center" textRotation="180" wrapText="1"/>
    </xf>
    <xf numFmtId="0" fontId="52" fillId="0" borderId="34" xfId="0" applyFont="1" applyBorder="1" applyAlignment="1">
      <alignment horizontal="center" vertical="center" textRotation="180" wrapText="1"/>
    </xf>
    <xf numFmtId="0" fontId="52" fillId="0" borderId="48" xfId="0" applyFont="1" applyBorder="1" applyAlignment="1">
      <alignment horizontal="center" vertical="center" wrapText="1"/>
    </xf>
    <xf numFmtId="0" fontId="52" fillId="0" borderId="49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</cellXfs>
  <cellStyles count="4">
    <cellStyle name="Hyperlink" xfId="3" builtinId="8"/>
    <cellStyle name="Normal" xfId="0" builtinId="0"/>
    <cellStyle name="Normal 3" xfId="2" xr:uid="{00000000-0005-0000-0000-000001000000}"/>
    <cellStyle name="Percent" xfId="1" builtinId="5"/>
  </cellStyles>
  <dxfs count="0"/>
  <tableStyles count="0" defaultTableStyle="TableStyleMedium2" defaultPivotStyle="PivotStyleLight16"/>
  <colors>
    <mruColors>
      <color rgb="FFFFF2BD"/>
      <color rgb="FFFFE161"/>
      <color rgb="FFDAB000"/>
      <color rgb="FFFFD319"/>
      <color rgb="FFA68800"/>
      <color rgb="FF745E00"/>
      <color rgb="FF8A7000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</a:rPr>
              <a:t>Current Fishery Distribution </a:t>
            </a:r>
            <a:r>
              <a:rPr lang="en-US" sz="1400" b="1" baseline="0">
                <a:solidFill>
                  <a:schemeClr val="tx1"/>
                </a:solidFill>
              </a:rPr>
              <a:t>of Wild/Natural Impacts </a:t>
            </a:r>
          </a:p>
          <a:p>
            <a:pPr>
              <a:defRPr b="1">
                <a:solidFill>
                  <a:schemeClr val="tx1"/>
                </a:solidFill>
              </a:defRPr>
            </a:pPr>
            <a:r>
              <a:rPr lang="en-US" sz="1400" b="1" baseline="0">
                <a:solidFill>
                  <a:schemeClr val="tx1"/>
                </a:solidFill>
              </a:rPr>
              <a:t>(vs. ocean abundance)</a:t>
            </a:r>
            <a:endParaRPr lang="en-US" sz="14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5103457889507521"/>
          <c:y val="2.3768601926868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86851482007288"/>
          <c:y val="0.17940337277245488"/>
          <c:w val="0.45095332528321763"/>
          <c:h val="0.73498999083302319"/>
        </c:manualLayout>
      </c:layout>
      <c:pieChart>
        <c:varyColors val="1"/>
        <c:ser>
          <c:idx val="0"/>
          <c:order val="0"/>
          <c:spPr>
            <a:ln w="31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FFF2BD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2-482B-A269-20ED3BC5E850}"/>
              </c:ext>
            </c:extLst>
          </c:dPt>
          <c:dPt>
            <c:idx val="1"/>
            <c:bubble3D val="0"/>
            <c:spPr>
              <a:solidFill>
                <a:srgbClr val="FFE161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B2-482B-A269-20ED3BC5E850}"/>
              </c:ext>
            </c:extLst>
          </c:dPt>
          <c:dPt>
            <c:idx val="2"/>
            <c:bubble3D val="0"/>
            <c:spPr>
              <a:solidFill>
                <a:srgbClr val="FFD319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B2-482B-A269-20ED3BC5E850}"/>
              </c:ext>
            </c:extLst>
          </c:dPt>
          <c:dPt>
            <c:idx val="3"/>
            <c:bubble3D val="0"/>
            <c:spPr>
              <a:solidFill>
                <a:srgbClr val="DAB000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B2-482B-A269-20ED3BC5E850}"/>
              </c:ext>
            </c:extLst>
          </c:dPt>
          <c:dPt>
            <c:idx val="4"/>
            <c:bubble3D val="0"/>
            <c:spPr>
              <a:solidFill>
                <a:srgbClr val="A68800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4C-4CDC-89F0-04C9290F1637}"/>
              </c:ext>
            </c:extLst>
          </c:dPt>
          <c:dPt>
            <c:idx val="5"/>
            <c:bubble3D val="0"/>
            <c:spPr>
              <a:solidFill>
                <a:srgbClr val="745E00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4C-4CDC-89F0-04C9290F1637}"/>
              </c:ext>
            </c:extLst>
          </c:dPt>
          <c:dLbls>
            <c:dLbl>
              <c:idx val="0"/>
              <c:layout>
                <c:manualLayout>
                  <c:x val="-7.6789976961249588E-3"/>
                  <c:y val="3.46552751948393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2-482B-A269-20ED3BC5E850}"/>
                </c:ext>
              </c:extLst>
            </c:dLbl>
            <c:dLbl>
              <c:idx val="1"/>
              <c:layout>
                <c:manualLayout>
                  <c:x val="-2.743082464976429E-2"/>
                  <c:y val="-4.57073226961148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2-482B-A269-20ED3BC5E850}"/>
                </c:ext>
              </c:extLst>
            </c:dLbl>
            <c:dLbl>
              <c:idx val="2"/>
              <c:layout>
                <c:manualLayout>
                  <c:x val="-2.185877966314935E-2"/>
                  <c:y val="4.3717931494338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2-482B-A269-20ED3BC5E850}"/>
                </c:ext>
              </c:extLst>
            </c:dLbl>
            <c:dLbl>
              <c:idx val="3"/>
              <c:layout>
                <c:manualLayout>
                  <c:x val="1.5703391070544827E-2"/>
                  <c:y val="8.97106219623711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2-482B-A269-20ED3BC5E850}"/>
                </c:ext>
              </c:extLst>
            </c:dLbl>
            <c:dLbl>
              <c:idx val="4"/>
              <c:layout>
                <c:manualLayout>
                  <c:x val="3.0829690040590761E-3"/>
                  <c:y val="-2.12384857121931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4C-4CDC-89F0-04C9290F1637}"/>
                </c:ext>
              </c:extLst>
            </c:dLbl>
            <c:dLbl>
              <c:idx val="5"/>
              <c:layout>
                <c:manualLayout>
                  <c:x val="6.3626650714908497E-3"/>
                  <c:y val="-6.55764707554782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661603077459865"/>
                      <c:h val="0.1171931761185782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F4C-4CDC-89F0-04C9290F163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Fishery!$B$5:$B$10</c:f>
              <c:strCache>
                <c:ptCount val="6"/>
                <c:pt idx="0">
                  <c:v>Snake R</c:v>
                </c:pt>
                <c:pt idx="1">
                  <c:v>Zone 6 tribal</c:v>
                </c:pt>
                <c:pt idx="2">
                  <c:v>LCR comm. &amp; sport</c:v>
                </c:pt>
                <c:pt idx="3">
                  <c:v>OR/WA ocean</c:v>
                </c:pt>
                <c:pt idx="4">
                  <c:v>Canada ocean</c:v>
                </c:pt>
                <c:pt idx="5">
                  <c:v>Alaska ocean</c:v>
                </c:pt>
              </c:strCache>
            </c:strRef>
          </c:cat>
          <c:val>
            <c:numRef>
              <c:f>Fishery!$C$5:$C$10</c:f>
              <c:numCache>
                <c:formatCode>0.0%</c:formatCode>
                <c:ptCount val="6"/>
                <c:pt idx="0" formatCode="0%">
                  <c:v>1.5917259812439574E-2</c:v>
                </c:pt>
                <c:pt idx="1">
                  <c:v>0.16015248020428902</c:v>
                </c:pt>
                <c:pt idx="2">
                  <c:v>9.1482306155724932E-2</c:v>
                </c:pt>
                <c:pt idx="3">
                  <c:v>9.7899999999999987E-2</c:v>
                </c:pt>
                <c:pt idx="4">
                  <c:v>7.4699999999999989E-2</c:v>
                </c:pt>
                <c:pt idx="5">
                  <c:v>2.2300000000000004E-2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D-4027-8F19-8CE5E795C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45"/>
      </c:pieChart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Current Hatchery Production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553643978597567"/>
          <c:y val="0.16456766806606793"/>
          <c:w val="0.61765812210656346"/>
          <c:h val="0.76229060620974065"/>
        </c:manualLayout>
      </c:layout>
      <c:pieChart>
        <c:varyColors val="1"/>
        <c:ser>
          <c:idx val="0"/>
          <c:order val="0"/>
          <c:spPr>
            <a:ln w="3175"/>
          </c:spPr>
          <c:dPt>
            <c:idx val="0"/>
            <c:bubble3D val="0"/>
            <c:spPr>
              <a:solidFill>
                <a:schemeClr val="accent4">
                  <a:shade val="6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BE-4E4E-B05A-C50CAE34FB2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55BE-4E4E-B05A-C50CAE34FB22}"/>
              </c:ext>
            </c:extLst>
          </c:dPt>
          <c:dPt>
            <c:idx val="2"/>
            <c:bubble3D val="0"/>
            <c:spPr>
              <a:solidFill>
                <a:schemeClr val="accent4">
                  <a:tint val="6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BE-4E4E-B05A-C50CAE34FB22}"/>
              </c:ext>
            </c:extLst>
          </c:dPt>
          <c:dLbls>
            <c:dLbl>
              <c:idx val="0"/>
              <c:layout>
                <c:manualLayout>
                  <c:x val="-2.6388264645960679E-2"/>
                  <c:y val="-0.3721303229755339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E-4E4E-B05A-C50CAE34FB22}"/>
                </c:ext>
              </c:extLst>
            </c:dLbl>
            <c:dLbl>
              <c:idx val="1"/>
              <c:layout>
                <c:manualLayout>
                  <c:x val="-2.793923746584915E-2"/>
                  <c:y val="-2.53819129453130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BE-4E4E-B05A-C50CAE34FB22}"/>
                </c:ext>
              </c:extLst>
            </c:dLbl>
            <c:dLbl>
              <c:idx val="2"/>
              <c:layout>
                <c:manualLayout>
                  <c:x val="-2.9575603746750917E-2"/>
                  <c:y val="0.1170140066162154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5455364309044"/>
                      <c:h val="0.226006197266485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5BE-4E4E-B05A-C50CAE34F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Summary!$U$11:$U$13</c:f>
              <c:strCache>
                <c:ptCount val="3"/>
                <c:pt idx="0">
                  <c:v>Lyons Ferry Hatchery</c:v>
                </c:pt>
                <c:pt idx="1">
                  <c:v>Nez Perce Tribal Hatchery</c:v>
                </c:pt>
                <c:pt idx="2">
                  <c:v>Idaho Power Program</c:v>
                </c:pt>
              </c:strCache>
            </c:strRef>
          </c:cat>
          <c:val>
            <c:numRef>
              <c:f>Summary!$X$11:$X$13</c:f>
              <c:numCache>
                <c:formatCode>#,##0</c:formatCode>
                <c:ptCount val="3"/>
                <c:pt idx="0">
                  <c:v>2800000</c:v>
                </c:pt>
                <c:pt idx="1">
                  <c:v>1400000</c:v>
                </c:pt>
                <c:pt idx="2">
                  <c:v>1000000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E-4E4E-B05A-C50CAE34FB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307503054856205"/>
          <c:y val="0.1846281134076696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029981908677158"/>
          <c:y val="4.1051646466459833E-2"/>
          <c:w val="0.67041666105578246"/>
          <c:h val="0.79656173929819463"/>
        </c:manualLayout>
      </c:layout>
      <c:barChart>
        <c:barDir val="bar"/>
        <c:grouping val="clustered"/>
        <c:varyColors val="0"/>
        <c:ser>
          <c:idx val="0"/>
          <c:order val="0"/>
          <c:tx>
            <c:v>Natural production</c:v>
          </c:tx>
          <c:spPr>
            <a:solidFill>
              <a:srgbClr val="A688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Summary!$D$23:$D$27</c:f>
              <c:strCache>
                <c:ptCount val="5"/>
                <c:pt idx="0">
                  <c:v>Current</c:v>
                </c:pt>
                <c:pt idx="1">
                  <c:v>Low goal</c:v>
                </c:pt>
                <c:pt idx="2">
                  <c:v>Med goal</c:v>
                </c:pt>
                <c:pt idx="3">
                  <c:v>High goal</c:v>
                </c:pt>
                <c:pt idx="4">
                  <c:v>Historical</c:v>
                </c:pt>
              </c:strCache>
            </c:strRef>
          </c:cat>
          <c:val>
            <c:numRef>
              <c:f>Summary!$E$23:$E$27</c:f>
              <c:numCache>
                <c:formatCode>#,##0</c:formatCode>
                <c:ptCount val="5"/>
                <c:pt idx="0">
                  <c:v>8360</c:v>
                </c:pt>
                <c:pt idx="1">
                  <c:v>4200</c:v>
                </c:pt>
                <c:pt idx="2">
                  <c:v>10780</c:v>
                </c:pt>
                <c:pt idx="3">
                  <c:v>23360</c:v>
                </c:pt>
                <c:pt idx="4">
                  <c:v>500000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F-436F-BEAB-E28ED9369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32032656"/>
        <c:axId val="326648160"/>
      </c:barChart>
      <c:catAx>
        <c:axId val="232032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6648160"/>
        <c:crosses val="autoZero"/>
        <c:auto val="1"/>
        <c:lblAlgn val="ctr"/>
        <c:lblOffset val="100"/>
        <c:noMultiLvlLbl val="0"/>
      </c:catAx>
      <c:valAx>
        <c:axId val="326648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032656"/>
        <c:crosses val="max"/>
        <c:crossBetween val="between"/>
        <c:majorUnit val="2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31448380216099"/>
          <c:y val="5.4273983646415287E-2"/>
          <c:w val="0.85045801955417666"/>
          <c:h val="0.82104042067708871"/>
        </c:manualLayout>
      </c:layout>
      <c:barChart>
        <c:barDir val="col"/>
        <c:grouping val="stacked"/>
        <c:varyColors val="0"/>
        <c:ser>
          <c:idx val="0"/>
          <c:order val="0"/>
          <c:tx>
            <c:v>Natural</c:v>
          </c:tx>
          <c:spPr>
            <a:solidFill>
              <a:srgbClr val="745E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Runs!$B$25:$B$48</c:f>
              <c:numCache>
                <c:formatCode>0</c:formatCode>
                <c:ptCount val="24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</c:numCache>
            </c:numRef>
          </c:cat>
          <c:val>
            <c:numRef>
              <c:f>Runs!$AQ$25:$AQ$48</c:f>
              <c:numCache>
                <c:formatCode>#,##0</c:formatCode>
                <c:ptCount val="24"/>
                <c:pt idx="0">
                  <c:v>406</c:v>
                </c:pt>
                <c:pt idx="1">
                  <c:v>350</c:v>
                </c:pt>
                <c:pt idx="2">
                  <c:v>639</c:v>
                </c:pt>
                <c:pt idx="3">
                  <c:v>796</c:v>
                </c:pt>
                <c:pt idx="4">
                  <c:v>306</c:v>
                </c:pt>
                <c:pt idx="5">
                  <c:v>905</c:v>
                </c:pt>
                <c:pt idx="6">
                  <c:v>1148</c:v>
                </c:pt>
                <c:pt idx="7">
                  <c:v>5163</c:v>
                </c:pt>
                <c:pt idx="8">
                  <c:v>2116</c:v>
                </c:pt>
                <c:pt idx="9">
                  <c:v>5390</c:v>
                </c:pt>
                <c:pt idx="10">
                  <c:v>7214</c:v>
                </c:pt>
                <c:pt idx="11">
                  <c:v>5177</c:v>
                </c:pt>
                <c:pt idx="12">
                  <c:v>4669</c:v>
                </c:pt>
                <c:pt idx="13">
                  <c:v>3742</c:v>
                </c:pt>
                <c:pt idx="14">
                  <c:v>3930</c:v>
                </c:pt>
                <c:pt idx="15">
                  <c:v>4977</c:v>
                </c:pt>
                <c:pt idx="16">
                  <c:v>7995</c:v>
                </c:pt>
                <c:pt idx="17">
                  <c:v>8778</c:v>
                </c:pt>
                <c:pt idx="18">
                  <c:v>12788</c:v>
                </c:pt>
                <c:pt idx="19">
                  <c:v>20829</c:v>
                </c:pt>
                <c:pt idx="20">
                  <c:v>13032</c:v>
                </c:pt>
                <c:pt idx="21">
                  <c:v>15773</c:v>
                </c:pt>
                <c:pt idx="22">
                  <c:v>9741</c:v>
                </c:pt>
                <c:pt idx="23">
                  <c:v>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C-425A-A77A-EFB44D4097A4}"/>
            </c:ext>
          </c:extLst>
        </c:ser>
        <c:ser>
          <c:idx val="1"/>
          <c:order val="1"/>
          <c:tx>
            <c:v>Hatchery</c:v>
          </c:tx>
          <c:spPr>
            <a:solidFill>
              <a:srgbClr val="DAB0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Runs!$B$25:$B$48</c:f>
              <c:numCache>
                <c:formatCode>0</c:formatCode>
                <c:ptCount val="24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</c:numCache>
            </c:numRef>
          </c:cat>
          <c:val>
            <c:numRef>
              <c:f>Runs!$AO$25:$AO$48</c:f>
              <c:numCache>
                <c:formatCode>#,##0</c:formatCode>
                <c:ptCount val="24"/>
                <c:pt idx="0">
                  <c:v>385</c:v>
                </c:pt>
                <c:pt idx="1">
                  <c:v>717</c:v>
                </c:pt>
                <c:pt idx="2">
                  <c:v>669</c:v>
                </c:pt>
                <c:pt idx="3">
                  <c:v>655</c:v>
                </c:pt>
                <c:pt idx="4">
                  <c:v>1603</c:v>
                </c:pt>
                <c:pt idx="5">
                  <c:v>2476</c:v>
                </c:pt>
                <c:pt idx="6">
                  <c:v>2546</c:v>
                </c:pt>
                <c:pt idx="7">
                  <c:v>3752</c:v>
                </c:pt>
                <c:pt idx="8">
                  <c:v>10235</c:v>
                </c:pt>
                <c:pt idx="9">
                  <c:v>7255</c:v>
                </c:pt>
                <c:pt idx="10">
                  <c:v>11537</c:v>
                </c:pt>
                <c:pt idx="11">
                  <c:v>6493</c:v>
                </c:pt>
                <c:pt idx="12">
                  <c:v>3138</c:v>
                </c:pt>
                <c:pt idx="13">
                  <c:v>7444</c:v>
                </c:pt>
                <c:pt idx="14">
                  <c:v>12271</c:v>
                </c:pt>
                <c:pt idx="15">
                  <c:v>20285</c:v>
                </c:pt>
                <c:pt idx="16">
                  <c:v>37340</c:v>
                </c:pt>
                <c:pt idx="17">
                  <c:v>18936</c:v>
                </c:pt>
                <c:pt idx="18">
                  <c:v>23550</c:v>
                </c:pt>
                <c:pt idx="19">
                  <c:v>34784</c:v>
                </c:pt>
                <c:pt idx="20">
                  <c:v>46642</c:v>
                </c:pt>
                <c:pt idx="21">
                  <c:v>42557</c:v>
                </c:pt>
                <c:pt idx="22">
                  <c:v>27676</c:v>
                </c:pt>
                <c:pt idx="23">
                  <c:v>17814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C-425A-A77A-EFB44D409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0848696"/>
        <c:axId val="611502584"/>
      </c:barChart>
      <c:catAx>
        <c:axId val="60084869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502584"/>
        <c:crosses val="autoZero"/>
        <c:auto val="1"/>
        <c:lblAlgn val="ctr"/>
        <c:lblOffset val="100"/>
        <c:tickLblSkip val="2"/>
        <c:noMultiLvlLbl val="0"/>
      </c:catAx>
      <c:valAx>
        <c:axId val="611502584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Lower Granite Dam Count (adults)</a:t>
                </a:r>
              </a:p>
            </c:rich>
          </c:tx>
          <c:layout>
            <c:manualLayout>
              <c:xMode val="edge"/>
              <c:yMode val="edge"/>
              <c:x val="1.15875818405264E-2"/>
              <c:y val="9.345360956094078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84869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4589974516513385"/>
          <c:y val="7.8618084957864529E-2"/>
          <c:w val="8.4885027497572499E-2"/>
          <c:h val="0.1518603605328799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03937007874019"/>
          <c:y val="5.0925925925925923E-2"/>
          <c:w val="0.78033158355205601"/>
          <c:h val="0.79685914260717405"/>
        </c:manualLayout>
      </c:layout>
      <c:barChart>
        <c:barDir val="col"/>
        <c:grouping val="stacked"/>
        <c:varyColors val="0"/>
        <c:ser>
          <c:idx val="0"/>
          <c:order val="0"/>
          <c:tx>
            <c:v>Wild</c:v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Runs!$BQ$25:$BQ$48</c:f>
              <c:numCache>
                <c:formatCode>0</c:formatCode>
                <c:ptCount val="24"/>
                <c:pt idx="0">
                  <c:v>406</c:v>
                </c:pt>
                <c:pt idx="1">
                  <c:v>350</c:v>
                </c:pt>
                <c:pt idx="2">
                  <c:v>639</c:v>
                </c:pt>
                <c:pt idx="3">
                  <c:v>1013</c:v>
                </c:pt>
                <c:pt idx="4">
                  <c:v>306</c:v>
                </c:pt>
                <c:pt idx="5">
                  <c:v>905</c:v>
                </c:pt>
                <c:pt idx="6">
                  <c:v>1148</c:v>
                </c:pt>
                <c:pt idx="7">
                  <c:v>5163</c:v>
                </c:pt>
                <c:pt idx="8">
                  <c:v>2116</c:v>
                </c:pt>
                <c:pt idx="9">
                  <c:v>5300.9034130516948</c:v>
                </c:pt>
                <c:pt idx="10">
                  <c:v>5840.5896988085215</c:v>
                </c:pt>
                <c:pt idx="11">
                  <c:v>4524.0062060205419</c:v>
                </c:pt>
                <c:pt idx="12">
                  <c:v>3942.3251211478337</c:v>
                </c:pt>
                <c:pt idx="13">
                  <c:v>2796.4080450646643</c:v>
                </c:pt>
                <c:pt idx="14">
                  <c:v>2931.7358040435893</c:v>
                </c:pt>
                <c:pt idx="15">
                  <c:v>4238.970114283924</c:v>
                </c:pt>
                <c:pt idx="16">
                  <c:v>7288.4933591764575</c:v>
                </c:pt>
                <c:pt idx="17">
                  <c:v>7942.8295351540683</c:v>
                </c:pt>
                <c:pt idx="18">
                  <c:v>11201.732801110395</c:v>
                </c:pt>
                <c:pt idx="19">
                  <c:v>19893.74405128225</c:v>
                </c:pt>
                <c:pt idx="20">
                  <c:v>13055.967677098939</c:v>
                </c:pt>
                <c:pt idx="21">
                  <c:v>14895.884339076521</c:v>
                </c:pt>
                <c:pt idx="22">
                  <c:v>8650.8863534717275</c:v>
                </c:pt>
                <c:pt idx="23" formatCode="General">
                  <c:v>6158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Runs!#REF!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BF3-4D11-AD29-39BF3FBF4168}"/>
            </c:ext>
          </c:extLst>
        </c:ser>
        <c:ser>
          <c:idx val="1"/>
          <c:order val="1"/>
          <c:tx>
            <c:strRef>
              <c:f>Runs!#REF!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Runs!$BO$25:$BO$48</c:f>
              <c:numCache>
                <c:formatCode>0</c:formatCode>
                <c:ptCount val="24"/>
                <c:pt idx="0">
                  <c:v>205</c:v>
                </c:pt>
                <c:pt idx="1">
                  <c:v>322</c:v>
                </c:pt>
                <c:pt idx="2">
                  <c:v>280</c:v>
                </c:pt>
                <c:pt idx="3">
                  <c:v>21</c:v>
                </c:pt>
                <c:pt idx="4">
                  <c:v>729</c:v>
                </c:pt>
                <c:pt idx="5">
                  <c:v>956</c:v>
                </c:pt>
                <c:pt idx="6">
                  <c:v>1516</c:v>
                </c:pt>
                <c:pt idx="7">
                  <c:v>5344</c:v>
                </c:pt>
                <c:pt idx="8">
                  <c:v>7999</c:v>
                </c:pt>
                <c:pt idx="9">
                  <c:v>6233.7792203730005</c:v>
                </c:pt>
                <c:pt idx="10">
                  <c:v>9203.0685963245087</c:v>
                </c:pt>
                <c:pt idx="11">
                  <c:v>5206.5347906682518</c:v>
                </c:pt>
                <c:pt idx="12">
                  <c:v>2401.8346250129703</c:v>
                </c:pt>
                <c:pt idx="13">
                  <c:v>5375.4684777608018</c:v>
                </c:pt>
                <c:pt idx="14">
                  <c:v>8531.2989305385217</c:v>
                </c:pt>
                <c:pt idx="15">
                  <c:v>16057.084243087649</c:v>
                </c:pt>
                <c:pt idx="16">
                  <c:v>30895.223920751556</c:v>
                </c:pt>
                <c:pt idx="17">
                  <c:v>14590.935907575898</c:v>
                </c:pt>
                <c:pt idx="18">
                  <c:v>17829.093751821463</c:v>
                </c:pt>
                <c:pt idx="19">
                  <c:v>27179.480805150099</c:v>
                </c:pt>
                <c:pt idx="20">
                  <c:v>37971.933064503646</c:v>
                </c:pt>
                <c:pt idx="21">
                  <c:v>35176.078780233991</c:v>
                </c:pt>
                <c:pt idx="22">
                  <c:v>22262.568622407394</c:v>
                </c:pt>
                <c:pt idx="23" formatCode="General">
                  <c:v>11155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Runs!#REF!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BF3-4D11-AD29-39BF3FBF4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322312"/>
        <c:axId val="311963744"/>
      </c:barChart>
      <c:catAx>
        <c:axId val="143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963744"/>
        <c:crosses val="autoZero"/>
        <c:auto val="1"/>
        <c:lblAlgn val="ctr"/>
        <c:lblOffset val="100"/>
        <c:noMultiLvlLbl val="0"/>
      </c:catAx>
      <c:valAx>
        <c:axId val="31196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Spawning escapement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223325313502478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223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2299540682414706"/>
          <c:y val="0.12557815689705457"/>
          <c:w val="0.13811570428696412"/>
          <c:h val="0.1562510936132983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Current Fishery Distribution</a:t>
            </a:r>
            <a:r>
              <a:rPr lang="en-US" b="1" baseline="0"/>
              <a:t> </a:t>
            </a:r>
          </a:p>
          <a:p>
            <a:pPr>
              <a:defRPr b="1"/>
            </a:pPr>
            <a:r>
              <a:rPr lang="en-US" b="1" baseline="0"/>
              <a:t>of Wild/Natural Impacts (2005-2014 avg.)</a:t>
            </a:r>
            <a:endParaRPr lang="en-US" b="1"/>
          </a:p>
        </c:rich>
      </c:tx>
      <c:layout>
        <c:manualLayout>
          <c:xMode val="edge"/>
          <c:yMode val="edge"/>
          <c:x val="6.6328741933787766E-2"/>
          <c:y val="2.81480314960629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529129310920597"/>
          <c:y val="0.31080454943132102"/>
          <c:w val="0.51611664350779674"/>
          <c:h val="0.68242089530475347"/>
        </c:manualLayout>
      </c:layout>
      <c:pieChart>
        <c:varyColors val="1"/>
        <c:ser>
          <c:idx val="0"/>
          <c:order val="0"/>
          <c:spPr>
            <a:ln w="6350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2-482B-A269-20ED3BC5E8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B2-482B-A269-20ED3BC5E8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B2-482B-A269-20ED3BC5E85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B2-482B-A269-20ED3BC5E850}"/>
              </c:ext>
            </c:extLst>
          </c:dPt>
          <c:dPt>
            <c:idx val="4"/>
            <c:bubble3D val="0"/>
            <c:spPr>
              <a:solidFill>
                <a:schemeClr val="accent1">
                  <a:lumMod val="75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C2-44ED-B80F-54532C91F9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1C2-44ED-B80F-54532C91F9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BD1-44C7-9BF0-5F8F27FA529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C9E-4ABA-B401-B4968544E09D}"/>
              </c:ext>
            </c:extLst>
          </c:dPt>
          <c:dLbls>
            <c:dLbl>
              <c:idx val="0"/>
              <c:layout>
                <c:manualLayout>
                  <c:x val="6.6205110933954051E-2"/>
                  <c:y val="-8.992825896762904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2-482B-A269-20ED3BC5E850}"/>
                </c:ext>
              </c:extLst>
            </c:dLbl>
            <c:dLbl>
              <c:idx val="3"/>
              <c:layout>
                <c:manualLayout>
                  <c:x val="0.25380250587247249"/>
                  <c:y val="-2.12598425196852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2-482B-A269-20ED3BC5E850}"/>
                </c:ext>
              </c:extLst>
            </c:dLbl>
            <c:dLbl>
              <c:idx val="4"/>
              <c:layout>
                <c:manualLayout>
                  <c:x val="-3.4264099340523629E-2"/>
                  <c:y val="-4.87077136191309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C2-44ED-B80F-54532C91F9DD}"/>
                </c:ext>
              </c:extLst>
            </c:dLbl>
            <c:dLbl>
              <c:idx val="5"/>
              <c:layout>
                <c:manualLayout>
                  <c:x val="-0.1320708760890541"/>
                  <c:y val="7.4011548556430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C2-44ED-B80F-54532C91F9DD}"/>
                </c:ext>
              </c:extLst>
            </c:dLbl>
            <c:dLbl>
              <c:idx val="6"/>
              <c:layout>
                <c:manualLayout>
                  <c:x val="2.1219058500199658E-2"/>
                  <c:y val="-2.83468066491688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1-44C7-9BF0-5F8F27FA5293}"/>
                </c:ext>
              </c:extLst>
            </c:dLbl>
            <c:dLbl>
              <c:idx val="7"/>
              <c:layout>
                <c:manualLayout>
                  <c:x val="6.7024912356989486E-2"/>
                  <c:y val="1.74134733158356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9E-4ABA-B401-B4968544E09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Fishery!$B$3:$B$10</c:f>
              <c:strCache>
                <c:ptCount val="8"/>
                <c:pt idx="0">
                  <c:v>For plot</c:v>
                </c:pt>
                <c:pt idx="1">
                  <c:v>Lyons Ferry yearlings</c:v>
                </c:pt>
                <c:pt idx="2">
                  <c:v>Snake R</c:v>
                </c:pt>
                <c:pt idx="3">
                  <c:v>Zone 6 tribal</c:v>
                </c:pt>
                <c:pt idx="4">
                  <c:v>LCR comm. &amp; sport</c:v>
                </c:pt>
                <c:pt idx="5">
                  <c:v>OR/WA ocean</c:v>
                </c:pt>
                <c:pt idx="6">
                  <c:v>Canada ocean</c:v>
                </c:pt>
                <c:pt idx="7">
                  <c:v>Alaska ocean</c:v>
                </c:pt>
              </c:strCache>
            </c:strRef>
          </c:cat>
          <c:val>
            <c:numRef>
              <c:f>Fishery!$C$3:$C$10</c:f>
              <c:numCache>
                <c:formatCode>General</c:formatCode>
                <c:ptCount val="8"/>
                <c:pt idx="1">
                  <c:v>0</c:v>
                </c:pt>
                <c:pt idx="2" formatCode="0%">
                  <c:v>1.5917259812439574E-2</c:v>
                </c:pt>
                <c:pt idx="3" formatCode="0.0%">
                  <c:v>0.16015248020428902</c:v>
                </c:pt>
                <c:pt idx="4" formatCode="0.0%">
                  <c:v>9.1482306155724932E-2</c:v>
                </c:pt>
                <c:pt idx="5" formatCode="0.0%">
                  <c:v>9.7899999999999987E-2</c:v>
                </c:pt>
                <c:pt idx="6" formatCode="0.0%">
                  <c:v>7.4699999999999989E-2</c:v>
                </c:pt>
                <c:pt idx="7" formatCode="0.0%">
                  <c:v>2.2300000000000004E-2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D-4027-8F19-8CE5E795C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18"/>
      </c:pieChart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553149606299214E-2"/>
          <c:y val="5.0925925925925923E-2"/>
          <c:w val="0.88369663167104107"/>
          <c:h val="0.80808690580344122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Fishery!$W$5:$W$29</c:f>
              <c:numCache>
                <c:formatCode>0</c:formatCode>
                <c:ptCount val="25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</c:numCache>
            </c:numRef>
          </c:cat>
          <c:val>
            <c:numRef>
              <c:f>Fishery!$AW$7:$AW$29</c:f>
              <c:numCache>
                <c:formatCode>0.0%</c:formatCode>
                <c:ptCount val="23"/>
                <c:pt idx="0">
                  <c:v>0.59899999999999998</c:v>
                </c:pt>
                <c:pt idx="1">
                  <c:v>0.57400000000000007</c:v>
                </c:pt>
                <c:pt idx="2">
                  <c:v>0.72199999999999998</c:v>
                </c:pt>
                <c:pt idx="3">
                  <c:v>0.622</c:v>
                </c:pt>
                <c:pt idx="4">
                  <c:v>0.501</c:v>
                </c:pt>
                <c:pt idx="5">
                  <c:v>0.42300000000000004</c:v>
                </c:pt>
                <c:pt idx="6">
                  <c:v>0.503</c:v>
                </c:pt>
                <c:pt idx="7">
                  <c:v>0.47799999999999998</c:v>
                </c:pt>
                <c:pt idx="8">
                  <c:v>0.499</c:v>
                </c:pt>
                <c:pt idx="9">
                  <c:v>0.46599999999999997</c:v>
                </c:pt>
                <c:pt idx="10">
                  <c:v>0.56899999999999995</c:v>
                </c:pt>
                <c:pt idx="11">
                  <c:v>0.45199999999999996</c:v>
                </c:pt>
                <c:pt idx="12">
                  <c:v>0.45699999999999996</c:v>
                </c:pt>
                <c:pt idx="13">
                  <c:v>0.44099999999999995</c:v>
                </c:pt>
                <c:pt idx="14">
                  <c:v>0.54600000000000004</c:v>
                </c:pt>
                <c:pt idx="15">
                  <c:v>0.61199999999999999</c:v>
                </c:pt>
                <c:pt idx="16">
                  <c:v>0.65</c:v>
                </c:pt>
                <c:pt idx="17">
                  <c:v>0.67199999999999993</c:v>
                </c:pt>
                <c:pt idx="18">
                  <c:v>0.72099999999999997</c:v>
                </c:pt>
                <c:pt idx="19">
                  <c:v>0.88700000000000001</c:v>
                </c:pt>
                <c:pt idx="20">
                  <c:v>0.52899999999999991</c:v>
                </c:pt>
                <c:pt idx="21">
                  <c:v>0.64100000000000001</c:v>
                </c:pt>
                <c:pt idx="22">
                  <c:v>0.76500000000000001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3-4DE1-9CD5-C1CB0C1F71CF}"/>
            </c:ext>
          </c:extLst>
        </c:ser>
        <c:ser>
          <c:idx val="1"/>
          <c:order val="1"/>
          <c:tx>
            <c:v>ocean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Fishery!$AZ$7:$AZ$29</c:f>
              <c:numCache>
                <c:formatCode>0.0%</c:formatCode>
                <c:ptCount val="23"/>
                <c:pt idx="0">
                  <c:v>0.30000000000000004</c:v>
                </c:pt>
                <c:pt idx="1">
                  <c:v>0.312</c:v>
                </c:pt>
                <c:pt idx="2">
                  <c:v>0.55900000000000005</c:v>
                </c:pt>
                <c:pt idx="3">
                  <c:v>0.40100000000000002</c:v>
                </c:pt>
                <c:pt idx="4">
                  <c:v>0.32500000000000001</c:v>
                </c:pt>
                <c:pt idx="5">
                  <c:v>0.25900000000000001</c:v>
                </c:pt>
                <c:pt idx="6">
                  <c:v>0.15100000000000002</c:v>
                </c:pt>
                <c:pt idx="7">
                  <c:v>0.26900000000000002</c:v>
                </c:pt>
                <c:pt idx="8">
                  <c:v>0.25600000000000001</c:v>
                </c:pt>
                <c:pt idx="9">
                  <c:v>0.29100000000000004</c:v>
                </c:pt>
                <c:pt idx="10">
                  <c:v>0.23299999999999998</c:v>
                </c:pt>
                <c:pt idx="11">
                  <c:v>8.8999999999999996E-2</c:v>
                </c:pt>
                <c:pt idx="12">
                  <c:v>0.252</c:v>
                </c:pt>
                <c:pt idx="13">
                  <c:v>0.21000000000000005</c:v>
                </c:pt>
                <c:pt idx="14">
                  <c:v>0.375</c:v>
                </c:pt>
                <c:pt idx="15">
                  <c:v>0.33600000000000002</c:v>
                </c:pt>
                <c:pt idx="16">
                  <c:v>0.31100000000000005</c:v>
                </c:pt>
                <c:pt idx="17">
                  <c:v>0.43500000000000011</c:v>
                </c:pt>
                <c:pt idx="18">
                  <c:v>0.47400000000000009</c:v>
                </c:pt>
                <c:pt idx="19">
                  <c:v>0.35500000000000004</c:v>
                </c:pt>
                <c:pt idx="20">
                  <c:v>0.37400000000000005</c:v>
                </c:pt>
                <c:pt idx="21">
                  <c:v>0.33800000000000002</c:v>
                </c:pt>
                <c:pt idx="22">
                  <c:v>0.40600000000000003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3-4DE1-9CD5-C1CB0C1F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090480"/>
        <c:axId val="447486096"/>
      </c:lineChart>
      <c:catAx>
        <c:axId val="32309048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486096"/>
        <c:crosses val="autoZero"/>
        <c:auto val="1"/>
        <c:lblAlgn val="ctr"/>
        <c:lblOffset val="100"/>
        <c:noMultiLvlLbl val="0"/>
      </c:catAx>
      <c:valAx>
        <c:axId val="44748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09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1369422572178485"/>
          <c:y val="9.7800379119276762E-2"/>
          <c:w val="0.11402206368055269"/>
          <c:h val="0.15625109361329836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30927384076996E-2"/>
          <c:y val="4.6296296296296294E-2"/>
          <c:w val="0.88369663167104107"/>
          <c:h val="0.80808690580344122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Fishery!$W$37:$W$72</c:f>
              <c:numCache>
                <c:formatCode>0</c:formatCode>
                <c:ptCount val="36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numCache>
            </c:numRef>
          </c:cat>
          <c:val>
            <c:numRef>
              <c:f>Fishery!$BD$37:$BD$72</c:f>
              <c:numCache>
                <c:formatCode>General</c:formatCode>
                <c:ptCount val="36"/>
                <c:pt idx="9" formatCode="0.0">
                  <c:v>74.3</c:v>
                </c:pt>
                <c:pt idx="10" formatCode="0.0">
                  <c:v>70.599999999999994</c:v>
                </c:pt>
                <c:pt idx="11" formatCode="0.0">
                  <c:v>66.8</c:v>
                </c:pt>
                <c:pt idx="12" formatCode="0.0">
                  <c:v>35</c:v>
                </c:pt>
                <c:pt idx="13" formatCode="0.0">
                  <c:v>47</c:v>
                </c:pt>
                <c:pt idx="14" formatCode="0.0">
                  <c:v>54.099999999999994</c:v>
                </c:pt>
                <c:pt idx="22" formatCode="0.0">
                  <c:v>24.999999999999993</c:v>
                </c:pt>
                <c:pt idx="23" formatCode="0.0">
                  <c:v>29.400000000000006</c:v>
                </c:pt>
                <c:pt idx="24" formatCode="0.0">
                  <c:v>30.700000000000006</c:v>
                </c:pt>
                <c:pt idx="25" formatCode="0.0">
                  <c:v>11.499999999999996</c:v>
                </c:pt>
                <c:pt idx="26" formatCode="0.0">
                  <c:v>35.099999999999994</c:v>
                </c:pt>
                <c:pt idx="27" formatCode="0.0">
                  <c:v>24.599999999999994</c:v>
                </c:pt>
                <c:pt idx="28" formatCode="0.0">
                  <c:v>9.2999999999999972</c:v>
                </c:pt>
                <c:pt idx="29" formatCode="0.0">
                  <c:v>25.400000000000006</c:v>
                </c:pt>
                <c:pt idx="30" formatCode="0.0">
                  <c:v>16.300000000000004</c:v>
                </c:pt>
                <c:pt idx="31" formatCode="0.0">
                  <c:v>48.4</c:v>
                </c:pt>
                <c:pt idx="32" formatCode="0.0">
                  <c:v>39.799999999999997</c:v>
                </c:pt>
                <c:pt idx="33" formatCode="0.0">
                  <c:v>46.1</c:v>
                </c:pt>
                <c:pt idx="34" formatCode="0.0">
                  <c:v>66.099999999999994</c:v>
                </c:pt>
                <c:pt idx="35" formatCode="0.0">
                  <c:v>63.599999999999994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E-4BEF-8839-F628DCCBFBEC}"/>
            </c:ext>
          </c:extLst>
        </c:ser>
        <c:ser>
          <c:idx val="1"/>
          <c:order val="1"/>
          <c:tx>
            <c:v>ocean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Fishery!$W$37:$W$72</c:f>
              <c:numCache>
                <c:formatCode>0</c:formatCode>
                <c:ptCount val="36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numCache>
            </c:numRef>
          </c:cat>
          <c:val>
            <c:numRef>
              <c:f>Fishery!$BE$37:$BE$72</c:f>
              <c:numCache>
                <c:formatCode>General</c:formatCode>
                <c:ptCount val="36"/>
                <c:pt idx="9" formatCode="0.0">
                  <c:v>41.900000000000006</c:v>
                </c:pt>
                <c:pt idx="10" formatCode="0.0">
                  <c:v>50.499999999999993</c:v>
                </c:pt>
                <c:pt idx="11" formatCode="0.0">
                  <c:v>41.600000000000009</c:v>
                </c:pt>
                <c:pt idx="12" formatCode="0.0">
                  <c:v>25.600000000000005</c:v>
                </c:pt>
                <c:pt idx="13" formatCode="0.0">
                  <c:v>35.199999999999996</c:v>
                </c:pt>
                <c:pt idx="14" formatCode="0.0">
                  <c:v>36.799999999999997</c:v>
                </c:pt>
                <c:pt idx="22" formatCode="0.0">
                  <c:v>15.5</c:v>
                </c:pt>
                <c:pt idx="23" formatCode="0.0">
                  <c:v>18.399999999999999</c:v>
                </c:pt>
                <c:pt idx="24" formatCode="0.0">
                  <c:v>21.2</c:v>
                </c:pt>
                <c:pt idx="25" formatCode="0.0">
                  <c:v>7.6</c:v>
                </c:pt>
                <c:pt idx="26" formatCode="0.0">
                  <c:v>22</c:v>
                </c:pt>
                <c:pt idx="27" formatCode="0.0">
                  <c:v>16.799999999999997</c:v>
                </c:pt>
                <c:pt idx="28" formatCode="0.0">
                  <c:v>5.7</c:v>
                </c:pt>
                <c:pt idx="29" formatCode="0.0">
                  <c:v>15.399999999999999</c:v>
                </c:pt>
                <c:pt idx="30" formatCode="0.0">
                  <c:v>8.2000000000000011</c:v>
                </c:pt>
                <c:pt idx="31" formatCode="0.0">
                  <c:v>29.099999999999994</c:v>
                </c:pt>
                <c:pt idx="32" formatCode="0.0">
                  <c:v>18.600000000000001</c:v>
                </c:pt>
                <c:pt idx="33" formatCode="0.0">
                  <c:v>22.2</c:v>
                </c:pt>
                <c:pt idx="34" formatCode="0.0">
                  <c:v>24.4</c:v>
                </c:pt>
                <c:pt idx="35" formatCode="0.0">
                  <c:v>32.5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E-4BEF-8839-F628DCCBF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327992"/>
        <c:axId val="459328384"/>
      </c:lineChart>
      <c:catAx>
        <c:axId val="4593279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328384"/>
        <c:crosses val="autoZero"/>
        <c:auto val="1"/>
        <c:lblAlgn val="ctr"/>
        <c:lblOffset val="100"/>
        <c:noMultiLvlLbl val="0"/>
      </c:catAx>
      <c:valAx>
        <c:axId val="45932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327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480533683289587"/>
          <c:y val="9.7800379119276762E-2"/>
          <c:w val="0.14463910761154855"/>
          <c:h val="0.15625109361329836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chart" Target="../charts/chart7.xml"/><Relationship Id="rId7" Type="http://schemas.openxmlformats.org/officeDocument/2006/relationships/image" Target="../media/image6.emf"/><Relationship Id="rId2" Type="http://schemas.openxmlformats.org/officeDocument/2006/relationships/image" Target="../media/image3.emf"/><Relationship Id="rId1" Type="http://schemas.openxmlformats.org/officeDocument/2006/relationships/chart" Target="../charts/chart6.xml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chart" Target="../charts/chart8.xml"/><Relationship Id="rId9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4" Type="http://schemas.openxmlformats.org/officeDocument/2006/relationships/image" Target="../media/image1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97103</xdr:colOff>
      <xdr:row>1</xdr:row>
      <xdr:rowOff>40851</xdr:rowOff>
    </xdr:from>
    <xdr:to>
      <xdr:col>6</xdr:col>
      <xdr:colOff>582083</xdr:colOff>
      <xdr:row>21</xdr:row>
      <xdr:rowOff>74084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7103" y="305434"/>
          <a:ext cx="3659980" cy="3673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/>
            <a:t>Currently produced in the Snake River between Lewiston and Hells Canyon Dam and portions of major tribtuaries.</a:t>
          </a:r>
        </a:p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/>
            <a:t>Most historical habitat was located upstream from the Hells Canyon Dam complex and is not currently accessible.</a:t>
          </a:r>
        </a:p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/>
            <a:t>Classified in fishery management as upriver bright fall Chinook along with the healthy Hanford Reach stock.</a:t>
          </a:r>
        </a:p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/>
            <a:t>Harvest of this stock is significant in the ocean and in freshwater.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30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600" i="0">
              <a:effectLst/>
            </a:rPr>
            <a:t>Hatchery</a:t>
          </a:r>
          <a:r>
            <a:rPr lang="en-US" sz="1600" i="0" baseline="0">
              <a:effectLst/>
            </a:rPr>
            <a:t> production has rebuilt a significant natural return and continues to produce a high proportion of the run.</a:t>
          </a:r>
          <a:endParaRPr lang="en-US" sz="1600" i="0">
            <a:effectLst/>
          </a:endParaRPr>
        </a:p>
      </xdr:txBody>
    </xdr:sp>
    <xdr:clientData/>
  </xdr:twoCellAnchor>
  <xdr:twoCellAnchor editAs="oneCell">
    <xdr:from>
      <xdr:col>7</xdr:col>
      <xdr:colOff>94236</xdr:colOff>
      <xdr:row>1</xdr:row>
      <xdr:rowOff>60224</xdr:rowOff>
    </xdr:from>
    <xdr:to>
      <xdr:col>16</xdr:col>
      <xdr:colOff>58258</xdr:colOff>
      <xdr:row>33</xdr:row>
      <xdr:rowOff>20109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486" y="324807"/>
          <a:ext cx="5389462" cy="579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36797</xdr:colOff>
      <xdr:row>51</xdr:row>
      <xdr:rowOff>140848</xdr:rowOff>
    </xdr:from>
    <xdr:to>
      <xdr:col>9</xdr:col>
      <xdr:colOff>174624</xdr:colOff>
      <xdr:row>69</xdr:row>
      <xdr:rowOff>145839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456595</xdr:colOff>
      <xdr:row>52</xdr:row>
      <xdr:rowOff>8919</xdr:rowOff>
    </xdr:from>
    <xdr:to>
      <xdr:col>16</xdr:col>
      <xdr:colOff>57838</xdr:colOff>
      <xdr:row>69</xdr:row>
      <xdr:rowOff>63500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4DFA95-47BB-4010-AABB-AAF90568A0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86571</xdr:colOff>
      <xdr:row>21</xdr:row>
      <xdr:rowOff>92287</xdr:rowOff>
    </xdr:from>
    <xdr:to>
      <xdr:col>7</xdr:col>
      <xdr:colOff>13607</xdr:colOff>
      <xdr:row>32</xdr:row>
      <xdr:rowOff>151977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C48588-2792-4F9D-91BC-3FA4AB927B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74084</xdr:colOff>
      <xdr:row>33</xdr:row>
      <xdr:rowOff>105834</xdr:rowOff>
    </xdr:from>
    <xdr:to>
      <xdr:col>17</xdr:col>
      <xdr:colOff>56727</xdr:colOff>
      <xdr:row>52</xdr:row>
      <xdr:rowOff>91440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6F251F-842B-498D-A0D3-BDFE5E911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532129</xdr:colOff>
      <xdr:row>48</xdr:row>
      <xdr:rowOff>176108</xdr:rowOff>
    </xdr:from>
    <xdr:to>
      <xdr:col>16</xdr:col>
      <xdr:colOff>31749</xdr:colOff>
      <xdr:row>49</xdr:row>
      <xdr:rowOff>23071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90F8012B-99A2-4784-9403-322223183365}"/>
            </a:ext>
          </a:extLst>
        </xdr:cNvPr>
        <xdr:cNvCxnSpPr/>
      </xdr:nvCxnSpPr>
      <xdr:spPr>
        <a:xfrm>
          <a:off x="1294129" y="8981441"/>
          <a:ext cx="7945120" cy="2688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511810</xdr:colOff>
      <xdr:row>40</xdr:row>
      <xdr:rowOff>52917</xdr:rowOff>
    </xdr:from>
    <xdr:to>
      <xdr:col>16</xdr:col>
      <xdr:colOff>31750</xdr:colOff>
      <xdr:row>40</xdr:row>
      <xdr:rowOff>60538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EDEA1BA3-577E-4853-9060-DAEDC767497F}"/>
            </a:ext>
          </a:extLst>
        </xdr:cNvPr>
        <xdr:cNvCxnSpPr/>
      </xdr:nvCxnSpPr>
      <xdr:spPr>
        <a:xfrm flipV="1">
          <a:off x="1273810" y="7418917"/>
          <a:ext cx="7965440" cy="762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199179</xdr:colOff>
      <xdr:row>38</xdr:row>
      <xdr:rowOff>54822</xdr:rowOff>
    </xdr:from>
    <xdr:ext cx="2568780" cy="28020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C20471DE-B936-47F1-96CD-E255B021AC7F}"/>
            </a:ext>
          </a:extLst>
        </xdr:cNvPr>
        <xdr:cNvSpPr txBox="1"/>
      </xdr:nvSpPr>
      <xdr:spPr>
        <a:xfrm>
          <a:off x="3374179" y="7060989"/>
          <a:ext cx="256878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chemeClr val="tx1"/>
              </a:solidFill>
            </a:rPr>
            <a:t>Mitigation Escapement</a:t>
          </a:r>
          <a:r>
            <a:rPr lang="en-US" sz="1200" b="1" baseline="0">
              <a:solidFill>
                <a:schemeClr val="tx1"/>
              </a:solidFill>
            </a:rPr>
            <a:t> Goal = 39,110</a:t>
          </a:r>
          <a:endParaRPr lang="en-US" sz="12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579332</xdr:colOff>
      <xdr:row>47</xdr:row>
      <xdr:rowOff>57784</xdr:rowOff>
    </xdr:from>
    <xdr:ext cx="2238498" cy="280205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283D32C-C2CF-4088-8F4C-BADC86C4569F}"/>
            </a:ext>
          </a:extLst>
        </xdr:cNvPr>
        <xdr:cNvSpPr txBox="1"/>
      </xdr:nvSpPr>
      <xdr:spPr>
        <a:xfrm>
          <a:off x="1341332" y="8683201"/>
          <a:ext cx="223849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solidFill>
                <a:schemeClr val="tx1"/>
              </a:solidFill>
            </a:rPr>
            <a:t>ICTRT minimum viability</a:t>
          </a:r>
          <a:r>
            <a:rPr lang="en-US" sz="1200" b="1" baseline="0">
              <a:solidFill>
                <a:schemeClr val="tx1"/>
              </a:solidFill>
            </a:rPr>
            <a:t> = 4,200</a:t>
          </a:r>
          <a:endParaRPr lang="en-US" sz="1200" b="1">
            <a:solidFill>
              <a:schemeClr val="tx1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238125</xdr:colOff>
      <xdr:row>6</xdr:row>
      <xdr:rowOff>129540</xdr:rowOff>
    </xdr:from>
    <xdr:to>
      <xdr:col>57</xdr:col>
      <xdr:colOff>558165</xdr:colOff>
      <xdr:row>20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211455</xdr:colOff>
      <xdr:row>18</xdr:row>
      <xdr:rowOff>171450</xdr:rowOff>
    </xdr:from>
    <xdr:to>
      <xdr:col>35</xdr:col>
      <xdr:colOff>325755</xdr:colOff>
      <xdr:row>21</xdr:row>
      <xdr:rowOff>154305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C030A-26B9-44BB-A501-5BD553B0F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0805" y="3486150"/>
          <a:ext cx="6408420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217170</xdr:colOff>
      <xdr:row>0</xdr:row>
      <xdr:rowOff>167640</xdr:rowOff>
    </xdr:from>
    <xdr:to>
      <xdr:col>16</xdr:col>
      <xdr:colOff>186690</xdr:colOff>
      <xdr:row>15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828675</xdr:colOff>
      <xdr:row>15</xdr:row>
      <xdr:rowOff>172101</xdr:rowOff>
    </xdr:from>
    <xdr:to>
      <xdr:col>10</xdr:col>
      <xdr:colOff>438997</xdr:colOff>
      <xdr:row>34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" y="3235341"/>
          <a:ext cx="5961592" cy="3390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53</xdr:col>
      <xdr:colOff>433918</xdr:colOff>
      <xdr:row>8</xdr:row>
      <xdr:rowOff>51858</xdr:rowOff>
    </xdr:from>
    <xdr:to>
      <xdr:col>63</xdr:col>
      <xdr:colOff>95251</xdr:colOff>
      <xdr:row>22</xdr:row>
      <xdr:rowOff>128058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42334</xdr:colOff>
      <xdr:row>51</xdr:row>
      <xdr:rowOff>21167</xdr:rowOff>
    </xdr:from>
    <xdr:to>
      <xdr:col>68</xdr:col>
      <xdr:colOff>317501</xdr:colOff>
      <xdr:row>65</xdr:row>
      <xdr:rowOff>97367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61</xdr:col>
      <xdr:colOff>65965</xdr:colOff>
      <xdr:row>68</xdr:row>
      <xdr:rowOff>31748</xdr:rowOff>
    </xdr:from>
    <xdr:ext cx="5677609" cy="3762375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4365" y="13176248"/>
          <a:ext cx="5677609" cy="376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61</xdr:col>
      <xdr:colOff>21167</xdr:colOff>
      <xdr:row>88</xdr:row>
      <xdr:rowOff>42333</xdr:rowOff>
    </xdr:from>
    <xdr:ext cx="6624109" cy="295275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39567" y="16996833"/>
          <a:ext cx="6624109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508636</xdr:colOff>
      <xdr:row>22</xdr:row>
      <xdr:rowOff>30480</xdr:rowOff>
    </xdr:from>
    <xdr:to>
      <xdr:col>9</xdr:col>
      <xdr:colOff>496302</xdr:colOff>
      <xdr:row>49</xdr:row>
      <xdr:rowOff>59055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6" y="4373880"/>
          <a:ext cx="5740766" cy="496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99060</xdr:colOff>
      <xdr:row>34</xdr:row>
      <xdr:rowOff>15240</xdr:rowOff>
    </xdr:from>
    <xdr:to>
      <xdr:col>20</xdr:col>
      <xdr:colOff>554355</xdr:colOff>
      <xdr:row>50</xdr:row>
      <xdr:rowOff>17145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540" y="6553200"/>
          <a:ext cx="5934075" cy="293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273262</xdr:colOff>
          <xdr:row>4</xdr:row>
          <xdr:rowOff>173144</xdr:rowOff>
        </xdr:from>
        <xdr:to>
          <xdr:col>7</xdr:col>
          <xdr:colOff>284692</xdr:colOff>
          <xdr:row>10</xdr:row>
          <xdr:rowOff>10372</xdr:rowOff>
        </xdr:to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A7F9D7FF-946A-472E-8AB8-58C7CC04A9D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Z$86:$AA$90" spid="_x0000_s3102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3892762" y="1220894"/>
              <a:ext cx="1239097" cy="91672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683895</xdr:colOff>
      <xdr:row>82</xdr:row>
      <xdr:rowOff>110490</xdr:rowOff>
    </xdr:from>
    <xdr:to>
      <xdr:col>12</xdr:col>
      <xdr:colOff>377190</xdr:colOff>
      <xdr:row>84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464E78-2518-48EB-8352-98FF130E8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895" y="14998065"/>
          <a:ext cx="5941695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531495</xdr:colOff>
      <xdr:row>1</xdr:row>
      <xdr:rowOff>114298</xdr:rowOff>
    </xdr:from>
    <xdr:ext cx="5293995" cy="4895851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001FCF3-B4F2-4435-9FF5-E8B7E3713BA9}"/>
            </a:ext>
          </a:extLst>
        </xdr:cNvPr>
        <xdr:cNvSpPr txBox="1"/>
      </xdr:nvSpPr>
      <xdr:spPr>
        <a:xfrm>
          <a:off x="531495" y="295273"/>
          <a:ext cx="5293995" cy="489585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Blocked area</a:t>
          </a:r>
        </a:p>
        <a:p>
          <a:r>
            <a:rPr lang="en-US" sz="1100" baseline="0"/>
            <a:t>Recovery plan reference estimated approx 408,500 to 536,180 Snake River CHF total. Recovery Plan also says that most of them spawned in the middle Snake.</a:t>
          </a:r>
        </a:p>
        <a:p>
          <a:endParaRPr lang="en-US" sz="1100" baseline="0"/>
        </a:p>
        <a:p>
          <a:r>
            <a:rPr lang="en-US" sz="1100" baseline="0"/>
            <a:t>IPC relicensing documents estimate 135,000 - 214,000 CHF upstream from HCC. (Note this less than half of the 500,000 ish total referenced in the recovery plan.</a:t>
          </a:r>
        </a:p>
        <a:p>
          <a:endParaRPr lang="en-US" sz="1100" baseline="0"/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CBP Phase I goals used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500,000 total for blocked and accessible based on recovery plan reference.</a:t>
          </a:r>
        </a:p>
        <a:p>
          <a:endParaRPr lang="en-US" sz="110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If we assume 500,000 CHF and 1 million spring/summer Chinook as identified in the respective recovery plans, the total is similar to the 1.4 million combined total identified in the NPCC loss assessment. </a:t>
          </a:r>
        </a:p>
        <a:p>
          <a:endParaRPr lang="en-US" sz="110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Based on these two numbers, we assumed 80% blockage loss - this is more than implied by the IPC vs recovery plan number but more consistent with the "most" language in the recovery plan.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The implicit assumption here is that current CHF numbers in the lower Snake are substantially below a potential/capacity of 100,000. (Science Center info may or may not support this high of an estimate depending on how current data is interpreted.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We have not made any explicit accounting for inundated CHF habitat in the lower Snake. Have seen no info on historical use of that area but have not looked very far.</a:t>
          </a:r>
          <a:endParaRPr lang="en-US">
            <a:effectLst/>
          </a:endParaRPr>
        </a:p>
        <a:p>
          <a:endParaRPr lang="en-US" sz="1100"/>
        </a:p>
        <a:p>
          <a:r>
            <a:rPr lang="en-US" sz="1100"/>
            <a:t>Note also that habitat in</a:t>
          </a:r>
          <a:r>
            <a:rPr lang="en-US" sz="1100" baseline="0"/>
            <a:t> blocked area is severely degraded such that numbers had declined to low levels by the time of HCC.</a:t>
          </a:r>
        </a:p>
        <a:p>
          <a:endParaRPr lang="en-US" sz="1100" baseline="0"/>
        </a:p>
      </xdr:txBody>
    </xdr:sp>
    <xdr:clientData/>
  </xdr:oneCellAnchor>
  <xdr:twoCellAnchor>
    <xdr:from>
      <xdr:col>10</xdr:col>
      <xdr:colOff>544830</xdr:colOff>
      <xdr:row>1</xdr:row>
      <xdr:rowOff>45720</xdr:rowOff>
    </xdr:from>
    <xdr:to>
      <xdr:col>20</xdr:col>
      <xdr:colOff>521970</xdr:colOff>
      <xdr:row>24</xdr:row>
      <xdr:rowOff>116169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77FAF47-7102-4E02-B901-B617ED587222}"/>
            </a:ext>
          </a:extLst>
        </xdr:cNvPr>
        <xdr:cNvGrpSpPr/>
      </xdr:nvGrpSpPr>
      <xdr:grpSpPr>
        <a:xfrm>
          <a:off x="6644640" y="228600"/>
          <a:ext cx="6067425" cy="4230969"/>
          <a:chOff x="7101792" y="262941"/>
          <a:chExt cx="6080760" cy="4244304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2516512-2F22-46F8-8492-1BB28614C6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01792" y="262941"/>
            <a:ext cx="6080760" cy="42443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635657F-A859-4A31-BD39-4A74DFFD90D2}"/>
              </a:ext>
            </a:extLst>
          </xdr:cNvPr>
          <xdr:cNvSpPr txBox="1"/>
        </xdr:nvSpPr>
        <xdr:spPr>
          <a:xfrm>
            <a:off x="7135987" y="657345"/>
            <a:ext cx="1899559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(From NPPC</a:t>
            </a:r>
            <a:r>
              <a:rPr lang="en-US" sz="1100" baseline="0"/>
              <a:t> Loss Assessment)</a:t>
            </a:r>
            <a:endParaRPr lang="en-US" sz="1100"/>
          </a:p>
        </xdr:txBody>
      </xdr:sp>
    </xdr:grpSp>
    <xdr:clientData/>
  </xdr:twoCellAnchor>
  <xdr:twoCellAnchor>
    <xdr:from>
      <xdr:col>10</xdr:col>
      <xdr:colOff>552450</xdr:colOff>
      <xdr:row>25</xdr:row>
      <xdr:rowOff>57150</xdr:rowOff>
    </xdr:from>
    <xdr:to>
      <xdr:col>20</xdr:col>
      <xdr:colOff>81915</xdr:colOff>
      <xdr:row>40</xdr:row>
      <xdr:rowOff>30480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8ABFE0BC-6932-489D-9463-8F843DF7B419}"/>
            </a:ext>
          </a:extLst>
        </xdr:cNvPr>
        <xdr:cNvGrpSpPr/>
      </xdr:nvGrpSpPr>
      <xdr:grpSpPr>
        <a:xfrm>
          <a:off x="6644640" y="4577715"/>
          <a:ext cx="5631180" cy="2689860"/>
          <a:chOff x="6648450" y="4629150"/>
          <a:chExt cx="5625465" cy="2716530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670FCF4-A6C8-4CBD-94E7-1586976865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48450" y="4629150"/>
            <a:ext cx="5625465" cy="271653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B5B9B32-C624-48EF-9199-266AD4691E83}"/>
              </a:ext>
            </a:extLst>
          </xdr:cNvPr>
          <xdr:cNvSpPr txBox="1"/>
        </xdr:nvSpPr>
        <xdr:spPr>
          <a:xfrm>
            <a:off x="7987665" y="4638675"/>
            <a:ext cx="1902179" cy="2620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(HCC</a:t>
            </a:r>
            <a:r>
              <a:rPr lang="en-US" sz="1100" baseline="0"/>
              <a:t> relicensing appendix)</a:t>
            </a:r>
            <a:endParaRPr lang="en-US" sz="1100"/>
          </a:p>
        </xdr:txBody>
      </xdr:sp>
    </xdr:grpSp>
    <xdr:clientData/>
  </xdr:twoCellAnchor>
  <xdr:twoCellAnchor editAs="oneCell">
    <xdr:from>
      <xdr:col>21</xdr:col>
      <xdr:colOff>428624</xdr:colOff>
      <xdr:row>15</xdr:row>
      <xdr:rowOff>22859</xdr:rowOff>
    </xdr:from>
    <xdr:to>
      <xdr:col>28</xdr:col>
      <xdr:colOff>503607</xdr:colOff>
      <xdr:row>37</xdr:row>
      <xdr:rowOff>116205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458825D-0857-4A22-BDD5-9DB777276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0224" y="2737484"/>
          <a:ext cx="4342183" cy="4074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421005</xdr:colOff>
      <xdr:row>1</xdr:row>
      <xdr:rowOff>1905</xdr:rowOff>
    </xdr:from>
    <xdr:to>
      <xdr:col>28</xdr:col>
      <xdr:colOff>409575</xdr:colOff>
      <xdr:row>14</xdr:row>
      <xdr:rowOff>81915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572C997-973F-4D00-B356-2EE6465E0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2605" y="182880"/>
          <a:ext cx="4255770" cy="243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ray.beamesderfer/Documents/NMFS/Partnership/9.%20Quantitative%20goals/Snake%20Chinook%20fall/FPC%20Hatchery%20Query.csv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y Beamesderfer" refreshedDate="43130.527003935182" createdVersion="5" refreshedVersion="5" minRefreshableVersion="3" recordCount="171" xr:uid="{00000000-000A-0000-FFFF-FFFF02000000}">
  <cacheSource type="worksheet">
    <worksheetSource ref="A1:N172" sheet="FPC Hatchery Query" r:id="rId2"/>
  </cacheSource>
  <cacheFields count="14">
    <cacheField name="MigrationYear" numFmtId="0">
      <sharedItems containsSemiMixedTypes="0" containsString="0" containsNumber="1" containsInteger="1" minValue="2008" maxValue="2017" count="10">
        <n v="2017"/>
        <n v="2016"/>
        <n v="2015"/>
        <n v="2014"/>
        <n v="2013"/>
        <n v="2012"/>
        <n v="2011"/>
        <n v="2010"/>
        <n v="2009"/>
        <n v="2008"/>
      </sharedItems>
    </cacheField>
    <cacheField name="Species" numFmtId="0">
      <sharedItems/>
    </cacheField>
    <cacheField name="RaceCode" numFmtId="0">
      <sharedItems/>
    </cacheField>
    <cacheField name="Hatchery" numFmtId="0">
      <sharedItems count="6">
        <s v="Irrigon Hatchery Complex"/>
        <s v="Nez Perce Tribal Hatchery"/>
        <s v="Lyons Ferry Hatchery"/>
        <s v="Oxbow-Idaho"/>
        <s v="Clearwater Hatchery"/>
        <s v="Umatilla Hatchery"/>
      </sharedItems>
    </cacheField>
    <cacheField name="ReleaseSite" numFmtId="0">
      <sharedItems count="14">
        <s v="Grande Ronde River"/>
        <s v="Hells Canyon Dam"/>
        <s v="Nez Perce Tribal Hatchery"/>
        <s v="Lukes Gulch Acclim."/>
        <s v="Cedar Flats Acclim."/>
        <s v="Lyons Ferry Hatchery"/>
        <s v="Tucannon River"/>
        <s v="Cpt John Acclim Pond"/>
        <s v="Pittsburg Landing Acclim Pond"/>
        <s v="Big Canyon (Clearwater River)"/>
        <s v="North Lapwai Valley Hatchery"/>
        <s v="Couse Creek"/>
        <s v="Lapwai Creek"/>
        <s v="Clearwater River"/>
      </sharedItems>
    </cacheField>
    <cacheField name="AgencyCode" numFmtId="0">
      <sharedItems/>
    </cacheField>
    <cacheField name="ReleaseStartDate" numFmtId="14">
      <sharedItems containsSemiMixedTypes="0" containsNonDate="0" containsDate="1" containsString="0" minDate="2008-04-07T00:00:00" maxDate="2017-06-11T00:00:00"/>
    </cacheField>
    <cacheField name="NumReleased" numFmtId="0">
      <sharedItems containsSemiMixedTypes="0" containsString="0" containsNumber="1" containsInteger="1" minValue="90739" maxValue="1046267"/>
    </cacheField>
    <cacheField name="RelRiver" numFmtId="0">
      <sharedItems/>
    </cacheField>
    <cacheField name="ReleaseFinishDate" numFmtId="14">
      <sharedItems containsSemiMixedTypes="0" containsNonDate="0" containsDate="1" containsString="0" minDate="2008-04-10T00:00:00" maxDate="2017-06-11T00:00:00"/>
    </cacheField>
    <cacheField name="LifeStage" numFmtId="0">
      <sharedItems/>
    </cacheField>
    <cacheField name="LotId" numFmtId="0">
      <sharedItems containsSemiMixedTypes="0" containsString="0" containsNumber="1" containsInteger="1" minValue="8098" maxValue="17348"/>
    </cacheField>
    <cacheField name="RiverZone" numFmtId="0">
      <sharedItems/>
    </cacheField>
    <cacheField name="Marking_Inf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1">
  <r>
    <x v="0"/>
    <s v="Fall Chinook Subyearling"/>
    <s v="FA"/>
    <x v="0"/>
    <x v="0"/>
    <s v="ODFW"/>
    <d v="2017-05-30T00:00:00"/>
    <n v="424393"/>
    <s v="Grande Ronde River"/>
    <d v="2017-05-30T00:00:00"/>
    <s v="Smolt"/>
    <n v="17107"/>
    <s v="SNAK"/>
    <s v="204298 AD/CWT (63-71-99); 220095 UNMARKED; 3000 PIT;"/>
  </r>
  <r>
    <x v="0"/>
    <s v="Fall Chinook Subyearling"/>
    <s v="FA"/>
    <x v="0"/>
    <x v="1"/>
    <s v="ODFW"/>
    <d v="2017-05-15T00:00:00"/>
    <n v="1000000"/>
    <s v="Snake River"/>
    <d v="2017-05-19T00:00:00"/>
    <s v="Smolt"/>
    <n v="17108"/>
    <s v="SNAK"/>
    <s v="800000 AD; 200000 AD/CWT; 3000 PIT;"/>
  </r>
  <r>
    <x v="0"/>
    <s v="Fall Chinook Subyearling"/>
    <s v="FA"/>
    <x v="1"/>
    <x v="2"/>
    <s v="NEZP"/>
    <d v="2017-06-07T00:00:00"/>
    <n v="640000"/>
    <s v="Clearwater River M F"/>
    <d v="2017-06-07T00:00:00"/>
    <s v="Smolt"/>
    <n v="17178"/>
    <s v="SNAK"/>
    <s v="205000 CWT; 105000 AD/CWT; 330000 UNMARKED; 2000 PIT;"/>
  </r>
  <r>
    <x v="0"/>
    <s v="Fall Chinook Subyearling"/>
    <s v="FA"/>
    <x v="1"/>
    <x v="2"/>
    <s v="NEZP"/>
    <d v="2017-06-08T00:00:00"/>
    <n v="322000"/>
    <s v="Clearwater River M F"/>
    <d v="2017-06-08T00:00:00"/>
    <s v="Smolt"/>
    <n v="17179"/>
    <s v="SNAK"/>
    <s v="205000 CWT; 105000 AD/CWT; 12000 UNMARKED; 2000 PIT;"/>
  </r>
  <r>
    <x v="0"/>
    <s v="Fall Chinook Subyearling"/>
    <s v="FA"/>
    <x v="1"/>
    <x v="3"/>
    <s v="NEZP"/>
    <d v="2017-06-06T00:00:00"/>
    <n v="225000"/>
    <s v="S Fk Clearwater River"/>
    <d v="2017-06-06T00:00:00"/>
    <s v="Smolt"/>
    <n v="17180"/>
    <s v="SNAK"/>
    <s v="102500 CWT; 102500 AD/CWT; 20000 UNMARKED; 2000 PIT;"/>
  </r>
  <r>
    <x v="0"/>
    <s v="Fall Chinook Subyearling"/>
    <s v="FA"/>
    <x v="1"/>
    <x v="4"/>
    <s v="NEZP"/>
    <d v="2017-05-20T00:00:00"/>
    <n v="225000"/>
    <s v="Selway River"/>
    <d v="2017-05-20T00:00:00"/>
    <s v="Smolt"/>
    <n v="17181"/>
    <s v="SNAK"/>
    <s v="102500 CWT; 102500 AD/CWT; 20000 UNMARKED;Emergency release due to power outages; Fish released ~3 weeks before originally scheduled"/>
  </r>
  <r>
    <x v="0"/>
    <s v="Fall Chinook Yearling "/>
    <s v="FA"/>
    <x v="2"/>
    <x v="5"/>
    <s v="WDFW"/>
    <d v="2017-04-03T00:00:00"/>
    <n v="458557"/>
    <s v="Snake River"/>
    <d v="2017-04-05T00:00:00"/>
    <s v="Smolt"/>
    <n v="17290"/>
    <s v="SNAK"/>
    <s v="224881 CWT (63-70-40 63-70-41); 231540 AD/CWT (63-70-40); 511 AD; 1625 UNMARKED; 31000 PIT;"/>
  </r>
  <r>
    <x v="0"/>
    <s v="Fall Chinook Subyearling"/>
    <s v="FA"/>
    <x v="2"/>
    <x v="5"/>
    <s v="WDFW"/>
    <d v="2017-05-31T00:00:00"/>
    <n v="204579"/>
    <s v="Snake River"/>
    <d v="2017-05-31T00:00:00"/>
    <s v="Smolt"/>
    <n v="17291"/>
    <s v="SNAK"/>
    <s v="196389 AD/CWT (63-71-98); 729 CWT (63-71-98); 7228 AD; 233 UNMARKED; 19995 PIT;"/>
  </r>
  <r>
    <x v="0"/>
    <s v="Fall Chinook Subyearling"/>
    <s v="FA"/>
    <x v="2"/>
    <x v="6"/>
    <s v="WDFW"/>
    <d v="2017-03-10T00:00:00"/>
    <n v="100000"/>
    <s v="Tucannon River"/>
    <d v="2017-03-10T00:00:00"/>
    <s v="Parr"/>
    <n v="17340"/>
    <s v="SNAK"/>
    <s v="100000 UNMARKED;Surplus production planted into Tucannon River (~2-3 rkm upstream of mouth)"/>
  </r>
  <r>
    <x v="0"/>
    <s v="Fall Chinook Yearling "/>
    <s v="FA"/>
    <x v="2"/>
    <x v="7"/>
    <s v="WDFW"/>
    <d v="2017-03-31T00:00:00"/>
    <n v="150000"/>
    <s v="Snake River"/>
    <d v="2017-03-31T00:00:00"/>
    <s v="Smolt"/>
    <n v="17341"/>
    <s v="SNAK"/>
    <s v="70000 AD/CWT; 80000 CWT;Release earlier than planned due to high flows"/>
  </r>
  <r>
    <x v="0"/>
    <s v="Fall Chinook Yearling "/>
    <s v="FA"/>
    <x v="2"/>
    <x v="8"/>
    <s v="WDFW"/>
    <d v="2017-04-07T00:00:00"/>
    <n v="150000"/>
    <s v="Snake River"/>
    <d v="2017-04-07T00:00:00"/>
    <s v="Smolt"/>
    <n v="17342"/>
    <s v="SNAK"/>
    <s v="70000 AD/CWT; 80000 CWT;"/>
  </r>
  <r>
    <x v="0"/>
    <s v="Fall Chinook Yearling "/>
    <s v="FA"/>
    <x v="2"/>
    <x v="9"/>
    <s v="WDFW"/>
    <d v="2017-04-10T00:00:00"/>
    <n v="150000"/>
    <s v="Clearwater River M F"/>
    <d v="2017-04-14T00:00:00"/>
    <s v="Smolt"/>
    <n v="17343"/>
    <s v="SNAK"/>
    <s v="70000 AD/CWT; 80000 CWT;"/>
  </r>
  <r>
    <x v="0"/>
    <s v="Fall Chinook Subyearling"/>
    <s v="FA"/>
    <x v="2"/>
    <x v="7"/>
    <s v="WDFW"/>
    <d v="2017-05-25T00:00:00"/>
    <n v="500000"/>
    <s v="Snake River"/>
    <d v="2017-05-25T00:00:00"/>
    <s v="Smolt"/>
    <n v="17344"/>
    <s v="SNAK"/>
    <s v="100000 AD/CWT; 100000 CWT; 300000 UNMARKED;  PIT;Release Date TBD - Estimated release date based on 2016 release"/>
  </r>
  <r>
    <x v="0"/>
    <s v="Fall Chinook Subyearling"/>
    <s v="FA"/>
    <x v="2"/>
    <x v="8"/>
    <s v="WDFW"/>
    <d v="2017-05-20T00:00:00"/>
    <n v="400000"/>
    <s v="Snake River"/>
    <d v="2017-05-20T00:00:00"/>
    <s v="Smolt"/>
    <n v="17345"/>
    <s v="SNAK"/>
    <s v="100000 AD/CWT; 100000 CWT; 200000 UNMARKED;  PIT;Release Date TBD - Estimated release date based on 2016 release"/>
  </r>
  <r>
    <x v="0"/>
    <s v="Fall Chinook Subyearling"/>
    <s v="FA"/>
    <x v="2"/>
    <x v="9"/>
    <s v="WDFW"/>
    <d v="2017-05-26T00:00:00"/>
    <n v="500000"/>
    <s v="Clearwater River M F"/>
    <d v="2017-05-26T00:00:00"/>
    <s v="Smolt"/>
    <n v="17346"/>
    <s v="SNAK"/>
    <s v="100000 AD/CWT; 100000 CWT; 300000 UNMARKED;  PIT;Release Date TBD - Estimated release date based on 2016 release"/>
  </r>
  <r>
    <x v="0"/>
    <s v="Fall Chinook Subyearling"/>
    <s v="FA"/>
    <x v="2"/>
    <x v="7"/>
    <s v="WDFW"/>
    <d v="2017-06-10T00:00:00"/>
    <n v="200000"/>
    <s v="Snake River"/>
    <d v="2017-06-10T00:00:00"/>
    <s v="Smolt"/>
    <n v="17347"/>
    <s v="SNAK"/>
    <s v="200000 AD/CWT;  PIT;Release Date TBD - Estimated release date based on 2016 release"/>
  </r>
  <r>
    <x v="0"/>
    <s v="Fall Chinook Subyearling"/>
    <s v="FA"/>
    <x v="2"/>
    <x v="5"/>
    <s v="WDFW"/>
    <d v="2017-03-20T00:00:00"/>
    <n v="308750"/>
    <s v="Snake River"/>
    <d v="2017-03-22T00:00:00"/>
    <s v="Parr"/>
    <n v="17348"/>
    <s v="SNAK"/>
    <s v="107844 CWT (22-03-82); 200906 UNMARKED;Accidental early release due to equipment malfunction; Releases occured on 3/20 3/21 &amp; 3/22"/>
  </r>
  <r>
    <x v="1"/>
    <s v="Fall Chinook Subyearling"/>
    <s v="FA"/>
    <x v="0"/>
    <x v="1"/>
    <s v="ODFW"/>
    <d v="2016-05-16T00:00:00"/>
    <n v="1041185"/>
    <s v="Snake River"/>
    <d v="2016-05-18T00:00:00"/>
    <s v="Smolt"/>
    <n v="16075"/>
    <s v="SNAK"/>
    <s v="792552 AD; 247014 AD/CWT (09-01-13); 393 CWT (09-01-13); 1226 UNMARKED; 3000 PIT;"/>
  </r>
  <r>
    <x v="1"/>
    <s v="Fall Chinook Subyearling"/>
    <s v="FA"/>
    <x v="0"/>
    <x v="0"/>
    <s v="ODFW"/>
    <d v="2016-05-31T00:00:00"/>
    <n v="429889"/>
    <s v="Grande Ronde River"/>
    <d v="2016-05-31T00:00:00"/>
    <s v="Smolt"/>
    <n v="16193"/>
    <s v="SNAK"/>
    <s v="208039 AD/CWT (63-70-37); 221850 UNMARKED;"/>
  </r>
  <r>
    <x v="1"/>
    <s v="Fall Chinook Subyearling"/>
    <s v="FA"/>
    <x v="1"/>
    <x v="2"/>
    <s v="NEZP"/>
    <d v="2016-06-07T00:00:00"/>
    <n v="637089"/>
    <s v="Clearwater River M F"/>
    <d v="2016-06-07T00:00:00"/>
    <s v="Smolt"/>
    <n v="16330"/>
    <s v="SNAK"/>
    <s v="204215 CWT (22-02-54 22-02-55); 101505 AD/CWT (22-02-54 22-02-55); 1034 AD; 330335 UNMARKED; 1998 PIT;"/>
  </r>
  <r>
    <x v="1"/>
    <s v="Fall Chinook Subyearling"/>
    <s v="FA"/>
    <x v="1"/>
    <x v="2"/>
    <s v="NEZP"/>
    <d v="2016-06-08T00:00:00"/>
    <n v="321983"/>
    <s v="Clearwater River M F"/>
    <d v="2016-06-08T00:00:00"/>
    <s v="Smolt"/>
    <n v="16331"/>
    <s v="SNAK"/>
    <s v="203347 CWT (22-02-49 22-02-50 22-02-51); 101709 AD/CWT (22-02-49 22-02-50 22-02-51); 295 AD; 16632 UNMARKED; 1998 PIT;"/>
  </r>
  <r>
    <x v="1"/>
    <s v="Fall Chinook Subyearling"/>
    <s v="FA"/>
    <x v="1"/>
    <x v="3"/>
    <s v="NEZP"/>
    <d v="2016-06-06T00:00:00"/>
    <n v="224191"/>
    <s v="S Fk Clearwater River"/>
    <d v="2016-06-06T00:00:00"/>
    <s v="Smolt"/>
    <n v="16332"/>
    <s v="SNAK"/>
    <s v="103008 CWT (22-02-41 22-02-42); 101522 AD/CWT (22-02-41 22-02-42); 293 AD; 19368 UNMARKED; 2000 PIT;"/>
  </r>
  <r>
    <x v="1"/>
    <s v="Fall Chinook Subyearling"/>
    <s v="FA"/>
    <x v="1"/>
    <x v="4"/>
    <s v="NEZP"/>
    <d v="2016-06-06T00:00:00"/>
    <n v="229030"/>
    <s v="Selway River"/>
    <d v="2016-06-06T00:00:00"/>
    <s v="Smolt"/>
    <n v="16333"/>
    <s v="SNAK"/>
    <s v="103613 CWT (22-02-43 22-02-44); 101775 AD/CWT (22-02-43 22-02-44); 287 AD; 23355 UNMARKED; 1998 PIT;"/>
  </r>
  <r>
    <x v="1"/>
    <s v="Fall Chinook Yearling "/>
    <s v="FA"/>
    <x v="2"/>
    <x v="5"/>
    <s v="WDFW"/>
    <d v="2016-04-04T00:00:00"/>
    <n v="487177"/>
    <s v="Snake River"/>
    <d v="2016-04-06T00:00:00"/>
    <s v="Smolt"/>
    <n v="16338"/>
    <s v="SNAK"/>
    <s v="238441 AD/CWT (63-68-86); 232898 CWT (63-68-86 63-68-85); 7248 AD; 8590 UNMARKED; 30000 PIT;"/>
  </r>
  <r>
    <x v="1"/>
    <s v="Fall Chinook Subyearling"/>
    <s v="FA"/>
    <x v="2"/>
    <x v="5"/>
    <s v="WDFW"/>
    <d v="2016-05-31T00:00:00"/>
    <n v="202460"/>
    <s v="Snake River"/>
    <d v="2016-05-31T00:00:00"/>
    <s v="Smolt"/>
    <n v="16339"/>
    <s v="SNAK"/>
    <s v="186508 AD/CWT (63-70-38); 2246 CWT (63-70-38); 13543 AD; 163 UNMARKED; 20000 PIT;"/>
  </r>
  <r>
    <x v="1"/>
    <s v="Fall Chinook Yearling "/>
    <s v="FA"/>
    <x v="2"/>
    <x v="7"/>
    <s v="WDFW"/>
    <d v="2016-04-01T00:00:00"/>
    <n v="164700"/>
    <s v="Snake River"/>
    <d v="2016-04-01T00:00:00"/>
    <s v="Smolt"/>
    <n v="16340"/>
    <s v="SNAK"/>
    <s v="70821 AD/CWT (22-03-63 22-03-64); 91267 CWT (22-03-63 22-03-64); 135 AD; 2477 UNMARKED; 976 PIT;"/>
  </r>
  <r>
    <x v="1"/>
    <s v="Fall Chinook Yearling "/>
    <s v="FA"/>
    <x v="2"/>
    <x v="8"/>
    <s v="WDFW"/>
    <d v="2016-04-07T00:00:00"/>
    <n v="153584"/>
    <s v="Snake River"/>
    <d v="2016-04-07T00:00:00"/>
    <s v="Smolt"/>
    <n v="16341"/>
    <s v="SNAK"/>
    <s v="70212 AD/CWT (22-03-62 22-03-65); 81524 CWT (22-03-62 22-03-65); 1267 AD; 581 UNMARKED; 986 PIT;"/>
  </r>
  <r>
    <x v="1"/>
    <s v="Fall Chinook Yearling "/>
    <s v="FA"/>
    <x v="2"/>
    <x v="9"/>
    <s v="WDFW"/>
    <d v="2016-03-28T00:00:00"/>
    <n v="153451"/>
    <s v="Clearwater River M F"/>
    <d v="2016-04-08T00:00:00"/>
    <s v="Smolt"/>
    <n v="16342"/>
    <s v="SNAK"/>
    <s v="71112 AD/CWT (22-03-61 22-03-66); 80995 CWT (22-03-61 22-03-66); 141 AD; 1203 UNMARKED; 986 PIT;~30000 released on 3/28; Remainder released on 4/8"/>
  </r>
  <r>
    <x v="1"/>
    <s v="Fall Chinook Subyearling"/>
    <s v="FA"/>
    <x v="2"/>
    <x v="7"/>
    <s v="WDFW"/>
    <d v="2016-06-10T00:00:00"/>
    <n v="198983"/>
    <s v="Snake River"/>
    <d v="2016-06-10T00:00:00"/>
    <s v="Smolt"/>
    <n v="16343"/>
    <s v="SNAK"/>
    <s v="193377 AD/CWT (22-03-73); 4480 CWT (22-03-73); 1100 AD; 26 UNMARKED; 2000 PIT;Second acclimation group"/>
  </r>
  <r>
    <x v="1"/>
    <s v="Fall Chinook Subyearling"/>
    <s v="FA"/>
    <x v="2"/>
    <x v="7"/>
    <s v="WDFW"/>
    <d v="2016-05-25T00:00:00"/>
    <n v="509235"/>
    <s v="Snake River"/>
    <d v="2016-05-25T00:00:00"/>
    <s v="Smolt"/>
    <n v="16344"/>
    <s v="SNAK"/>
    <s v="99210 AD/CWT (22-03-67 22-03-68); 101138 CWT (22-03-67 22-03-68); 307094 UNMARKED; 1793 AD; 25973 PIT;Acclimated release"/>
  </r>
  <r>
    <x v="1"/>
    <s v="Fall Chinook Subyearling"/>
    <s v="FA"/>
    <x v="2"/>
    <x v="8"/>
    <s v="WDFW"/>
    <d v="2016-05-20T00:00:00"/>
    <n v="398086"/>
    <s v="Snake River"/>
    <d v="2016-05-20T00:00:00"/>
    <s v="Smolt"/>
    <n v="16345"/>
    <s v="SNAK"/>
    <s v="99913 AD/CWT (22-03-71 22-03-72); 100374 CWT (22-03-71 22-03-72); 197001 UNMARKED; 1798 AD; 26052 PIT;"/>
  </r>
  <r>
    <x v="1"/>
    <s v="Fall Chinook Subyearling"/>
    <s v="FA"/>
    <x v="2"/>
    <x v="9"/>
    <s v="WDFW"/>
    <d v="2016-05-26T00:00:00"/>
    <n v="500739"/>
    <s v="Clearwater River M F"/>
    <d v="2016-05-26T00:00:00"/>
    <s v="Smolt"/>
    <n v="16346"/>
    <s v="SNAK"/>
    <s v="98974 AD/CWT (22-03-69 22-03-70); 101360 CWT (22-03-69 22-03-70); 298985 UNMARKED; 1420 AD; 1985 PIT;"/>
  </r>
  <r>
    <x v="2"/>
    <s v="Fall Chinook Subyearling"/>
    <s v="FA"/>
    <x v="0"/>
    <x v="0"/>
    <s v="ODFW"/>
    <d v="2015-05-18T00:00:00"/>
    <n v="456100"/>
    <s v="Grande Ronde River"/>
    <d v="2015-05-18T00:00:00"/>
    <s v="Smolt"/>
    <n v="15080"/>
    <s v="SNAK"/>
    <s v="207700 AD/CWT (63-68-83); 248400 Unmarked"/>
  </r>
  <r>
    <x v="2"/>
    <s v="Fall Chinook Yearling "/>
    <s v="FA"/>
    <x v="2"/>
    <x v="5"/>
    <s v="WDFW"/>
    <d v="2015-04-06T00:00:00"/>
    <n v="452372"/>
    <s v="Snake River"/>
    <d v="2015-04-07T00:00:00"/>
    <s v="Smolt"/>
    <n v="15210"/>
    <s v="SNAK"/>
    <s v="218428 AD/CWT; 223202 CWT Only; 7267 AD Only; 3475 Unmarked; PIT; CWT Codes (63-67-40 63-67-41)"/>
  </r>
  <r>
    <x v="2"/>
    <s v="Fall Chinook Yearling "/>
    <s v="FA"/>
    <x v="2"/>
    <x v="7"/>
    <s v="WDFW"/>
    <d v="2015-04-01T00:00:00"/>
    <n v="153125"/>
    <s v="Snake River"/>
    <d v="2015-04-01T00:00:00"/>
    <s v="Smolt"/>
    <n v="15211"/>
    <s v="SNAK"/>
    <s v="72145 AD/CWT; 80656 CWT Only; 998 PIT"/>
  </r>
  <r>
    <x v="2"/>
    <s v="Fall Chinook Yearling "/>
    <s v="FA"/>
    <x v="2"/>
    <x v="8"/>
    <s v="WDFW"/>
    <d v="2015-04-09T00:00:00"/>
    <n v="155476"/>
    <s v="Snake River"/>
    <d v="2015-04-09T00:00:00"/>
    <s v="Smolt"/>
    <n v="15212"/>
    <s v="SNAK"/>
    <s v="72595 AD/CWT; 82413 CWT Only; 144 AD Only; 324 Unmarked; 998 PIT"/>
  </r>
  <r>
    <x v="2"/>
    <s v="Fall Chinook Yearling "/>
    <s v="FA"/>
    <x v="2"/>
    <x v="9"/>
    <s v="WDFW"/>
    <d v="2015-04-10T00:00:00"/>
    <n v="154880"/>
    <s v="Clearwater River M F"/>
    <d v="2015-04-10T00:00:00"/>
    <s v="Smolt"/>
    <n v="15213"/>
    <s v="SNAK"/>
    <s v="72369 AD/CWT; 81558 CWT Only; 145 AD Only; 808 Unmarked; 995 PIT"/>
  </r>
  <r>
    <x v="2"/>
    <s v="Fall Chinook Subyearling"/>
    <s v="FA"/>
    <x v="2"/>
    <x v="5"/>
    <s v="WDFW"/>
    <d v="2015-05-18T00:00:00"/>
    <n v="219358"/>
    <s v="Snake River"/>
    <d v="2015-05-18T00:00:00"/>
    <s v="Smolt"/>
    <n v="15214"/>
    <s v="SNAK"/>
    <s v="22887 AD Only; 188831 AD/CWT; 1389 CWT Only; 6251 Unmarked; PIT; CWT Code 63-68-82"/>
  </r>
  <r>
    <x v="2"/>
    <s v="Fall Chinook Subyearling"/>
    <s v="FA"/>
    <x v="2"/>
    <x v="7"/>
    <s v="WDFW"/>
    <d v="2015-06-05T00:00:00"/>
    <n v="218590"/>
    <s v="Snake River"/>
    <d v="2015-06-05T00:00:00"/>
    <s v="Smolt"/>
    <n v="15215"/>
    <s v="SNAK"/>
    <s v="208078 AD/CWT; 7238 AD Only; 3274 Unmarked; 2000 PIT; Direct next to acclimation pond"/>
  </r>
  <r>
    <x v="2"/>
    <s v="Fall Chinook Subyearling"/>
    <s v="FA"/>
    <x v="2"/>
    <x v="7"/>
    <s v="WDFW"/>
    <d v="2015-05-19T00:00:00"/>
    <n v="538379"/>
    <s v="Snake River"/>
    <d v="2015-05-19T00:00:00"/>
    <s v="Smolt"/>
    <n v="15216"/>
    <s v="SNAK"/>
    <s v="96612 CWT Only; 95493 AD/CWT; 322801 Unmarked; 22473 AD Only; 22058 PIT"/>
  </r>
  <r>
    <x v="2"/>
    <s v="Fall Chinook Subyearling"/>
    <s v="FA"/>
    <x v="2"/>
    <x v="8"/>
    <s v="WDFW"/>
    <d v="2015-05-13T00:00:00"/>
    <n v="398010"/>
    <s v="Snake River"/>
    <d v="2015-05-13T00:00:00"/>
    <s v="Smolt"/>
    <n v="15217"/>
    <s v="SNAK"/>
    <s v="96274 CWT Only; 97130 AD/CWT; 198625 Unmarked; 5981 AD Only; 22103 PIT"/>
  </r>
  <r>
    <x v="2"/>
    <s v="Fall Chinook Subyearling"/>
    <s v="FA"/>
    <x v="2"/>
    <x v="9"/>
    <s v="WDFW"/>
    <d v="2015-05-21T00:00:00"/>
    <n v="547491"/>
    <s v="Clearwater River M F"/>
    <d v="2015-05-21T00:00:00"/>
    <s v="Smolt"/>
    <n v="15218"/>
    <s v="SNAK"/>
    <s v="322029 Unmarked; 35091 AD Only; 95796 AD/CWT; 94575 CWT Only; 1998 PIT"/>
  </r>
  <r>
    <x v="2"/>
    <s v="Fall Chinook Subyearling"/>
    <s v="FA"/>
    <x v="0"/>
    <x v="1"/>
    <s v="ODFW"/>
    <d v="2015-05-11T00:00:00"/>
    <n v="1046267"/>
    <s v="Snake River"/>
    <d v="2015-05-13T00:00:00"/>
    <s v="Smolt"/>
    <n v="15273"/>
    <s v="SNAK"/>
    <s v="800547 AD; 244342 AD/CWT; 268 CWT Only; 1110 Unmarked; 3000 PIT"/>
  </r>
  <r>
    <x v="2"/>
    <s v="Fall Chinook Subyearling"/>
    <s v="FA"/>
    <x v="1"/>
    <x v="2"/>
    <s v="NEZP"/>
    <d v="2015-06-03T00:00:00"/>
    <n v="537331"/>
    <s v="Clearwater River M F"/>
    <d v="2015-06-04T00:00:00"/>
    <s v="Smolt"/>
    <n v="15325"/>
    <s v="SNAK"/>
    <s v="19% AD/CWT; 37% CWT Only; 44% Unmarked; 2000 PIT; Release from Ponds"/>
  </r>
  <r>
    <x v="2"/>
    <s v="Fall Chinook Subyearling"/>
    <s v="FA"/>
    <x v="1"/>
    <x v="2"/>
    <s v="NEZP"/>
    <d v="2015-05-29T00:00:00"/>
    <n v="920414"/>
    <s v="Clearwater River M F"/>
    <d v="2015-06-04T00:00:00"/>
    <s v="Smolt"/>
    <n v="15326"/>
    <s v="SNAK"/>
    <s v="26% AD/CWT; 53% CWT Only; 21% Unmarked; 2000 PIT; Released from S Channels"/>
  </r>
  <r>
    <x v="2"/>
    <s v="Fall Chinook Subyearling"/>
    <s v="FA"/>
    <x v="1"/>
    <x v="3"/>
    <s v="NEZP"/>
    <d v="2015-05-29T00:00:00"/>
    <n v="323512"/>
    <s v="S Fk Clearwater River"/>
    <d v="2015-05-29T00:00:00"/>
    <s v="Smolt"/>
    <n v="15327"/>
    <s v="SNAK"/>
    <s v="30% AD/CWT; 30% CWT Only; 40% Unmarked; 2000 PIT"/>
  </r>
  <r>
    <x v="2"/>
    <s v="Fall Chinook Subyearling"/>
    <s v="FA"/>
    <x v="1"/>
    <x v="4"/>
    <s v="NEZP"/>
    <d v="2015-06-02T00:00:00"/>
    <n v="322515"/>
    <s v="Selway River"/>
    <d v="2015-06-02T00:00:00"/>
    <s v="Smolt"/>
    <n v="15328"/>
    <s v="SNAK"/>
    <s v="30% AD/CWT; 30% CWT Only; 40% Unmarked; 2000 PIT"/>
  </r>
  <r>
    <x v="3"/>
    <s v="Fall Chinook Subyearling"/>
    <s v="FA"/>
    <x v="0"/>
    <x v="1"/>
    <s v="ODFW"/>
    <d v="2014-05-19T00:00:00"/>
    <n v="911614"/>
    <s v="Snake River"/>
    <d v="2014-05-21T00:00:00"/>
    <s v="Smolt"/>
    <n v="14045"/>
    <s v="SNAK"/>
    <s v="717974 AD Only; 191092 AD/CWT; 525 CWT Only; 2023 Unmarked; 3000 PIT; CWT Code 09-08-18"/>
  </r>
  <r>
    <x v="3"/>
    <s v="Fall Chinook Subyearling"/>
    <s v="FA"/>
    <x v="0"/>
    <x v="0"/>
    <s v="ODFW"/>
    <d v="2014-05-21T00:00:00"/>
    <n v="403926"/>
    <s v="Grande Ronde River"/>
    <d v="2014-05-21T00:00:00"/>
    <s v="Smolt"/>
    <n v="14188"/>
    <s v="SNAK"/>
    <s v="202273 AD/CWT (63-67-39); 201653 Unmarked"/>
  </r>
  <r>
    <x v="3"/>
    <s v="Fall Chinook Yearling "/>
    <s v="FA"/>
    <x v="2"/>
    <x v="5"/>
    <s v="WDFW"/>
    <d v="2014-04-08T00:00:00"/>
    <n v="503273"/>
    <s v="Snake River"/>
    <d v="2014-04-11T00:00:00"/>
    <s v="Smolt"/>
    <n v="14291"/>
    <s v="SNAK"/>
    <s v="253047 CWT Only; 246702 AD/CWT; 1505 AD Only; 2019 Unmarked; 29842 PIT; CWT Codes (63-65-83 63-65-84)"/>
  </r>
  <r>
    <x v="3"/>
    <s v="Fall Chinook Yearling "/>
    <s v="FA"/>
    <x v="2"/>
    <x v="7"/>
    <s v="WDFW"/>
    <d v="2014-04-01T00:00:00"/>
    <n v="163884"/>
    <s v="Snake River"/>
    <d v="2014-04-01T00:00:00"/>
    <s v="Smolt"/>
    <n v="14292"/>
    <s v="SNAK"/>
    <s v="76256 AD/CWT (22-03-39); 86972 CWT Only (22-03-38); 306 AD Only; 350 Unmarked; 994 PIT"/>
  </r>
  <r>
    <x v="3"/>
    <s v="Fall Chinook Yearling "/>
    <s v="FA"/>
    <x v="2"/>
    <x v="8"/>
    <s v="WDFW"/>
    <d v="2014-04-14T00:00:00"/>
    <n v="165866"/>
    <s v="Snake River"/>
    <d v="2014-04-14T00:00:00"/>
    <s v="Smolt"/>
    <n v="14293"/>
    <s v="SNAK"/>
    <s v="76657 AD/CWT (63-03-40); 88140 CWT Only (22-03-37); 774 AD Only; 295 Unmarked; 999 PIT"/>
  </r>
  <r>
    <x v="3"/>
    <s v="Fall Chinook Yearling "/>
    <s v="FA"/>
    <x v="2"/>
    <x v="9"/>
    <s v="WDFW"/>
    <d v="2014-04-17T00:00:00"/>
    <n v="163414"/>
    <s v="Clearwater River M F"/>
    <d v="2014-04-17T00:00:00"/>
    <s v="Smolt"/>
    <n v="14294"/>
    <s v="SNAK"/>
    <s v="75180 AD/CWT(22-03-41); 86380 CWT Only (22-03-36); 1274 AD Only; 580 Unmarked; 989 PIT"/>
  </r>
  <r>
    <x v="3"/>
    <s v="Fall Chinook Subyearling"/>
    <s v="FA"/>
    <x v="2"/>
    <x v="5"/>
    <s v="WDFW"/>
    <d v="2014-06-03T00:00:00"/>
    <n v="209972"/>
    <s v="Snake River"/>
    <d v="2014-06-03T00:00:00"/>
    <s v="Smolt"/>
    <n v="14295"/>
    <s v="SNAK"/>
    <s v="202329 AD/CWT; 6572 AD Only; 1071 CWT Only; CWT Code  63-67-37; 19969 PIT"/>
  </r>
  <r>
    <x v="3"/>
    <s v="Fall Chinook Subyearling"/>
    <s v="FA"/>
    <x v="2"/>
    <x v="7"/>
    <s v="WDFW"/>
    <d v="2014-06-06T00:00:00"/>
    <n v="191151"/>
    <s v="Snake River"/>
    <d v="2014-06-06T00:00:00"/>
    <s v="Smolt"/>
    <n v="14296"/>
    <s v="SNAK"/>
    <s v="185799 AD/CWT (63-67-38); 5352 AD Only; 1999 PIT; Direct release near acclimation pond (Not acclimated)"/>
  </r>
  <r>
    <x v="3"/>
    <s v="Fall Chinook Subyearling"/>
    <s v="FA"/>
    <x v="2"/>
    <x v="7"/>
    <s v="WDFW"/>
    <d v="2014-05-21T00:00:00"/>
    <n v="511827"/>
    <s v="Snake River"/>
    <d v="2014-05-21T00:00:00"/>
    <s v="Smolt"/>
    <n v="14297"/>
    <s v="SNAK"/>
    <s v="99142 CWT Only (22-03-43); 101241 AD/CWT (22-03-46); 308643 Unmarked; 2801 AD Only; 1999 PIT"/>
  </r>
  <r>
    <x v="3"/>
    <s v="Fall Chinook Subyearling"/>
    <s v="FA"/>
    <x v="2"/>
    <x v="8"/>
    <s v="WDFW"/>
    <d v="2014-05-20T00:00:00"/>
    <n v="400868"/>
    <s v="Snake River"/>
    <d v="2014-05-20T00:00:00"/>
    <s v="Smolt"/>
    <n v="14298"/>
    <s v="SNAK"/>
    <s v="99455 CWT Only (22-03-44); 100063 AD/CWT (22-03-47); 199946 Unmarked; 1404 AD Only; 1997 PIT"/>
  </r>
  <r>
    <x v="3"/>
    <s v="Fall Chinook Subyearling"/>
    <s v="FA"/>
    <x v="2"/>
    <x v="9"/>
    <s v="WDFW"/>
    <d v="2014-05-22T00:00:00"/>
    <n v="525826"/>
    <s v="Clearwater River M F"/>
    <d v="2014-05-22T00:00:00"/>
    <s v="Smolt"/>
    <n v="14299"/>
    <s v="SNAK"/>
    <s v="98628 CWT Only (22-03-42); 94950 AD/CWT (22-03-45); 324660 Unmarked; 7588 AD Only; 1989 PIT"/>
  </r>
  <r>
    <x v="3"/>
    <s v="Fall Chinook Subyearling"/>
    <s v="FA"/>
    <x v="1"/>
    <x v="2"/>
    <s v="NEZP"/>
    <d v="2014-06-11T00:00:00"/>
    <n v="526278"/>
    <s v="Clearwater River M F"/>
    <d v="2014-06-11T00:00:00"/>
    <s v="Smolt"/>
    <n v="14348"/>
    <s v="SNAK"/>
    <s v="207537 CWT Only (22-02-39); 102898 AD/CWT (22-02-37); 744 AD Only; 215099 Unmarked; 1999 PIT"/>
  </r>
  <r>
    <x v="3"/>
    <s v="Fall Chinook Subyearling"/>
    <s v="FA"/>
    <x v="1"/>
    <x v="10"/>
    <s v="NEZP"/>
    <d v="2014-05-22T00:00:00"/>
    <n v="415556"/>
    <s v="Clearwater River M F"/>
    <d v="2014-05-22T00:00:00"/>
    <s v="Smolt"/>
    <n v="14349"/>
    <s v="SNAK"/>
    <s v="202383 CWT Only (22-02-40); 100911 AD/CWT (22-02-38); 1770 AD Only; 110492 Unmarked; 1993 PIT"/>
  </r>
  <r>
    <x v="3"/>
    <s v="Fall Chinook Subyearling"/>
    <s v="FA"/>
    <x v="1"/>
    <x v="3"/>
    <s v="NEZP"/>
    <d v="2014-06-10T00:00:00"/>
    <n v="255283"/>
    <s v="S Fk Clearwater River"/>
    <d v="2014-06-10T00:00:00"/>
    <s v="Smolt"/>
    <n v="14350"/>
    <s v="SNAK"/>
    <s v="103285 CWT Only (22-02-36); 100870 AD/CWT (22-02-34); 729 AD Only; 50399 Unmarked; 1998 PIT"/>
  </r>
  <r>
    <x v="3"/>
    <s v="Fall Chinook Subyearling"/>
    <s v="FA"/>
    <x v="1"/>
    <x v="4"/>
    <s v="NEZP"/>
    <d v="2014-06-10T00:00:00"/>
    <n v="252889"/>
    <s v="Selway River"/>
    <d v="2014-06-10T00:00:00"/>
    <s v="Smolt"/>
    <n v="14351"/>
    <s v="SNAK"/>
    <s v="99344 CWT Only (22-02-35); 102430 AD/CWT (22-02-33); 740 AD Only; 50375 Unmarked; 1994 PIT"/>
  </r>
  <r>
    <x v="4"/>
    <s v="Fall Chinook Subyearling"/>
    <s v="FA"/>
    <x v="0"/>
    <x v="1"/>
    <s v="ODFW"/>
    <d v="2013-05-20T00:00:00"/>
    <n v="879746"/>
    <s v="Snake River"/>
    <d v="2013-05-22T00:00:00"/>
    <s v="Smolt"/>
    <n v="13075"/>
    <s v="SNAK"/>
    <s v="651123 AD; 228054 AD/CWT; 156 AD Only; 413 CWT Only; 2994 PIT; CWT Code 09-07-03"/>
  </r>
  <r>
    <x v="4"/>
    <s v="Fall Chinook Yearling "/>
    <s v="FA"/>
    <x v="2"/>
    <x v="5"/>
    <s v="WDFW"/>
    <d v="2013-04-10T00:00:00"/>
    <n v="489500"/>
    <s v="Snake River"/>
    <d v="2013-04-12T00:00:00"/>
    <s v="Smolt"/>
    <n v="13182"/>
    <s v="SNAK"/>
    <s v="243877 CWT Only (63-64-43); 242041 AD/CWT (63-64-44); 804 AD Only; 2778 Unmarked; 29295 PIT"/>
  </r>
  <r>
    <x v="4"/>
    <s v="Fall Chinook Subyearling"/>
    <s v="FA"/>
    <x v="2"/>
    <x v="5"/>
    <s v="WDFW"/>
    <d v="2013-05-09T00:00:00"/>
    <n v="211600"/>
    <s v="Snake River"/>
    <d v="2013-05-10T00:00:00"/>
    <s v="Smolt"/>
    <n v="13183"/>
    <s v="SNAK"/>
    <s v="210494 AD/CWT (63-65-74); 967 AD Only; 138 CWT Only; 19772 PIT"/>
  </r>
  <r>
    <x v="4"/>
    <s v="Fall Chinook Subyearling"/>
    <s v="FA"/>
    <x v="2"/>
    <x v="11"/>
    <s v="WDFW"/>
    <d v="2013-05-09T00:00:00"/>
    <n v="205300"/>
    <s v="Snake River"/>
    <d v="2013-05-10T00:00:00"/>
    <s v="Smolt"/>
    <n v="13184"/>
    <s v="SNAK"/>
    <s v="202159 AD/CWT; 2012 CWT Only; 1006 AD Only; 123 Unmarked; 2985 PIT; CWT Code 63-65-75"/>
  </r>
  <r>
    <x v="4"/>
    <s v="Fall Chinook Yearling "/>
    <s v="FA"/>
    <x v="2"/>
    <x v="8"/>
    <s v="WDFW"/>
    <d v="2013-04-16T00:00:00"/>
    <n v="162912"/>
    <s v="Snake River"/>
    <d v="2013-04-16T00:00:00"/>
    <s v="Smolt"/>
    <n v="13335"/>
    <s v="SNAK"/>
    <s v="88908 CWT Only; 71679 AD/CWT; 564 AD Only; 1761 Unmarked; 2897 PIT; CWT Codes (22-03-34 22-03-30)"/>
  </r>
  <r>
    <x v="4"/>
    <s v="Fall Chinook Yearling "/>
    <s v="FA"/>
    <x v="2"/>
    <x v="7"/>
    <s v="WDFW"/>
    <d v="2013-04-01T00:00:00"/>
    <n v="163223"/>
    <s v="Snake River"/>
    <d v="2013-04-01T00:00:00"/>
    <s v="Smolt"/>
    <n v="13336"/>
    <s v="SNAK"/>
    <s v="89993 CWT Only; 71930 AD/CWT; 580 AD Only; 720 Unmarked; 3088 PIT; CWT Codes (22-03-32 22-03-35)"/>
  </r>
  <r>
    <x v="4"/>
    <s v="Fall Chinook Yearling "/>
    <s v="FA"/>
    <x v="2"/>
    <x v="9"/>
    <s v="WDFW"/>
    <d v="2013-04-17T00:00:00"/>
    <n v="158917"/>
    <s v="Clearwater River M F"/>
    <d v="2013-04-17T00:00:00"/>
    <s v="Smolt"/>
    <n v="13337"/>
    <s v="SNAK"/>
    <s v="85359 CWT Only; 71973 AD/CWT; 580 Ad Only; 1005 Unmarked; 2998 PIT; CWT Codes (22-03-31 22-03-33)"/>
  </r>
  <r>
    <x v="4"/>
    <s v="Fall Chinook Subyearling"/>
    <s v="FA"/>
    <x v="2"/>
    <x v="8"/>
    <s v="WDFW"/>
    <d v="2013-05-20T00:00:00"/>
    <n v="398027"/>
    <s v="Snake River"/>
    <d v="2013-05-20T00:00:00"/>
    <s v="Smolt"/>
    <n v="13338"/>
    <s v="SNAK"/>
    <s v="101085 CWT Only; 100673 AD/CWT; 404 AD Only; 195865 Unmarked; 2990 PIT; CWT Codes (22-01-46 22-01-45)"/>
  </r>
  <r>
    <x v="4"/>
    <s v="Fall Chinook Subyearling"/>
    <s v="FA"/>
    <x v="2"/>
    <x v="7"/>
    <s v="WDFW"/>
    <d v="2013-05-17T00:00:00"/>
    <n v="499586"/>
    <s v="Snake River"/>
    <d v="2013-05-17T00:00:00"/>
    <s v="Smolt"/>
    <n v="13339"/>
    <s v="SNAK"/>
    <s v="100631 CWT Only; 101234 AD/CWT; 297721 Unmarked; 2986 PIT; CWT Codes (22-01-43 22-01-41)"/>
  </r>
  <r>
    <x v="4"/>
    <s v="Fall Chinook Subyearling"/>
    <s v="FA"/>
    <x v="2"/>
    <x v="9"/>
    <s v="WDFW"/>
    <d v="2013-05-22T00:00:00"/>
    <n v="502287"/>
    <s v="Clearwater River M F"/>
    <d v="2013-05-22T00:00:00"/>
    <s v="Smolt"/>
    <n v="13340"/>
    <s v="SNAK"/>
    <s v="99807 CWT Only; 100804 AD/CWT; 202 AD Only; 301474 Unmarked; 2993 PIT; CWT Codes (22-01-44 22-01-42)"/>
  </r>
  <r>
    <x v="4"/>
    <s v="Fall Chinook Subyearling"/>
    <s v="FA"/>
    <x v="1"/>
    <x v="2"/>
    <s v="NEZP"/>
    <d v="2013-06-07T00:00:00"/>
    <n v="686593"/>
    <s v="Clearwater River M F"/>
    <d v="2013-06-13T00:00:00"/>
    <s v="Smolt"/>
    <n v="13341"/>
    <s v="SNAK"/>
    <s v="194561 CWT Only; 97447 AD/CWT; 7154 AD Only; 387401 Unmarked; 2987 PIT; CWT Codes (22-02-26 22-02-32)"/>
  </r>
  <r>
    <x v="4"/>
    <s v="Fall Chinook Subyearling"/>
    <s v="FA"/>
    <x v="1"/>
    <x v="12"/>
    <s v="NEZP"/>
    <d v="2013-05-09T00:00:00"/>
    <n v="495537"/>
    <s v="Clearwater River M F"/>
    <d v="2013-05-10T00:00:00"/>
    <s v="Smolt"/>
    <n v="13342"/>
    <s v="SNAK"/>
    <s v="199689 CWT Only (22-02-31); 100435 AD/CWT (22-02-25); 1015 AD Only; 194398 Unmarked; 2985 PIT"/>
  </r>
  <r>
    <x v="4"/>
    <s v="Fall Chinook Subyearling"/>
    <s v="FA"/>
    <x v="1"/>
    <x v="3"/>
    <s v="NEZP"/>
    <d v="2013-06-11T00:00:00"/>
    <n v="204330"/>
    <s v="S Fk Clearwater River"/>
    <d v="2013-06-11T00:00:00"/>
    <s v="Smolt"/>
    <n v="13343"/>
    <s v="SNAK"/>
    <s v="94062 CWT Only; 96387 AD/CWT; 2524 Ad Only; 11357 Unmarked; 2995 PIT; CWT Codes (22-02-19 22-02-20)"/>
  </r>
  <r>
    <x v="4"/>
    <s v="Fall Chinook Subyearling"/>
    <s v="FA"/>
    <x v="1"/>
    <x v="4"/>
    <s v="NEZP"/>
    <d v="2013-06-10T00:00:00"/>
    <n v="213864"/>
    <s v="Selway River"/>
    <d v="2013-06-10T00:00:00"/>
    <s v="Smolt"/>
    <n v="13344"/>
    <s v="SNAK"/>
    <s v="101113 CWT Only; 97468 AD/CWT; 4384 AD Only; 10899 Unmarked; 2997 PIT; CWT Codes (22-02-21 22-02-22)"/>
  </r>
  <r>
    <x v="4"/>
    <s v="Fall Chinook Subyearling"/>
    <s v="FA"/>
    <x v="0"/>
    <x v="0"/>
    <s v="ODFW"/>
    <d v="2013-05-21T00:00:00"/>
    <n v="401273"/>
    <s v="Grande Ronde River"/>
    <d v="2013-05-21T00:00:00"/>
    <s v="Smolt"/>
    <n v="13365"/>
    <s v="SNAK"/>
    <s v="54% AD/CWT (53-65-76); 46% Unmarked; 3000 PIT"/>
  </r>
  <r>
    <x v="5"/>
    <s v="Fall Chinook Subyearling"/>
    <s v="FA"/>
    <x v="3"/>
    <x v="1"/>
    <s v="IDFG"/>
    <d v="2012-05-03T00:00:00"/>
    <n v="202281"/>
    <s v="Snake River"/>
    <d v="2012-05-03T00:00:00"/>
    <s v="Smolt"/>
    <n v="12019"/>
    <s v="SNAK"/>
    <s v="225 AD Only; 14910 AD/PIT; 187146 AD/CWT"/>
  </r>
  <r>
    <x v="5"/>
    <s v="Fall Chinook Subyearling"/>
    <s v="FA"/>
    <x v="2"/>
    <x v="11"/>
    <s v="WDFW"/>
    <d v="2012-05-21T00:00:00"/>
    <n v="226819"/>
    <s v="Snake River"/>
    <d v="2012-06-08T00:00:00"/>
    <s v="Smolt"/>
    <n v="12054"/>
    <s v="SNAK"/>
    <s v="100% Unmarked/PIT; Snake River Surrogates"/>
  </r>
  <r>
    <x v="5"/>
    <s v="Fall Chinook Subyearling"/>
    <s v="FA"/>
    <x v="2"/>
    <x v="9"/>
    <s v="WDFW"/>
    <d v="2012-06-18T00:00:00"/>
    <n v="97013"/>
    <s v="Clearwater River M F"/>
    <d v="2012-07-06T00:00:00"/>
    <s v="Smolt"/>
    <n v="12055"/>
    <s v="SNAK"/>
    <s v="100% Unmarked/PIT; Clearwater River Surrogates"/>
  </r>
  <r>
    <x v="5"/>
    <s v="Fall Chinook Yearling "/>
    <s v="FA"/>
    <x v="2"/>
    <x v="8"/>
    <s v="WDFW"/>
    <d v="2012-04-11T00:00:00"/>
    <n v="171122"/>
    <s v="Snake River"/>
    <d v="2012-04-11T00:00:00"/>
    <s v="Smolt"/>
    <n v="12077"/>
    <s v="SNAK"/>
    <s v="90110 CWT Only; 79519 AD/CWT; 316 AD Only; 1177 Unmarked; 18813 PIT"/>
  </r>
  <r>
    <x v="5"/>
    <s v="Fall Chinook Yearling "/>
    <s v="FA"/>
    <x v="2"/>
    <x v="7"/>
    <s v="WDFW"/>
    <d v="2012-03-28T00:00:00"/>
    <n v="155134"/>
    <s v="Snake River"/>
    <d v="2012-03-28T00:00:00"/>
    <s v="Smolt"/>
    <n v="12078"/>
    <s v="SNAK"/>
    <s v="81042 CWT Only; 72233 AD/CWT; 432 AD Only; 1427 Unmarked; 18961 PIT"/>
  </r>
  <r>
    <x v="5"/>
    <s v="Fall Chinook Yearling "/>
    <s v="FA"/>
    <x v="2"/>
    <x v="9"/>
    <s v="WDFW"/>
    <d v="2012-04-12T00:00:00"/>
    <n v="163615"/>
    <s v="Clearwater River M F"/>
    <d v="2012-04-12T00:00:00"/>
    <s v="Smolt"/>
    <n v="12079"/>
    <s v="SNAK"/>
    <s v="86184 CWT Only; 74973 AD/CWT; 903 Ad Only; 1555 Unmarked; 18201 PIT"/>
  </r>
  <r>
    <x v="5"/>
    <s v="Fall Chinook Subyearling"/>
    <s v="FA"/>
    <x v="2"/>
    <x v="8"/>
    <s v="WDFW"/>
    <d v="2012-05-22T00:00:00"/>
    <n v="402400"/>
    <s v="Snake River"/>
    <d v="2012-05-22T00:00:00"/>
    <s v="Smolt"/>
    <n v="12080"/>
    <s v="SNAK"/>
    <s v="100500 CWT Only; 100850 AD/CWT; 405 AD Only; 200645 Unmarked; 32870 PIT"/>
  </r>
  <r>
    <x v="5"/>
    <s v="Fall Chinook Subyearling"/>
    <s v="FA"/>
    <x v="2"/>
    <x v="7"/>
    <s v="WDFW"/>
    <d v="2012-05-21T00:00:00"/>
    <n v="505728"/>
    <s v="Snake River"/>
    <d v="2012-05-21T00:00:00"/>
    <s v="Smolt"/>
    <n v="12081"/>
    <s v="SNAK"/>
    <s v="100818 CWT Only; 101194 AD/CWT; 202 AD Only; 303514 Unmarked; 41055 PIT"/>
  </r>
  <r>
    <x v="5"/>
    <s v="Fall Chinook Subyearling"/>
    <s v="FA"/>
    <x v="2"/>
    <x v="9"/>
    <s v="WDFW"/>
    <d v="2012-05-23T00:00:00"/>
    <n v="511629"/>
    <s v="Clearwater River M F"/>
    <d v="2012-05-23T00:00:00"/>
    <s v="Smolt"/>
    <n v="12082"/>
    <s v="SNAK"/>
    <s v="101327 CWT Only; 101565 AD/CWT; 308737 Unmarked; 41062 PIT"/>
  </r>
  <r>
    <x v="5"/>
    <s v="Fall Chinook Subyearling"/>
    <s v="FA"/>
    <x v="1"/>
    <x v="2"/>
    <s v="NEZP"/>
    <d v="2012-06-11T00:00:00"/>
    <n v="598486"/>
    <s v="Clearwater River M F"/>
    <d v="2012-06-15T00:00:00"/>
    <s v="Smolt"/>
    <n v="12083"/>
    <s v="SNAK"/>
    <s v="202095 CWT Only; 103487 AD/CWT; 1813 AD Only; 291091 Unmarked; 5918 PIT"/>
  </r>
  <r>
    <x v="5"/>
    <s v="Fall Chinook Subyearling"/>
    <s v="FA"/>
    <x v="1"/>
    <x v="12"/>
    <s v="NEZP"/>
    <d v="2012-05-08T00:00:00"/>
    <n v="285396"/>
    <s v="Clearwater River M F"/>
    <d v="2012-05-08T00:00:00"/>
    <s v="Smolt"/>
    <n v="12084"/>
    <s v="SNAK"/>
    <s v="34% CWT Only; 17.5% AD/CWT; 0.7% AD Only; 47.7% Unmarked; PIT; Emergency release due to poor fish condition"/>
  </r>
  <r>
    <x v="5"/>
    <s v="Fall Chinook Subyearling"/>
    <s v="FA"/>
    <x v="1"/>
    <x v="3"/>
    <s v="NEZP"/>
    <d v="2012-06-13T00:00:00"/>
    <n v="198856"/>
    <s v="S Fk Clearwater River"/>
    <d v="2012-06-13T00:00:00"/>
    <s v="Smolt"/>
    <n v="12085"/>
    <s v="SNAK"/>
    <s v="95710 CWT Only; 96099 AD/CWT; 1276 AD Only; 5771 Unmarked; 16415 PIT"/>
  </r>
  <r>
    <x v="5"/>
    <s v="Fall Chinook Subyearling"/>
    <s v="FA"/>
    <x v="1"/>
    <x v="4"/>
    <s v="NEZP"/>
    <d v="2012-06-12T00:00:00"/>
    <n v="199450"/>
    <s v="Selway River"/>
    <d v="2012-06-12T00:00:00"/>
    <s v="Smolt"/>
    <n v="12086"/>
    <s v="SNAK"/>
    <s v="99570 CWT Only; 94079 AD/CWT; 5305 AD Only; 496 Unmarked; 16561 PIT"/>
  </r>
  <r>
    <x v="5"/>
    <s v="Fall Chinook Yearling "/>
    <s v="FA"/>
    <x v="2"/>
    <x v="5"/>
    <s v="WDFW"/>
    <d v="2012-04-10T00:00:00"/>
    <n v="490000"/>
    <s v="Snake River"/>
    <d v="2012-04-13T00:00:00"/>
    <s v="Smolt"/>
    <n v="12182"/>
    <s v="SNAK"/>
    <s v="236551 CWT Only; 247907 AD/CWT; 5542 Unmarked; CWT Codes  (63-60-79 63-60-80); 29990 PIT"/>
  </r>
  <r>
    <x v="5"/>
    <s v="Fall Chinook Subyearling"/>
    <s v="FA"/>
    <x v="2"/>
    <x v="5"/>
    <s v="WDFW"/>
    <d v="2012-05-29T00:00:00"/>
    <n v="200900"/>
    <s v="Snake River"/>
    <d v="2012-05-30T00:00:00"/>
    <s v="Smolt"/>
    <n v="12183"/>
    <s v="SNAK"/>
    <s v="198357 AD/CWT (63-64-17); 2275 AD Only; 268 Unmarked; 19943 PIT"/>
  </r>
  <r>
    <x v="5"/>
    <s v="Fall Chinook Subyearling"/>
    <s v="FA"/>
    <x v="2"/>
    <x v="11"/>
    <s v="WDFW"/>
    <d v="2012-05-29T00:00:00"/>
    <n v="199300"/>
    <s v="Snake River"/>
    <d v="2012-05-30T00:00:00"/>
    <s v="Smolt"/>
    <n v="12184"/>
    <s v="SNAK"/>
    <s v="195088 AD/CWT (63-64-18); 3554 AD Only; 658 Unmarked; 16313 PIT"/>
  </r>
  <r>
    <x v="5"/>
    <s v="Fall Chinook Subyearling"/>
    <s v="FA"/>
    <x v="0"/>
    <x v="1"/>
    <s v="ODFW"/>
    <d v="2012-05-22T00:00:00"/>
    <n v="800400"/>
    <s v="Snake River"/>
    <d v="2012-05-24T00:00:00"/>
    <s v="Smolt"/>
    <n v="12346"/>
    <s v="SNAK"/>
    <s v="594780 AD Only; 205620 AD/CWT; 36927 PIT"/>
  </r>
  <r>
    <x v="5"/>
    <s v="Fall Chinook Subyearling"/>
    <s v="FA"/>
    <x v="0"/>
    <x v="0"/>
    <s v="ODFW"/>
    <d v="2012-05-24T00:00:00"/>
    <n v="384000"/>
    <s v="Grande Ronde River"/>
    <d v="2012-05-24T00:00:00"/>
    <s v="Smolt"/>
    <n v="12357"/>
    <s v="SNAK"/>
    <s v="216000 AD/CWT (63-64-19); 168000 Unmarked; PIT"/>
  </r>
  <r>
    <x v="5"/>
    <s v="Fall Chinook Subyearling"/>
    <s v="FA"/>
    <x v="4"/>
    <x v="12"/>
    <s v="IDFG"/>
    <d v="2012-05-30T00:00:00"/>
    <n v="277817"/>
    <s v="Clearwater River M F"/>
    <d v="2012-05-30T00:00:00"/>
    <s v="Smolt"/>
    <n v="12358"/>
    <s v="SNAK"/>
    <s v="34% CWT Only; 17.5% AD/CWT; 0.7% AD Only; 47.7% Unmarked; PIT"/>
  </r>
  <r>
    <x v="6"/>
    <s v="Fall Chinook Subyearling"/>
    <s v="FA"/>
    <x v="3"/>
    <x v="1"/>
    <s v="IDFG"/>
    <d v="2011-05-05T00:00:00"/>
    <n v="194809"/>
    <s v="Snake River"/>
    <d v="2011-05-05T00:00:00"/>
    <s v="Smolt"/>
    <n v="11038"/>
    <s v="SNAK"/>
    <s v="15769 AD Only; 167137 AD/CWT; 11903 Unmarked; 14927 PIT"/>
  </r>
  <r>
    <x v="6"/>
    <s v="Fall Chinook Subyearling"/>
    <s v="FA"/>
    <x v="2"/>
    <x v="11"/>
    <s v="WDFW"/>
    <d v="2011-05-23T00:00:00"/>
    <n v="200754"/>
    <s v="Snake River"/>
    <d v="2011-06-10T00:00:00"/>
    <s v="Smolt"/>
    <n v="11053"/>
    <s v="SNAK"/>
    <s v="100% Unclipped/UnCWT; 100% PIT; Surrogate Release"/>
  </r>
  <r>
    <x v="6"/>
    <s v="Fall Chinook Subyearling"/>
    <s v="FA"/>
    <x v="2"/>
    <x v="9"/>
    <s v="WDFW"/>
    <d v="2011-06-20T00:00:00"/>
    <n v="108812"/>
    <s v="Clearwater River M F"/>
    <d v="2011-07-08T00:00:00"/>
    <s v="Smolt"/>
    <n v="11054"/>
    <s v="SNAK"/>
    <s v="100% Unclipped/UnCWT; 100% PIT; Surrogate Release"/>
  </r>
  <r>
    <x v="6"/>
    <s v="Fall Chinook Subyearling"/>
    <s v="FA"/>
    <x v="0"/>
    <x v="0"/>
    <s v="ODFW"/>
    <d v="2011-05-24T00:00:00"/>
    <n v="399500"/>
    <s v="Grande Ronde River"/>
    <d v="2011-05-24T00:00:00"/>
    <s v="Smolt"/>
    <n v="11189"/>
    <s v="SNAK"/>
    <s v="60.6% AD/CWT (63-59-99); 39.4% Unmarked; Release near Cougar Creek"/>
  </r>
  <r>
    <x v="6"/>
    <s v="Fall Chinook Subyearling"/>
    <s v="FA"/>
    <x v="0"/>
    <x v="1"/>
    <s v="ODFW"/>
    <d v="2011-05-24T00:00:00"/>
    <n v="638900"/>
    <s v="Snake River"/>
    <d v="2011-05-26T00:00:00"/>
    <s v="Smolt"/>
    <n v="11190"/>
    <s v="SNAK"/>
    <s v="435100 AD Only; 195414 AD/CWT; 7989 Unmarked; 397 CWT Only; 36925 PIT"/>
  </r>
  <r>
    <x v="6"/>
    <s v="Fall Chinook Yearling "/>
    <s v="FA"/>
    <x v="2"/>
    <x v="5"/>
    <s v="WDFW"/>
    <d v="2011-04-12T00:00:00"/>
    <n v="463729"/>
    <s v="Snake River"/>
    <d v="2011-04-15T00:00:00"/>
    <s v="Smolt"/>
    <n v="11261"/>
    <s v="SNAK"/>
    <s v="226621 AD/CWT (63-55-64); 308 AD Only; 462 CWT Only (63-55-64); 236175 CWT Only (63-55-10); 163 Unmarked; 29890 PIT"/>
  </r>
  <r>
    <x v="6"/>
    <s v="Fall Chinook Yearling "/>
    <s v="FA"/>
    <x v="2"/>
    <x v="7"/>
    <s v="WDFW"/>
    <d v="2011-04-01T00:00:00"/>
    <n v="154586"/>
    <s v="Snake River"/>
    <d v="2011-04-01T00:00:00"/>
    <s v="Smolt"/>
    <n v="11262"/>
    <s v="SNAK"/>
    <s v="71407 AD/CWT; 80830 CWT Only; 867 AD Only; 1482 Unmarked; 18954 PIT; CWT Codes (22-03-14 22-03-15)"/>
  </r>
  <r>
    <x v="6"/>
    <s v="Fall Chinook Yearling "/>
    <s v="FA"/>
    <x v="2"/>
    <x v="8"/>
    <s v="WDFW"/>
    <d v="2011-04-13T00:00:00"/>
    <n v="166410"/>
    <s v="Snake River"/>
    <d v="2011-04-13T00:00:00"/>
    <s v="Smolt"/>
    <n v="11263"/>
    <s v="SNAK"/>
    <s v="69415 AD/CWT; 93103 CWT Only; 2766 AD Only; 1126 Unmarked; 18947 PIT; CWT Codes (22-03-13 22-03-16)"/>
  </r>
  <r>
    <x v="6"/>
    <s v="Fall Chinook Yearling "/>
    <s v="FA"/>
    <x v="2"/>
    <x v="9"/>
    <s v="WDFW"/>
    <d v="2011-04-14T00:00:00"/>
    <n v="162344"/>
    <s v="Clearwater River M F"/>
    <d v="2011-04-14T00:00:00"/>
    <s v="Smolt"/>
    <n v="11264"/>
    <s v="SNAK"/>
    <s v="71096 AD/CWT; 89325 CWT Only; 286 AD Only; 1637 Unmarked; 18877 PIT; CWT Codes (22-03-12 22-03-17)"/>
  </r>
  <r>
    <x v="6"/>
    <s v="Fall Chinook Subyearling"/>
    <s v="FA"/>
    <x v="2"/>
    <x v="5"/>
    <s v="WDFW"/>
    <d v="2011-06-01T00:00:00"/>
    <n v="202200"/>
    <s v="Snake River"/>
    <d v="2011-06-01T00:00:00"/>
    <s v="Smolt"/>
    <n v="11265"/>
    <s v="SNAK"/>
    <s v="200512 AD/CWT; 1407 AD Only; 281 CWT Only; CWT Code: 63-59-98"/>
  </r>
  <r>
    <x v="6"/>
    <s v="Fall Chinook Subyearling"/>
    <s v="FA"/>
    <x v="2"/>
    <x v="7"/>
    <s v="WDFW"/>
    <d v="2011-05-22T00:00:00"/>
    <n v="516480"/>
    <s v="Snake River"/>
    <d v="2011-05-22T00:00:00"/>
    <s v="Smolt"/>
    <n v="11266"/>
    <s v="SNAK"/>
    <s v="100967 AD/CWT; 100986 CWT Only; 200 AD Only; 314327 Unmarked; 41029 PIT; CWT Codes (22-01-20 22-01-19)"/>
  </r>
  <r>
    <x v="6"/>
    <s v="Fall Chinook Subyearling"/>
    <s v="FA"/>
    <x v="2"/>
    <x v="8"/>
    <s v="WDFW"/>
    <d v="2011-05-23T00:00:00"/>
    <n v="413284"/>
    <s v="Snake River"/>
    <d v="2011-05-23T00:00:00"/>
    <s v="Smolt"/>
    <n v="11267"/>
    <s v="SNAK"/>
    <s v="100999 CWT Only; 100987 AD/CWT; 201 AD Only; 211097 Unmarked; 32855 PIT; CWT Codes (22-01-22 22-01-21)"/>
  </r>
  <r>
    <x v="6"/>
    <s v="Fall Chinook Subyearling"/>
    <s v="FA"/>
    <x v="2"/>
    <x v="9"/>
    <s v="WDFW"/>
    <d v="2011-05-25T00:00:00"/>
    <n v="509146"/>
    <s v="Clearwater River M F"/>
    <d v="2011-05-25T00:00:00"/>
    <s v="Smolt"/>
    <n v="11268"/>
    <s v="SNAK"/>
    <s v="100748 CWT; 100622 AD/CWT; 200 AD Only; 307576 Unmarked; 40958 PIT; CWT Codes (22-01-15 22-01-17)"/>
  </r>
  <r>
    <x v="6"/>
    <s v="Fall Chinook Subyearling"/>
    <s v="FA"/>
    <x v="2"/>
    <x v="11"/>
    <s v="WDFW"/>
    <d v="2011-06-02T00:00:00"/>
    <n v="202300"/>
    <s v="Snake River"/>
    <d v="2011-06-03T00:00:00"/>
    <s v="Smolt"/>
    <n v="11269"/>
    <s v="SNAK"/>
    <s v="200942 AD/CWT; 388 AD Only; 970 CWT Only; CWT Code: 63-59-97; 16459 PIT"/>
  </r>
  <r>
    <x v="6"/>
    <s v="Fall Chinook Subyearling"/>
    <s v="FA"/>
    <x v="1"/>
    <x v="2"/>
    <s v="NEZP"/>
    <d v="2011-06-07T00:00:00"/>
    <n v="526761"/>
    <s v="Clearwater River M F"/>
    <d v="2011-06-15T00:00:00"/>
    <s v="Smolt"/>
    <n v="11338"/>
    <s v="SNAK"/>
    <s v="201980 CWT Only; 94893 AD/CWT; 5523 AD Only; 224365 Unmarked; 2980 PIT; CWT Codes (22-02-09 22-02-10)"/>
  </r>
  <r>
    <x v="6"/>
    <s v="Fall Chinook Subyearling"/>
    <s v="FA"/>
    <x v="1"/>
    <x v="12"/>
    <s v="NEZP"/>
    <d v="2011-05-14T00:00:00"/>
    <n v="509520"/>
    <s v="Clearwater River M F"/>
    <d v="2011-05-14T00:00:00"/>
    <s v="Smolt"/>
    <n v="11339"/>
    <s v="SNAK"/>
    <s v="202265 CWT Only; 99174 AD/CWT; 1282 AD Only; 206799 Unmarked; 2980 PIT; CWT Codes (22-02-11 22-02-12)"/>
  </r>
  <r>
    <x v="6"/>
    <s v="Fall Chinook Subyearling"/>
    <s v="FA"/>
    <x v="1"/>
    <x v="3"/>
    <s v="NEZP"/>
    <d v="2011-06-14T00:00:00"/>
    <n v="207482"/>
    <s v="S Fk Clearwater River"/>
    <d v="2011-06-14T00:00:00"/>
    <s v="Smolt"/>
    <n v="11340"/>
    <s v="SNAK"/>
    <s v="99115 CWT Only; 101688 AD/CWT; 1315 AD Only; 5364 Unmarked; 16449 PIT; CWT Codes (22-02-07 22-02-08)"/>
  </r>
  <r>
    <x v="6"/>
    <s v="Fall Chinook Subyearling"/>
    <s v="FA"/>
    <x v="1"/>
    <x v="4"/>
    <s v="NEZP"/>
    <d v="2011-06-15T00:00:00"/>
    <n v="205556"/>
    <s v="Selway River"/>
    <d v="2011-06-15T00:00:00"/>
    <s v="Smolt"/>
    <n v="11341"/>
    <s v="SNAK"/>
    <s v="103007 CWT Only; 96604 AD/CWT; 5622 AD Only; 323 Unmarked; 16400 PIT; CWT Codes (22-02-05 22-02-26)"/>
  </r>
  <r>
    <x v="6"/>
    <s v="Fall Chinook Subyearling"/>
    <s v="FA"/>
    <x v="1"/>
    <x v="2"/>
    <s v="NEZP"/>
    <d v="2011-07-06T00:00:00"/>
    <n v="286587"/>
    <s v="Clearwater River M F"/>
    <d v="2011-07-11T00:00:00"/>
    <s v="Smolt"/>
    <n v="11372"/>
    <s v="SNAK"/>
    <s v="194580 CWT Only; 92007 Unmarked; 2969 PIT; Surplus production/late release to test survival and return rate"/>
  </r>
  <r>
    <x v="7"/>
    <s v="Fall Chinook Subyearling"/>
    <s v="FA"/>
    <x v="5"/>
    <x v="1"/>
    <s v="ODFW"/>
    <d v="2010-05-25T00:00:00"/>
    <n v="685735"/>
    <s v="Snake River"/>
    <d v="2010-05-27T00:00:00"/>
    <s v="Smolt"/>
    <n v="10104"/>
    <s v="SNAK"/>
    <s v="68.8% AD Only; 31.2% AD/CWT (09-03-31); 50036 PIT"/>
  </r>
  <r>
    <x v="7"/>
    <s v="Fall Chinook Yearling "/>
    <s v="FA"/>
    <x v="2"/>
    <x v="5"/>
    <s v="WDFW"/>
    <d v="2010-04-12T00:00:00"/>
    <n v="478852"/>
    <s v="Snake River"/>
    <d v="2010-04-15T00:00:00"/>
    <s v="Smolt"/>
    <n v="10214"/>
    <s v="SNAK"/>
    <s v="251057 AD/CWT (63-51-66); 2517 AD Only; 221313 CWT Only (63-51-65); 3965 Unmarked; 30000 PIT"/>
  </r>
  <r>
    <x v="7"/>
    <s v="Fall Chinook Yearling "/>
    <s v="FA"/>
    <x v="2"/>
    <x v="7"/>
    <s v="WDFW"/>
    <d v="2010-04-05T00:00:00"/>
    <n v="154637"/>
    <s v="Snake River"/>
    <d v="2010-04-05T00:00:00"/>
    <s v="Smolt"/>
    <n v="10215"/>
    <s v="SNAK"/>
    <s v="70925 AD/CWT; 81467 CWT Only; 1284 AD Only; 961 Unmarked; 19106 PIT"/>
  </r>
  <r>
    <x v="7"/>
    <s v="Fall Chinook Yearling "/>
    <s v="FA"/>
    <x v="2"/>
    <x v="8"/>
    <s v="WDFW"/>
    <d v="2010-04-13T00:00:00"/>
    <n v="153479"/>
    <s v="Snake River"/>
    <d v="2010-04-13T00:00:00"/>
    <s v="Smolt"/>
    <n v="10216"/>
    <s v="SNAK"/>
    <s v="70834 AD/CWT; 80417 CWT Only; 984 AD Only; 1244 Unmarked; 19042 PIT"/>
  </r>
  <r>
    <x v="7"/>
    <s v="Fall Chinook Yearling "/>
    <s v="FA"/>
    <x v="2"/>
    <x v="9"/>
    <s v="WDFW"/>
    <d v="2010-04-14T00:00:00"/>
    <n v="153699"/>
    <s v="Clearwater River M F"/>
    <d v="2010-04-14T00:00:00"/>
    <s v="Smolt"/>
    <n v="10217"/>
    <s v="SNAK"/>
    <s v="70043 AD/CWT; 79756 CWT Only; 1993 AD Only; 1907 Unmarked; 19025 PIT"/>
  </r>
  <r>
    <x v="7"/>
    <s v="Fall Chinook Subyearling"/>
    <s v="FA"/>
    <x v="2"/>
    <x v="5"/>
    <s v="WDFW"/>
    <d v="2010-05-25T00:00:00"/>
    <n v="202328"/>
    <s v="Snake River"/>
    <d v="2010-05-25T00:00:00"/>
    <s v="Smolt"/>
    <n v="10218"/>
    <s v="SNAK"/>
    <s v="199154 AD/CWT (63-51-80); 1593 AD Only; 1581 Unmarked"/>
  </r>
  <r>
    <x v="7"/>
    <s v="Fall Chinook Subyearling"/>
    <s v="FA"/>
    <x v="2"/>
    <x v="7"/>
    <s v="WDFW"/>
    <d v="2010-05-24T00:00:00"/>
    <n v="528777"/>
    <s v="Snake River"/>
    <d v="2010-05-24T00:00:00"/>
    <s v="Smolt"/>
    <n v="10219"/>
    <s v="SNAK"/>
    <s v="100778 AD/CWT; 102167 CWT Only; 325440 Unmarked; 392 AD Only; 38550 PIT"/>
  </r>
  <r>
    <x v="7"/>
    <s v="Fall Chinook Subyearling"/>
    <s v="FA"/>
    <x v="2"/>
    <x v="8"/>
    <s v="WDFW"/>
    <d v="2010-05-24T00:00:00"/>
    <n v="405041"/>
    <s v="Snake River"/>
    <d v="2010-05-24T00:00:00"/>
    <s v="Smolt"/>
    <n v="10220"/>
    <s v="SNAK"/>
    <s v="100537 AD/CWT; 100619 CWT Only; 203120 Unmarked; 765 AD Only; 30887 PIT"/>
  </r>
  <r>
    <x v="7"/>
    <s v="Fall Chinook Subyearling"/>
    <s v="FA"/>
    <x v="2"/>
    <x v="9"/>
    <s v="WDFW"/>
    <d v="2010-05-25T00:00:00"/>
    <n v="511236"/>
    <s v="Clearwater River M F"/>
    <d v="2010-05-25T00:00:00"/>
    <s v="Smolt"/>
    <n v="10221"/>
    <s v="SNAK"/>
    <s v="100461 AD/CWT; 101207 CWT Only; 309127 Unmarked; 441 AD Only; 38422 PIT"/>
  </r>
  <r>
    <x v="7"/>
    <s v="Fall Chinook Subyearling"/>
    <s v="FA"/>
    <x v="2"/>
    <x v="11"/>
    <s v="WDFW"/>
    <d v="2010-05-24T00:00:00"/>
    <n v="203162"/>
    <s v="Snake River"/>
    <d v="2010-05-24T00:00:00"/>
    <s v="Smolt"/>
    <n v="10222"/>
    <s v="SNAK"/>
    <s v="197862 AD/CWT (63-51-81); 3533 AD Only; 1767 Unmarked; 14706 PIT"/>
  </r>
  <r>
    <x v="7"/>
    <s v="Fall Chinook Subyearling"/>
    <s v="FA"/>
    <x v="1"/>
    <x v="2"/>
    <s v="NEZP"/>
    <d v="2010-06-07T00:00:00"/>
    <n v="536999"/>
    <s v="Clearwater River M F"/>
    <d v="2010-06-11T00:00:00"/>
    <s v="Smolt"/>
    <n v="10284"/>
    <s v="SNAK"/>
    <s v="99100 AD/CWT; 199710 CWT Only; 236960 Unmarked; 1229 AD Only; 3086 PIT"/>
  </r>
  <r>
    <x v="7"/>
    <s v="Fall Chinook Subyearling"/>
    <s v="FA"/>
    <x v="1"/>
    <x v="12"/>
    <s v="NEZP"/>
    <d v="2010-05-14T00:00:00"/>
    <n v="465949"/>
    <s v="Clearwater River M F"/>
    <d v="2010-05-14T00:00:00"/>
    <s v="Smolt"/>
    <n v="10285"/>
    <s v="SNAK"/>
    <s v="99024 AD/CWT; 164981 CWT Only; 200716 Unmarked; 1228 AD Only; 3089 PIT"/>
  </r>
  <r>
    <x v="7"/>
    <s v="Fall Chinook Subyearling"/>
    <s v="FA"/>
    <x v="1"/>
    <x v="3"/>
    <s v="NEZP"/>
    <d v="2010-06-09T00:00:00"/>
    <n v="198969"/>
    <s v="S Fk Clearwater River"/>
    <d v="2010-06-09T00:00:00"/>
    <s v="Smolt"/>
    <n v="10286"/>
    <s v="SNAK"/>
    <s v="98220 AD/CWT; 99116 CWT Only; 1218 AD Only; 415 Unmarked; 16409 PIT"/>
  </r>
  <r>
    <x v="7"/>
    <s v="Fall Chinook Subyearling"/>
    <s v="FA"/>
    <x v="1"/>
    <x v="4"/>
    <s v="NEZP"/>
    <d v="2010-06-14T00:00:00"/>
    <n v="188411"/>
    <s v="Selway River"/>
    <d v="2010-06-14T00:00:00"/>
    <s v="Smolt"/>
    <n v="10287"/>
    <s v="SNAK"/>
    <s v="97930 AD/CWT; 74939 CWT Only; 1214 AD Only; 14328 Unmarked; 14219 PIT"/>
  </r>
  <r>
    <x v="7"/>
    <s v="Fall Chinook Subyearling"/>
    <s v="FA"/>
    <x v="2"/>
    <x v="11"/>
    <s v="WDFW"/>
    <d v="2010-05-17T00:00:00"/>
    <n v="195492"/>
    <s v="Snake River"/>
    <d v="2010-06-04T00:00:00"/>
    <s v="Smolt"/>
    <n v="10306"/>
    <s v="SNAK"/>
    <s v="100% Unclipped/UnCWT; 100% PIT; Surrogate Release"/>
  </r>
  <r>
    <x v="7"/>
    <s v="Fall Chinook Subyearling"/>
    <s v="FA"/>
    <x v="2"/>
    <x v="9"/>
    <s v="WDFW"/>
    <d v="2010-06-21T00:00:00"/>
    <n v="114017"/>
    <s v="Clearwater River M F"/>
    <d v="2010-07-09T00:00:00"/>
    <s v="Smolt"/>
    <n v="10307"/>
    <s v="SNAK"/>
    <s v="100% Unclipped/UnCWT; 100% PIT; Surrogate Release"/>
  </r>
  <r>
    <x v="7"/>
    <s v="Fall Chinook Subyearling"/>
    <s v="FA"/>
    <x v="3"/>
    <x v="1"/>
    <s v="IDFG"/>
    <d v="2010-05-01T00:00:00"/>
    <n v="192801"/>
    <s v="Snake River"/>
    <d v="2010-05-01T00:00:00"/>
    <s v="Smolt"/>
    <n v="10356"/>
    <s v="SNAK"/>
    <s v="100% AD; 176958 CWT; 14731 PIT"/>
  </r>
  <r>
    <x v="7"/>
    <s v="Fall Chinook Subyearling"/>
    <s v="FA"/>
    <x v="0"/>
    <x v="0"/>
    <s v="ODFW"/>
    <d v="2010-05-24T00:00:00"/>
    <n v="386840"/>
    <s v="Grande Ronde River"/>
    <d v="2010-05-24T00:00:00"/>
    <s v="Smolt"/>
    <n v="10386"/>
    <s v="SNAK"/>
    <s v="51.7% AD/CWT (63-51-82); Rel near Cougar Creek"/>
  </r>
  <r>
    <x v="8"/>
    <s v="Fall Chinook Subyearling"/>
    <s v="FA"/>
    <x v="5"/>
    <x v="1"/>
    <s v="ODFW"/>
    <d v="2009-05-12T00:00:00"/>
    <n v="803485"/>
    <s v="Snake River"/>
    <d v="2009-05-14T00:00:00"/>
    <s v="Smolt"/>
    <n v="9135"/>
    <s v="SNAK"/>
    <s v="570713 AD Only; 232772 CWT (09-02-28); 55488 PIT"/>
  </r>
  <r>
    <x v="8"/>
    <s v="Fall Chinook Subyearling"/>
    <s v="FA"/>
    <x v="2"/>
    <x v="11"/>
    <s v="WDFW"/>
    <d v="2009-05-18T00:00:00"/>
    <n v="237741"/>
    <s v="Snake River"/>
    <d v="2009-06-05T00:00:00"/>
    <s v="Smolt"/>
    <n v="9141"/>
    <s v="SNAK"/>
    <s v="100% Unmarked; 100% PIT; Surrogate Release"/>
  </r>
  <r>
    <x v="8"/>
    <s v="Fall Chinook Subyearling"/>
    <s v="FA"/>
    <x v="2"/>
    <x v="9"/>
    <s v="WDFW"/>
    <d v="2009-06-29T00:00:00"/>
    <n v="90739"/>
    <s v="Clearwater River M F"/>
    <d v="2009-07-17T00:00:00"/>
    <s v="Smolt"/>
    <n v="9142"/>
    <s v="SNAK"/>
    <s v="100% Unmarked; 100% PIT; Surrogate Release"/>
  </r>
  <r>
    <x v="8"/>
    <s v="Fall Chinook Subyearling"/>
    <s v="FA"/>
    <x v="3"/>
    <x v="1"/>
    <s v="IDFG"/>
    <d v="2009-05-08T00:00:00"/>
    <n v="202839"/>
    <s v="Snake River"/>
    <d v="2009-05-08T00:00:00"/>
    <s v="Smolt"/>
    <n v="9187"/>
    <s v="SNAK"/>
    <s v="16465 AD Only; 186374 AD/CWT; 14844 PIT"/>
  </r>
  <r>
    <x v="8"/>
    <s v="Fall Chinook Yearling "/>
    <s v="FA"/>
    <x v="2"/>
    <x v="5"/>
    <s v="WDFW"/>
    <d v="2009-04-06T00:00:00"/>
    <n v="455152"/>
    <s v="Snake River"/>
    <d v="2009-04-06T00:00:00"/>
    <s v="Smolt"/>
    <n v="9316"/>
    <s v="SNAK"/>
    <s v="220723 AD/CWT; 221917 CWT; 5935 AD; 2039 Unmarked; 4538 VIE Only; Overall 92.5% VIE (LE Red); CWTCodes (63-46-80 -81); 26785 PIT"/>
  </r>
  <r>
    <x v="8"/>
    <s v="Fall Chinook Yearling "/>
    <s v="FA"/>
    <x v="2"/>
    <x v="7"/>
    <s v="WDFW"/>
    <d v="2009-04-03T00:00:00"/>
    <n v="140784"/>
    <s v="Snake River"/>
    <d v="2009-04-03T00:00:00"/>
    <s v="Smolt"/>
    <n v="9317"/>
    <s v="SNAK"/>
    <s v="70325 AD/CWT; 66821 CWT Only; 854 AD Only; 2784 Unmarked; 18724 PIT"/>
  </r>
  <r>
    <x v="8"/>
    <s v="Fall Chinook Yearling "/>
    <s v="FA"/>
    <x v="2"/>
    <x v="8"/>
    <s v="WDFW"/>
    <d v="2009-04-14T00:00:00"/>
    <n v="152275"/>
    <s v="Snake River"/>
    <d v="2009-04-14T00:00:00"/>
    <s v="Smolt"/>
    <n v="9318"/>
    <s v="SNAK"/>
    <s v="71169 AD/CWT; 78673 CWT Only; 2433 Unmarked; 18928 PIT"/>
  </r>
  <r>
    <x v="8"/>
    <s v="Fall Chinook Yearling "/>
    <s v="FA"/>
    <x v="2"/>
    <x v="9"/>
    <s v="WDFW"/>
    <d v="2009-04-15T00:00:00"/>
    <n v="154350"/>
    <s v="Clearwater River M F"/>
    <d v="2009-04-15T00:00:00"/>
    <s v="Smolt"/>
    <n v="9319"/>
    <s v="SNAK"/>
    <s v="72770 AD/CWT; 80783 CWT Only; 146 AD Only; 651 Unmarked; 18562 PIT"/>
  </r>
  <r>
    <x v="8"/>
    <s v="Fall Chinook Subyearling"/>
    <s v="FA"/>
    <x v="2"/>
    <x v="5"/>
    <s v="WDFW"/>
    <d v="2009-06-02T00:00:00"/>
    <n v="200695"/>
    <s v="Snake River"/>
    <d v="2009-06-02T00:00:00"/>
    <s v="Smolt"/>
    <n v="9320"/>
    <s v="SNAK"/>
    <s v="191407 AD/CWT; 823 CWT Only; 8230 AD Only; 235 Unmarked; CWT Code (63-49-95)"/>
  </r>
  <r>
    <x v="8"/>
    <s v="Fall Chinook Subyearling"/>
    <s v="FA"/>
    <x v="2"/>
    <x v="7"/>
    <s v="WDFW"/>
    <d v="2009-05-26T00:00:00"/>
    <n v="524910"/>
    <s v="Snake River"/>
    <d v="2009-05-26T00:00:00"/>
    <s v="Smolt"/>
    <n v="9321"/>
    <s v="SNAK"/>
    <s v="99521 CWT; 100383 AD/CWT; 325006 Unmarked; 13831 PIT"/>
  </r>
  <r>
    <x v="8"/>
    <s v="Fall Chinook Subyearling"/>
    <s v="FA"/>
    <x v="2"/>
    <x v="8"/>
    <s v="WDFW"/>
    <d v="2009-05-24T00:00:00"/>
    <n v="415991"/>
    <s v="Snake River"/>
    <d v="2009-05-24T00:00:00"/>
    <s v="Smolt"/>
    <n v="9322"/>
    <s v="SNAK"/>
    <s v="99727 CWT Only; 95227 AD/CWT; 5012 AD Only; 216025 Unmarked; 13777 PIT"/>
  </r>
  <r>
    <x v="8"/>
    <s v="Fall Chinook Subyearling"/>
    <s v="FA"/>
    <x v="2"/>
    <x v="9"/>
    <s v="WDFW"/>
    <d v="2009-05-26T00:00:00"/>
    <n v="474868"/>
    <s v="Clearwater River M F"/>
    <d v="2009-05-26T00:00:00"/>
    <s v="Smolt"/>
    <n v="9323"/>
    <s v="SNAK"/>
    <s v="275443 Unmarked; 100093 AD/CWT; 99332 CWT Only; 13763 PIT"/>
  </r>
  <r>
    <x v="8"/>
    <s v="Fall Chinook Subyearling"/>
    <s v="FA"/>
    <x v="2"/>
    <x v="11"/>
    <s v="WDFW"/>
    <d v="2009-05-26T00:00:00"/>
    <n v="200744"/>
    <s v="Snake River"/>
    <d v="2009-05-26T00:00:00"/>
    <s v="Smolt"/>
    <n v="9324"/>
    <s v="SNAK"/>
    <s v="187434 AD/CWT; 11966 AD Only; 488 CWT Only; 855 Unmarked; CWT Code (63-49-96); 13740 PIT"/>
  </r>
  <r>
    <x v="8"/>
    <s v="Fall Chinook Subyearling"/>
    <s v="FA"/>
    <x v="1"/>
    <x v="2"/>
    <s v="NEZP"/>
    <d v="2009-06-08T00:00:00"/>
    <n v="628815"/>
    <s v="Clearwater River M F"/>
    <d v="2009-06-12T00:00:00"/>
    <s v="Smolt"/>
    <n v="9357"/>
    <s v="SNAK"/>
    <s v="181522 CWT; 90953 AD/CWT; 27725 AD Only; 328615 Unmarked; 2963 PIT"/>
  </r>
  <r>
    <x v="8"/>
    <s v="Fall Chinook Subyearling"/>
    <s v="FA"/>
    <x v="1"/>
    <x v="13"/>
    <s v="NEZP"/>
    <d v="2009-05-15T00:00:00"/>
    <n v="495569"/>
    <s v="Clearwater River M F"/>
    <d v="2009-05-15T00:00:00"/>
    <s v="Smolt"/>
    <n v="9358"/>
    <s v="SNAK"/>
    <s v="182328 CWT; 97751 AD/CWT; 2341 AD Only; 213149 Unmarked; 2983 PIT; Rel in North Lapwai Valley"/>
  </r>
  <r>
    <x v="8"/>
    <s v="Fall Chinook Subyearling"/>
    <s v="FA"/>
    <x v="1"/>
    <x v="3"/>
    <s v="NEZP"/>
    <d v="2009-06-10T00:00:00"/>
    <n v="209878"/>
    <s v="S Fk Clearwater River"/>
    <d v="2009-06-10T00:00:00"/>
    <s v="Smolt"/>
    <n v="9359"/>
    <s v="SNAK"/>
    <s v="98025 CWT; 98486 AD/CWT; 2359 AD Only; 11008 Unmarked; 14006 PIT"/>
  </r>
  <r>
    <x v="8"/>
    <s v="Fall Chinook Subyearling"/>
    <s v="FA"/>
    <x v="1"/>
    <x v="4"/>
    <s v="NEZP"/>
    <d v="2009-06-09T00:00:00"/>
    <n v="200098"/>
    <s v="Selway River"/>
    <d v="2009-06-09T00:00:00"/>
    <s v="Smolt"/>
    <n v="9360"/>
    <s v="SNAK"/>
    <s v="100760 CWT; 95840 AD/CWT; 2296 AD Only; 1202 Unmarked; 13941 PIT"/>
  </r>
  <r>
    <x v="8"/>
    <s v="Fall Chinook Subyearling"/>
    <s v="FA"/>
    <x v="2"/>
    <x v="0"/>
    <s v="WDFW"/>
    <d v="2009-06-02T00:00:00"/>
    <n v="181400"/>
    <s v="Grande Ronde River"/>
    <d v="2009-06-03T00:00:00"/>
    <s v="Smolt"/>
    <n v="9398"/>
    <s v="SNAK"/>
    <s v="1191 CWT Only; 165146 AD/CWT; 6024 AD Only; 9039 Unmarked; CWT Codes (61-26-76)"/>
  </r>
  <r>
    <x v="8"/>
    <s v="Fall Chinook Subyearling"/>
    <s v="FA"/>
    <x v="0"/>
    <x v="0"/>
    <s v="ODFW"/>
    <d v="2009-05-28T00:00:00"/>
    <n v="441050"/>
    <s v="Grande Ronde River"/>
    <d v="2009-05-29T00:00:00"/>
    <s v="Smolt"/>
    <n v="9423"/>
    <s v="SNAK"/>
    <s v="193275 AD/CWT; 535 CWT Only; 7892 AD Only; 239348 Unmarked; 27764 PIT; CWT Code 63-49-97"/>
  </r>
  <r>
    <x v="9"/>
    <s v="Fall Chinook Yearling "/>
    <s v="FA"/>
    <x v="2"/>
    <x v="5"/>
    <s v="WDFW"/>
    <d v="2008-04-07T00:00:00"/>
    <n v="459633"/>
    <s v="Snake River"/>
    <d v="2008-04-10T00:00:00"/>
    <s v="Smolt"/>
    <n v="8098"/>
    <s v="SNAK"/>
    <s v="216169 AD/CWT/VIE; 15365 AD/CWT; 1673 AD/VIE; 197538 CWT/VIE; 22812 CWT Only; 4629 VIE Only; 992 Unmarked; CWT Codes (63-39-87 63-40-92); VIE (LE Red)"/>
  </r>
  <r>
    <x v="9"/>
    <s v="Fall Chinook Subyearling"/>
    <s v="FA"/>
    <x v="2"/>
    <x v="5"/>
    <s v="WDFW"/>
    <d v="2008-06-02T00:00:00"/>
    <n v="200733"/>
    <s v="Snake River"/>
    <d v="2008-06-02T00:00:00"/>
    <s v="Smolt"/>
    <n v="8099"/>
    <s v="SNAK"/>
    <s v="194762 AD/CWT; 2232 AD Only; 3606 Bad Clip/CWT; 133 Unmarked; CWT Code (63-46-72)"/>
  </r>
  <r>
    <x v="9"/>
    <s v="Fall Chinook Subyearling"/>
    <s v="FA"/>
    <x v="2"/>
    <x v="11"/>
    <s v="WDFW"/>
    <d v="2008-05-28T00:00:00"/>
    <n v="230401"/>
    <s v="Snake River"/>
    <d v="2008-05-28T00:00:00"/>
    <s v="Smolt"/>
    <n v="8100"/>
    <s v="SNAK"/>
    <s v="195095 AD/CWT; 2757 AD Only; 2129 Bad Clip/CWT; 30420 Unmarked; CWT code (63-46-71)"/>
  </r>
  <r>
    <x v="9"/>
    <s v="Fall Chinook Subyearling"/>
    <s v="FA"/>
    <x v="3"/>
    <x v="1"/>
    <s v="IDFG"/>
    <d v="2008-05-06T00:00:00"/>
    <n v="192471"/>
    <s v="Snake River"/>
    <d v="2008-05-06T00:00:00"/>
    <s v="Smolt"/>
    <n v="8218"/>
    <s v="SNAK"/>
    <s v="100% AD; 15472 PIT; 176999 CWT"/>
  </r>
  <r>
    <x v="9"/>
    <s v="Fall Chinook Subyearling"/>
    <s v="FA"/>
    <x v="5"/>
    <x v="1"/>
    <s v="ODFW"/>
    <d v="2008-05-20T00:00:00"/>
    <n v="770350"/>
    <s v="Snake River"/>
    <d v="2008-05-21T00:00:00"/>
    <s v="Smolt"/>
    <n v="8287"/>
    <s v="SNAK"/>
    <s v="100% AD; 223600 CWT; 62405 PIT"/>
  </r>
  <r>
    <x v="9"/>
    <s v="Fall Chinook Yearling "/>
    <s v="FA"/>
    <x v="2"/>
    <x v="8"/>
    <s v="WDFW"/>
    <d v="2008-04-14T00:00:00"/>
    <n v="150357"/>
    <s v="Snake River"/>
    <d v="2008-04-14T00:00:00"/>
    <s v="Smolt"/>
    <n v="8313"/>
    <s v="SNAK"/>
    <s v="68129 AD/CWT (61-25-12); 81476 CWT Only (61-25-15); 343 AD Only; 409 Unmarked; 18502 PIT"/>
  </r>
  <r>
    <x v="9"/>
    <s v="Fall Chinook Yearling "/>
    <s v="FA"/>
    <x v="2"/>
    <x v="7"/>
    <s v="WDFW"/>
    <d v="2008-04-14T00:00:00"/>
    <n v="153681"/>
    <s v="Snake River"/>
    <d v="2008-04-14T00:00:00"/>
    <s v="Smolt"/>
    <n v="8314"/>
    <s v="SNAK"/>
    <s v="69056 AD/CWT (61-25-11); 82934 CWT Only (61-25-14); 768 AD Only; 922 Unmarked; 18921 PIT"/>
  </r>
  <r>
    <x v="9"/>
    <s v="Fall Chinook Yearling "/>
    <s v="FA"/>
    <x v="2"/>
    <x v="9"/>
    <s v="WDFW"/>
    <d v="2008-04-15T00:00:00"/>
    <n v="147832"/>
    <s v="Clearwater River M F"/>
    <d v="2008-04-15T00:00:00"/>
    <s v="Smolt"/>
    <n v="8315"/>
    <s v="SNAK"/>
    <s v="68199 AD/CWT (61-25-16); 77749 CWT Only (61-25-16); 880 AD Only; 1004 Unmarked; 18819 PIT"/>
  </r>
  <r>
    <x v="9"/>
    <s v="Fall Chinook Subyearling"/>
    <s v="FA"/>
    <x v="2"/>
    <x v="8"/>
    <s v="WDFW"/>
    <d v="2008-05-27T00:00:00"/>
    <n v="403432"/>
    <s v="Snake River"/>
    <d v="2008-05-27T00:00:00"/>
    <s v="Smolt"/>
    <n v="8316"/>
    <s v="SNAK"/>
    <s v="99371 AD/CWT; 99802 CWT Only; 202639 Unmarked; 395 AD Only; 31834 PIT"/>
  </r>
  <r>
    <x v="9"/>
    <s v="Fall Chinook Subyearling"/>
    <s v="FA"/>
    <x v="2"/>
    <x v="7"/>
    <s v="WDFW"/>
    <d v="2008-05-28T00:00:00"/>
    <n v="512745"/>
    <s v="Snake River"/>
    <d v="2008-05-28T00:00:00"/>
    <s v="Smolt"/>
    <n v="8317"/>
    <s v="SNAK"/>
    <s v="98282 AD/CWT; 98734 CWT Only; 1647 AD Only; 314082 Unmarked; 39152 PIT"/>
  </r>
  <r>
    <x v="9"/>
    <s v="Fall Chinook Subyearling"/>
    <s v="FA"/>
    <x v="2"/>
    <x v="9"/>
    <s v="WDFW"/>
    <d v="2008-05-26T00:00:00"/>
    <n v="520035"/>
    <s v="Clearwater River M F"/>
    <d v="2008-05-26T00:00:00"/>
    <s v="Smolt"/>
    <n v="8318"/>
    <s v="SNAK"/>
    <s v="98903 AD/CWT; 99367 CWT Only; 676 AD Only; 321089 Unmarked; 39257 PIT"/>
  </r>
  <r>
    <x v="9"/>
    <s v="Fall Chinook Subyearling"/>
    <s v="FA"/>
    <x v="1"/>
    <x v="2"/>
    <s v="NEZP"/>
    <d v="2008-06-10T00:00:00"/>
    <n v="495937"/>
    <s v="Clearwater River M F"/>
    <d v="2008-06-15T00:00:00"/>
    <s v="Smolt"/>
    <n v="8319"/>
    <s v="SNAK"/>
    <s v="100665 AD/CWT (61-27-16); 149162 CWT Only (61-26-95); 388 AD Only; 245722 Unmarked; 3986 PIT"/>
  </r>
  <r>
    <x v="9"/>
    <s v="Fall Chinook Subyearling"/>
    <s v="FA"/>
    <x v="1"/>
    <x v="12"/>
    <s v="NEZP"/>
    <d v="2008-05-15T00:00:00"/>
    <n v="168623"/>
    <s v="Clearwater River M F"/>
    <d v="2008-05-15T00:00:00"/>
    <s v="Smolt"/>
    <n v="8320"/>
    <s v="SNAK"/>
    <s v="98251 AD/CWT (61-26-94) ; 69725 CWT Only; 378 AD Only; 269 Unmarked; 3059 PIT"/>
  </r>
  <r>
    <x v="9"/>
    <s v="Fall Chinook Subyearling"/>
    <s v="FA"/>
    <x v="1"/>
    <x v="3"/>
    <s v="NEZP"/>
    <d v="2008-06-12T00:00:00"/>
    <n v="100368"/>
    <s v="S Fk Clearwater River"/>
    <d v="2008-06-12T00:00:00"/>
    <s v="Smolt"/>
    <n v="8321"/>
    <s v="SNAK"/>
    <s v="99456 CWT Only (61-27-37); 912 Unmarked; 8332 PIT"/>
  </r>
  <r>
    <x v="9"/>
    <s v="Fall Chinook Subyearling"/>
    <s v="FA"/>
    <x v="1"/>
    <x v="4"/>
    <s v="NEZP"/>
    <d v="2008-06-12T00:00:00"/>
    <n v="100294"/>
    <s v="Selway River"/>
    <d v="2008-06-12T00:00:00"/>
    <s v="Smolt"/>
    <n v="8322"/>
    <s v="SNAK"/>
    <s v="99641 CWT Only (61-27-36); 653 Umarked; 8375 PIT"/>
  </r>
  <r>
    <x v="9"/>
    <s v="Fall Chinook Subyearling"/>
    <s v="FA"/>
    <x v="0"/>
    <x v="0"/>
    <s v="ODFW"/>
    <d v="2008-05-29T00:00:00"/>
    <n v="194310"/>
    <s v="Grande Ronde River"/>
    <d v="2008-05-29T00:00:00"/>
    <s v="Smolt"/>
    <n v="8407"/>
    <s v="SNAK"/>
    <s v="100% CWT (63-46-70); 15949 PIT; Transferred from Lyons Ferry (excess)"/>
  </r>
  <r>
    <x v="9"/>
    <s v="Fall Chinook Subyearling"/>
    <s v="FA"/>
    <x v="0"/>
    <x v="0"/>
    <s v="ODFW"/>
    <d v="2008-05-29T00:00:00"/>
    <n v="108960"/>
    <s v="Grande Ronde River"/>
    <d v="2008-05-29T00:00:00"/>
    <s v="Smolt"/>
    <n v="8408"/>
    <s v="SNAK"/>
    <s v="9968 PIT; Transferred from Lyons Ferry (excess)"/>
  </r>
  <r>
    <x v="9"/>
    <s v="Fall Chinook Subyearling"/>
    <s v="FA"/>
    <x v="2"/>
    <x v="11"/>
    <s v="WDFW"/>
    <d v="2008-05-19T00:00:00"/>
    <n v="202369"/>
    <s v="Snake River"/>
    <d v="2008-06-05T00:00:00"/>
    <s v="Smolt"/>
    <n v="8415"/>
    <s v="SNAK"/>
    <s v="No Clip; No CWT; 201847 PIT; Surrogate Release; Transferred to Dworshak Hatchery for tagging and final rearing"/>
  </r>
  <r>
    <x v="9"/>
    <s v="Fall Chinook Subyearling"/>
    <s v="FA"/>
    <x v="2"/>
    <x v="9"/>
    <s v="WDFW"/>
    <d v="2008-06-23T00:00:00"/>
    <n v="117362"/>
    <s v="Clearwater River M F"/>
    <d v="2008-07-11T00:00:00"/>
    <s v="Smolt"/>
    <n v="8416"/>
    <s v="SNAK"/>
    <s v="No Clip; No CWT; 110254 PIT; Surrogate Release; Transferred to Dworshak Hatchery for tagging and final rear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B24:M50" firstHeaderRow="1" firstDataRow="2" firstDataCol="1"/>
  <pivotFields count="14">
    <pivotField axis="axisCol" showAll="0">
      <items count="11"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showAll="0"/>
    <pivotField axis="axisRow" showAll="0">
      <items count="7">
        <item x="4"/>
        <item x="0"/>
        <item x="2"/>
        <item x="1"/>
        <item x="3"/>
        <item x="5"/>
        <item t="default"/>
      </items>
    </pivotField>
    <pivotField axis="axisRow" showAll="0">
      <items count="15">
        <item x="9"/>
        <item x="4"/>
        <item x="13"/>
        <item x="11"/>
        <item x="7"/>
        <item x="0"/>
        <item x="1"/>
        <item x="12"/>
        <item x="3"/>
        <item x="5"/>
        <item x="2"/>
        <item x="10"/>
        <item x="8"/>
        <item x="6"/>
        <item t="default"/>
      </items>
    </pivotField>
    <pivotField showAll="0"/>
    <pivotField numFmtId="14" showAll="0"/>
    <pivotField dataField="1" showAll="0"/>
    <pivotField showAll="0"/>
    <pivotField numFmtId="14" showAll="0"/>
    <pivotField showAll="0"/>
    <pivotField showAll="0"/>
    <pivotField showAll="0"/>
    <pivotField showAll="0"/>
  </pivotFields>
  <rowFields count="2">
    <field x="3"/>
    <field x="4"/>
  </rowFields>
  <rowItems count="25">
    <i>
      <x/>
    </i>
    <i r="1">
      <x v="7"/>
    </i>
    <i>
      <x v="1"/>
    </i>
    <i r="1">
      <x v="5"/>
    </i>
    <i r="1">
      <x v="6"/>
    </i>
    <i>
      <x v="2"/>
    </i>
    <i r="1">
      <x/>
    </i>
    <i r="1">
      <x v="3"/>
    </i>
    <i r="1">
      <x v="4"/>
    </i>
    <i r="1">
      <x v="5"/>
    </i>
    <i r="1">
      <x v="9"/>
    </i>
    <i r="1">
      <x v="12"/>
    </i>
    <i r="1">
      <x v="13"/>
    </i>
    <i>
      <x v="3"/>
    </i>
    <i r="1">
      <x v="1"/>
    </i>
    <i r="1">
      <x v="2"/>
    </i>
    <i r="1">
      <x v="7"/>
    </i>
    <i r="1">
      <x v="8"/>
    </i>
    <i r="1">
      <x v="10"/>
    </i>
    <i r="1">
      <x v="11"/>
    </i>
    <i>
      <x v="4"/>
    </i>
    <i r="1">
      <x v="6"/>
    </i>
    <i>
      <x v="5"/>
    </i>
    <i r="1">
      <x v="6"/>
    </i>
    <i t="grand">
      <x/>
    </i>
  </rowItems>
  <colFields count="1">
    <field x="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of NumReleased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ptfisheries.org/DesktopModules/Bring2mind/DMX/Download.aspx?PortalId=0&amp;TabId=114&amp;EntryId=129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://www.westcoast.fisheries.noaa.gov/publications/recovery_planning/salmon_steelhead/domains/interior_columbia/snake/Final%20Snake%20Recovery%20Plan%20Docs/final_snake_river_fall_chinook_salmon_recovery_plan.pdf" TargetMode="External"/><Relationship Id="rId1" Type="http://schemas.openxmlformats.org/officeDocument/2006/relationships/hyperlink" Target="http://www.westcoast.fisheries.noaa.gov/publications/recovery_planning/salmon_steelhead/domains/interior_columbia/snake/Final%20Snake%20Recovery%20Plan%20Docs/final_snake_river_fall_chinook_salmon_recovery_plan.pdf" TargetMode="External"/><Relationship Id="rId6" Type="http://schemas.openxmlformats.org/officeDocument/2006/relationships/vmlDrawing" Target="../drawings/vmlDrawing2.vml"/><Relationship Id="rId5" Type="http://schemas.openxmlformats.org/officeDocument/2006/relationships/hyperlink" Target="http://www.westcoast.fisheries.noaa.gov/publications/recovery_planning/salmon_steelhead/domains/interior_columbia/snake/Final%20Snake%20Recovery%20Plan%20Docs/final_snake_river_fall_chinook_salmon_recovery_plan.pdf" TargetMode="External"/><Relationship Id="rId4" Type="http://schemas.openxmlformats.org/officeDocument/2006/relationships/hyperlink" Target="http://www.westcoast.fisheries.noaa.gov/publications/recovery_planning/salmon_steelhead/domains/interior_columbia/snake/Final%20Snake%20Recovery%20Plan%20Docs/final_snake_river_fall_chinook_salmon_recovery_plan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75"/>
  <sheetViews>
    <sheetView tabSelected="1" zoomScale="70" zoomScaleNormal="70" workbookViewId="0">
      <selection activeCell="AD30" sqref="AD30"/>
    </sheetView>
  </sheetViews>
  <sheetFormatPr defaultRowHeight="14.4" x14ac:dyDescent="0.3"/>
  <cols>
    <col min="1" max="1" width="2.33203125" customWidth="1"/>
    <col min="2" max="13" width="8.77734375" style="52" customWidth="1"/>
    <col min="14" max="16" width="8.77734375" customWidth="1"/>
    <col min="17" max="17" width="2" customWidth="1"/>
    <col min="18" max="19" width="2.33203125" style="38" customWidth="1"/>
    <col min="20" max="20" width="1" style="38" customWidth="1"/>
    <col min="21" max="21" width="7.6640625" customWidth="1"/>
    <col min="22" max="22" width="19.109375" customWidth="1"/>
    <col min="23" max="23" width="16.33203125" customWidth="1"/>
    <col min="24" max="24" width="15.88671875" customWidth="1"/>
    <col min="25" max="25" width="11.77734375" customWidth="1"/>
    <col min="26" max="26" width="12.33203125" customWidth="1"/>
    <col min="27" max="27" width="12.88671875" customWidth="1"/>
    <col min="28" max="28" width="10.6640625" customWidth="1"/>
    <col min="29" max="29" width="1.6640625" style="38" customWidth="1"/>
  </cols>
  <sheetData>
    <row r="1" spans="1:31" s="282" customFormat="1" ht="21" customHeight="1" x14ac:dyDescent="0.35">
      <c r="A1" s="405"/>
      <c r="B1" s="405" t="s">
        <v>71</v>
      </c>
      <c r="C1" s="406"/>
      <c r="D1" s="406"/>
      <c r="E1" s="405"/>
      <c r="F1" s="407"/>
      <c r="G1" s="408"/>
      <c r="H1" s="409" t="s">
        <v>61</v>
      </c>
      <c r="I1" s="405"/>
      <c r="J1" s="410"/>
      <c r="K1" s="410"/>
      <c r="L1" s="405" t="s">
        <v>72</v>
      </c>
      <c r="M1" s="405"/>
      <c r="N1" s="410"/>
      <c r="O1" s="410"/>
      <c r="P1" s="410"/>
      <c r="Q1" s="410"/>
      <c r="R1" s="404"/>
      <c r="S1" s="404"/>
      <c r="T1" s="310"/>
      <c r="U1" s="310"/>
      <c r="V1" s="310"/>
      <c r="W1" s="310"/>
      <c r="X1" s="310"/>
      <c r="Y1" s="310"/>
      <c r="Z1" s="310"/>
      <c r="AA1" s="310"/>
      <c r="AB1" s="310"/>
      <c r="AC1" s="310"/>
    </row>
    <row r="2" spans="1:31" s="38" customFormat="1" ht="18" x14ac:dyDescent="0.3">
      <c r="B2" s="57"/>
      <c r="C2" s="58"/>
      <c r="D2" s="58"/>
      <c r="E2" s="59"/>
      <c r="F2" s="60"/>
      <c r="G2" s="60"/>
      <c r="H2" s="60"/>
      <c r="I2" s="60"/>
      <c r="J2" s="60"/>
      <c r="K2" s="60"/>
      <c r="L2" s="60"/>
      <c r="M2" s="60"/>
    </row>
    <row r="3" spans="1:31" x14ac:dyDescent="0.3">
      <c r="A3" s="38"/>
      <c r="B3" s="60"/>
      <c r="C3" s="60"/>
      <c r="D3" s="60"/>
      <c r="E3" s="60"/>
      <c r="F3" s="60"/>
      <c r="G3" s="60"/>
      <c r="H3" s="60"/>
      <c r="I3" s="60"/>
      <c r="J3" s="60"/>
      <c r="K3" s="60"/>
      <c r="L3" s="38"/>
      <c r="M3" s="38"/>
      <c r="N3" s="38"/>
      <c r="O3" s="38"/>
      <c r="P3" s="38"/>
      <c r="Q3" s="38"/>
      <c r="U3" s="411" t="s">
        <v>47</v>
      </c>
      <c r="V3" s="412"/>
      <c r="W3" s="420" t="s">
        <v>376</v>
      </c>
      <c r="X3" s="421"/>
      <c r="Y3" s="422" t="s">
        <v>38</v>
      </c>
      <c r="Z3" s="423"/>
      <c r="AA3" s="424"/>
      <c r="AB3" s="60"/>
      <c r="AC3" s="60"/>
    </row>
    <row r="4" spans="1:31" x14ac:dyDescent="0.3">
      <c r="A4" s="38"/>
      <c r="B4" s="60"/>
      <c r="C4" s="60"/>
      <c r="D4" s="60"/>
      <c r="E4" s="60"/>
      <c r="F4" s="60"/>
      <c r="G4" s="60"/>
      <c r="H4" s="60"/>
      <c r="I4" s="60"/>
      <c r="J4" s="60"/>
      <c r="K4" s="60"/>
      <c r="L4" s="38"/>
      <c r="M4" s="38"/>
      <c r="N4" s="38"/>
      <c r="O4" s="38"/>
      <c r="P4" s="38"/>
      <c r="Q4" s="38"/>
      <c r="U4" s="428" t="s">
        <v>37</v>
      </c>
      <c r="V4" s="429" t="s">
        <v>1</v>
      </c>
      <c r="W4" s="425" t="s">
        <v>59</v>
      </c>
      <c r="X4" s="426" t="s">
        <v>4</v>
      </c>
      <c r="Y4" s="427" t="s">
        <v>16</v>
      </c>
      <c r="Z4" s="427" t="s">
        <v>17</v>
      </c>
      <c r="AA4" s="426" t="s">
        <v>18</v>
      </c>
      <c r="AB4" s="60"/>
      <c r="AC4" s="60"/>
    </row>
    <row r="5" spans="1:31" ht="14.4" customHeight="1" x14ac:dyDescent="0.3">
      <c r="A5" s="38"/>
      <c r="B5" s="60"/>
      <c r="C5" s="60"/>
      <c r="D5" s="60"/>
      <c r="E5" s="60"/>
      <c r="F5" s="60"/>
      <c r="G5" s="60"/>
      <c r="H5" s="60"/>
      <c r="I5" s="60"/>
      <c r="J5" s="60"/>
      <c r="K5" s="60"/>
      <c r="L5" s="38"/>
      <c r="M5" s="38"/>
      <c r="N5" s="38"/>
      <c r="O5" s="38"/>
      <c r="P5" s="38"/>
      <c r="Q5" s="38"/>
      <c r="U5" s="482" t="s">
        <v>73</v>
      </c>
      <c r="V5" s="65" t="s">
        <v>296</v>
      </c>
      <c r="W5" s="398">
        <f>ROUND(Runs!BQ52,-1)</f>
        <v>8360</v>
      </c>
      <c r="X5" s="480">
        <f>X7</f>
        <v>500000</v>
      </c>
      <c r="Y5" s="312">
        <f>'Natl Spnr'!V6</f>
        <v>4200</v>
      </c>
      <c r="Z5" s="312">
        <f>AVERAGE(Y5,AA5)</f>
        <v>9280</v>
      </c>
      <c r="AA5" s="312">
        <v>14360</v>
      </c>
      <c r="AB5" s="60"/>
      <c r="AC5" s="60"/>
      <c r="AE5" t="s">
        <v>310</v>
      </c>
    </row>
    <row r="6" spans="1:31" x14ac:dyDescent="0.3">
      <c r="A6" s="38"/>
      <c r="B6" s="60"/>
      <c r="C6" s="60"/>
      <c r="D6" s="60"/>
      <c r="E6" s="60"/>
      <c r="F6" s="60"/>
      <c r="G6" s="60"/>
      <c r="H6" s="60"/>
      <c r="I6" s="60"/>
      <c r="J6" s="60"/>
      <c r="K6" s="60"/>
      <c r="L6" s="38"/>
      <c r="M6" s="38"/>
      <c r="N6" s="38"/>
      <c r="O6" s="38"/>
      <c r="P6" s="38"/>
      <c r="Q6" s="38"/>
      <c r="U6" s="483"/>
      <c r="V6" t="s">
        <v>297</v>
      </c>
      <c r="W6" s="74">
        <v>0</v>
      </c>
      <c r="X6" s="481"/>
      <c r="Y6" s="309" t="s">
        <v>23</v>
      </c>
      <c r="Z6" s="309">
        <v>1500</v>
      </c>
      <c r="AA6" s="309">
        <v>9000</v>
      </c>
      <c r="AB6" s="60"/>
      <c r="AC6" s="60"/>
      <c r="AE6" t="s">
        <v>332</v>
      </c>
    </row>
    <row r="7" spans="1:31" x14ac:dyDescent="0.3">
      <c r="A7" s="38"/>
      <c r="B7" s="60"/>
      <c r="C7" s="60"/>
      <c r="D7" s="60"/>
      <c r="E7" s="60"/>
      <c r="F7" s="60"/>
      <c r="G7" s="60"/>
      <c r="H7" s="60"/>
      <c r="I7" s="60"/>
      <c r="J7" s="60"/>
      <c r="K7" s="60"/>
      <c r="L7" s="38"/>
      <c r="M7" s="38"/>
      <c r="N7" s="38"/>
      <c r="O7" s="38"/>
      <c r="P7" s="38"/>
      <c r="Q7" s="38"/>
      <c r="U7" s="430" t="s">
        <v>14</v>
      </c>
      <c r="V7" s="431"/>
      <c r="W7" s="432">
        <f>SUM(W5:W6)</f>
        <v>8360</v>
      </c>
      <c r="X7" s="433">
        <v>500000</v>
      </c>
      <c r="Y7" s="434">
        <f>SUM(Y5:Y6)</f>
        <v>4200</v>
      </c>
      <c r="Z7" s="434">
        <f t="shared" ref="Z7:AA7" si="0">SUM(Z5:Z6)</f>
        <v>10780</v>
      </c>
      <c r="AA7" s="434">
        <f t="shared" si="0"/>
        <v>23360</v>
      </c>
      <c r="AB7" s="315"/>
      <c r="AC7" s="60"/>
      <c r="AE7" t="s">
        <v>480</v>
      </c>
    </row>
    <row r="8" spans="1:31" x14ac:dyDescent="0.3">
      <c r="A8" s="38"/>
      <c r="B8" s="60"/>
      <c r="C8" s="60"/>
      <c r="D8" s="60"/>
      <c r="E8" s="60"/>
      <c r="F8" s="60"/>
      <c r="G8" s="60"/>
      <c r="H8" s="60"/>
      <c r="I8" s="60"/>
      <c r="J8" s="60"/>
      <c r="K8" s="60"/>
      <c r="L8" s="38"/>
      <c r="M8" s="38"/>
      <c r="N8" s="38"/>
      <c r="O8" s="38"/>
      <c r="P8" s="38"/>
      <c r="Q8" s="38"/>
      <c r="U8" s="38"/>
      <c r="V8" s="38"/>
      <c r="W8" s="38"/>
      <c r="X8" s="38"/>
      <c r="Y8" s="38"/>
      <c r="Z8" s="38"/>
      <c r="AA8" s="38"/>
      <c r="AB8" s="60"/>
      <c r="AC8" s="60"/>
    </row>
    <row r="9" spans="1:31" ht="14.25" customHeight="1" x14ac:dyDescent="0.3">
      <c r="A9" s="38"/>
      <c r="B9" s="60"/>
      <c r="C9" s="60"/>
      <c r="D9" s="60"/>
      <c r="E9" s="60"/>
      <c r="F9" s="60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U9" s="294" t="s">
        <v>218</v>
      </c>
      <c r="V9" s="295"/>
      <c r="W9" s="296" t="s">
        <v>282</v>
      </c>
      <c r="X9" s="297"/>
      <c r="Y9" s="478"/>
      <c r="Z9" s="311" t="s">
        <v>25</v>
      </c>
      <c r="AA9" s="298" t="s">
        <v>298</v>
      </c>
      <c r="AB9" s="38"/>
      <c r="AC9" s="60"/>
    </row>
    <row r="10" spans="1:31" x14ac:dyDescent="0.3">
      <c r="A10" s="38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38"/>
      <c r="O10" s="38"/>
      <c r="P10" s="38"/>
      <c r="Q10" s="38"/>
      <c r="U10" s="299" t="s">
        <v>45</v>
      </c>
      <c r="V10" s="300"/>
      <c r="W10" s="301" t="s">
        <v>46</v>
      </c>
      <c r="X10" s="301" t="s">
        <v>481</v>
      </c>
      <c r="Y10" s="301" t="s">
        <v>482</v>
      </c>
      <c r="Z10" s="301" t="s">
        <v>290</v>
      </c>
      <c r="AA10" s="316" t="s">
        <v>283</v>
      </c>
      <c r="AB10" s="38"/>
      <c r="AC10" s="60"/>
    </row>
    <row r="11" spans="1:31" x14ac:dyDescent="0.3">
      <c r="A11" s="38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38"/>
      <c r="O11" s="38"/>
      <c r="P11" s="38"/>
      <c r="Q11" s="38"/>
      <c r="U11" s="62" t="s">
        <v>182</v>
      </c>
      <c r="V11" s="474"/>
      <c r="W11" s="498">
        <v>2700</v>
      </c>
      <c r="X11" s="475">
        <v>2800000</v>
      </c>
      <c r="Y11" s="11">
        <v>450000</v>
      </c>
      <c r="Z11" s="476"/>
      <c r="AA11" s="470">
        <f>X11+Y11</f>
        <v>3250000</v>
      </c>
      <c r="AB11" s="38"/>
      <c r="AC11" s="60"/>
    </row>
    <row r="12" spans="1:31" x14ac:dyDescent="0.3">
      <c r="A12" s="38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38"/>
      <c r="O12" s="38"/>
      <c r="P12" s="38"/>
      <c r="Q12" s="38"/>
      <c r="U12" s="62" t="s">
        <v>181</v>
      </c>
      <c r="V12" s="52"/>
      <c r="W12" s="499"/>
      <c r="X12" s="468">
        <v>1400000</v>
      </c>
      <c r="Y12" s="11">
        <v>0</v>
      </c>
      <c r="Z12" s="469"/>
      <c r="AA12" s="470">
        <f>X12</f>
        <v>1400000</v>
      </c>
      <c r="AB12" s="38"/>
      <c r="AC12" s="60"/>
    </row>
    <row r="13" spans="1:31" x14ac:dyDescent="0.3">
      <c r="A13" s="38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38"/>
      <c r="O13" s="38"/>
      <c r="P13" s="38"/>
      <c r="Q13" s="38"/>
      <c r="U13" s="62" t="s">
        <v>219</v>
      </c>
      <c r="V13" s="474"/>
      <c r="W13" s="477"/>
      <c r="X13" s="475">
        <v>1000000</v>
      </c>
      <c r="Y13" s="11">
        <v>0</v>
      </c>
      <c r="Z13" s="476"/>
      <c r="AA13" s="470">
        <f>X13</f>
        <v>1000000</v>
      </c>
      <c r="AB13" s="38"/>
      <c r="AC13" s="60"/>
    </row>
    <row r="14" spans="1:31" x14ac:dyDescent="0.3">
      <c r="A14" s="38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38"/>
      <c r="O14" s="38"/>
      <c r="P14" s="38"/>
      <c r="Q14" s="38"/>
      <c r="U14" s="257" t="s">
        <v>64</v>
      </c>
      <c r="V14" s="302"/>
      <c r="W14" s="302"/>
      <c r="X14" s="471">
        <f>SUM(X11:X13)</f>
        <v>5200000</v>
      </c>
      <c r="Y14" s="471">
        <f>SUM(Y11:Y13)</f>
        <v>450000</v>
      </c>
      <c r="Z14" s="473">
        <v>39110</v>
      </c>
      <c r="AA14" s="472">
        <f>SUM(AA11:AA13)</f>
        <v>5650000</v>
      </c>
      <c r="AC14" s="60"/>
      <c r="AE14" s="450">
        <v>5640000</v>
      </c>
    </row>
    <row r="15" spans="1:31" x14ac:dyDescent="0.3">
      <c r="A15" s="38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38"/>
      <c r="O15" s="38"/>
      <c r="P15" s="38"/>
      <c r="Q15" s="38"/>
      <c r="U15" s="60"/>
      <c r="V15" s="60"/>
      <c r="W15" s="60"/>
      <c r="X15" s="60"/>
      <c r="Y15" s="60"/>
      <c r="Z15" s="60"/>
      <c r="AA15" s="60"/>
      <c r="AB15" s="60"/>
      <c r="AC15" s="60"/>
    </row>
    <row r="16" spans="1:31" x14ac:dyDescent="0.3">
      <c r="A16" s="38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38"/>
      <c r="O16" s="38"/>
      <c r="P16" s="38"/>
      <c r="Q16" s="38"/>
      <c r="U16" s="67" t="s">
        <v>58</v>
      </c>
      <c r="V16" s="68"/>
      <c r="W16" s="283" t="s">
        <v>273</v>
      </c>
      <c r="X16" s="288"/>
      <c r="Y16" s="284"/>
      <c r="Z16" s="284"/>
      <c r="AA16" s="283" t="s">
        <v>50</v>
      </c>
      <c r="AB16" s="285"/>
      <c r="AC16" s="60"/>
    </row>
    <row r="17" spans="1:34" x14ac:dyDescent="0.3">
      <c r="A17" s="38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38"/>
      <c r="O17" s="38"/>
      <c r="P17" s="38"/>
      <c r="Q17" s="38"/>
      <c r="U17" s="69"/>
      <c r="V17" s="70" t="s">
        <v>32</v>
      </c>
      <c r="W17" s="70" t="s">
        <v>399</v>
      </c>
      <c r="X17" s="71" t="s">
        <v>400</v>
      </c>
      <c r="Y17" s="71" t="s">
        <v>220</v>
      </c>
      <c r="Z17" s="71" t="s">
        <v>9</v>
      </c>
      <c r="AA17" s="71" t="s">
        <v>291</v>
      </c>
      <c r="AB17" s="72" t="s">
        <v>9</v>
      </c>
      <c r="AC17" s="60"/>
    </row>
    <row r="18" spans="1:34" x14ac:dyDescent="0.3">
      <c r="A18" s="38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38"/>
      <c r="O18" s="38"/>
      <c r="P18" s="38"/>
      <c r="Q18" s="38"/>
      <c r="U18" s="490" t="s">
        <v>383</v>
      </c>
      <c r="V18" s="289" t="s">
        <v>279</v>
      </c>
      <c r="W18" s="378">
        <f>Fishery!C9+Fishery!C10</f>
        <v>9.6999999999999989E-2</v>
      </c>
      <c r="X18" s="290" t="s">
        <v>23</v>
      </c>
      <c r="Y18" s="290" t="s">
        <v>23</v>
      </c>
      <c r="Z18" s="493" t="str">
        <f>Z25</f>
        <v>30-80%</v>
      </c>
      <c r="AA18" s="399">
        <f>ROUND(W18*AH19,-2)</f>
        <v>8100</v>
      </c>
      <c r="AB18" s="496">
        <f>Z49-Z45</f>
        <v>20200</v>
      </c>
      <c r="AC18" s="60"/>
      <c r="AF18" t="s">
        <v>387</v>
      </c>
      <c r="AH18" s="11">
        <f>(SUM(W18:W19)*W29)/(1-SUM(W18:W19))</f>
        <v>16243.684014408143</v>
      </c>
    </row>
    <row r="19" spans="1:34" x14ac:dyDescent="0.3">
      <c r="A19" s="38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38"/>
      <c r="O19" s="38"/>
      <c r="P19" s="38"/>
      <c r="Q19" s="38"/>
      <c r="U19" s="491"/>
      <c r="V19" s="286" t="s">
        <v>274</v>
      </c>
      <c r="W19" s="377">
        <f>Fishery!C8</f>
        <v>9.7899999999999987E-2</v>
      </c>
      <c r="X19" s="53" t="s">
        <v>23</v>
      </c>
      <c r="Y19" s="53" t="s">
        <v>23</v>
      </c>
      <c r="Z19" s="485"/>
      <c r="AA19" s="271">
        <f>ROUND(W19*AH19,-2)</f>
        <v>8200</v>
      </c>
      <c r="AB19" s="497"/>
      <c r="AC19" s="60"/>
      <c r="AD19" s="102">
        <f>W19+W18</f>
        <v>0.19489999999999996</v>
      </c>
      <c r="AF19" t="s">
        <v>388</v>
      </c>
      <c r="AH19" s="11">
        <f>AH18+W29</f>
        <v>83343.684014408151</v>
      </c>
    </row>
    <row r="20" spans="1:34" x14ac:dyDescent="0.3">
      <c r="A20" s="38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38"/>
      <c r="O20" s="38"/>
      <c r="P20" s="38"/>
      <c r="Q20" s="38"/>
      <c r="U20" s="491"/>
      <c r="V20" s="62" t="s">
        <v>275</v>
      </c>
      <c r="W20" s="495">
        <f>X20*(1-SUM(W$18:W$19))</f>
        <v>9.1482306155724932E-2</v>
      </c>
      <c r="X20" s="494">
        <f>Runs!Y51</f>
        <v>0.11362850100077622</v>
      </c>
      <c r="Y20" s="485" t="s">
        <v>221</v>
      </c>
      <c r="Z20" s="485"/>
      <c r="AA20" s="484">
        <f>ROUND(X20*W29,-2)</f>
        <v>7600</v>
      </c>
      <c r="AB20" s="479">
        <f>Z45</f>
        <v>31900</v>
      </c>
      <c r="AC20" s="60"/>
      <c r="AD20" s="102">
        <f>SUM(W20:W23)</f>
        <v>0.26773678636001397</v>
      </c>
      <c r="AF20" t="s">
        <v>389</v>
      </c>
      <c r="AH20">
        <f>AH18/AH19</f>
        <v>0.19489999999999993</v>
      </c>
    </row>
    <row r="21" spans="1:34" x14ac:dyDescent="0.3">
      <c r="A21" s="38"/>
      <c r="B21" s="60"/>
      <c r="C21" s="60"/>
      <c r="D21" s="60"/>
      <c r="E21" s="60"/>
      <c r="F21" s="60"/>
      <c r="G21" s="63"/>
      <c r="H21" s="60"/>
      <c r="I21" s="60"/>
      <c r="J21" s="60"/>
      <c r="K21" s="60"/>
      <c r="L21" s="60"/>
      <c r="M21" s="60"/>
      <c r="N21" s="38"/>
      <c r="O21" s="38"/>
      <c r="P21" s="38"/>
      <c r="Q21" s="38"/>
      <c r="U21" s="491"/>
      <c r="V21" s="62" t="s">
        <v>276</v>
      </c>
      <c r="W21" s="485"/>
      <c r="X21" s="494"/>
      <c r="Y21" s="485"/>
      <c r="Z21" s="485"/>
      <c r="AA21" s="485"/>
      <c r="AB21" s="479"/>
      <c r="AC21" s="60"/>
      <c r="AD21" s="60"/>
      <c r="AE21" s="60"/>
    </row>
    <row r="22" spans="1:34" x14ac:dyDescent="0.3">
      <c r="A22" s="38"/>
      <c r="B22" s="60"/>
      <c r="C22" s="60"/>
      <c r="F22" s="60"/>
      <c r="G22" s="60"/>
      <c r="H22" s="60"/>
      <c r="I22" s="60"/>
      <c r="J22" s="60"/>
      <c r="K22" s="60"/>
      <c r="L22" s="60"/>
      <c r="M22" s="60"/>
      <c r="N22" s="38"/>
      <c r="O22" s="38"/>
      <c r="P22" s="38"/>
      <c r="Q22" s="38"/>
      <c r="U22" s="491"/>
      <c r="V22" s="286" t="s">
        <v>277</v>
      </c>
      <c r="W22" s="377">
        <f>X22*(1-SUM(W$18:W$19))</f>
        <v>0.16015248020428902</v>
      </c>
      <c r="X22" s="391">
        <f>Runs!V51</f>
        <v>0.19892246951222087</v>
      </c>
      <c r="Y22" s="485"/>
      <c r="Z22" s="485"/>
      <c r="AA22" s="271">
        <f>ROUND(X22*W29,-2)</f>
        <v>13300</v>
      </c>
      <c r="AB22" s="479"/>
      <c r="AC22" s="60"/>
      <c r="AD22" s="60"/>
      <c r="AE22" s="60"/>
    </row>
    <row r="23" spans="1:34" x14ac:dyDescent="0.3">
      <c r="A23" s="38"/>
      <c r="B23" s="60"/>
      <c r="C23" s="60"/>
      <c r="D23" s="60" t="s">
        <v>3</v>
      </c>
      <c r="E23" s="314">
        <f>W7</f>
        <v>8360</v>
      </c>
      <c r="F23" s="60"/>
      <c r="G23" s="60"/>
      <c r="H23" s="60"/>
      <c r="I23" s="60"/>
      <c r="J23" s="60"/>
      <c r="K23" s="60"/>
      <c r="L23" s="60"/>
      <c r="M23" s="60"/>
      <c r="N23" s="38"/>
      <c r="O23" s="38"/>
      <c r="P23" s="38"/>
      <c r="Q23" s="38"/>
      <c r="U23" s="491"/>
      <c r="V23" s="286" t="s">
        <v>54</v>
      </c>
      <c r="W23" s="377">
        <f>X23*(1-SUM(W$18:W$19))</f>
        <v>1.6102000000000002E-2</v>
      </c>
      <c r="X23" s="340">
        <v>0.02</v>
      </c>
      <c r="Y23" s="306" t="s">
        <v>23</v>
      </c>
      <c r="Z23" s="485"/>
      <c r="AA23" s="271">
        <f>ROUND(Runs!BC51+Runs!BE51,-2)</f>
        <v>1300</v>
      </c>
      <c r="AB23" s="479"/>
      <c r="AC23" s="60"/>
      <c r="AD23" s="60"/>
      <c r="AE23" s="38" t="s">
        <v>382</v>
      </c>
    </row>
    <row r="24" spans="1:34" ht="15" customHeight="1" x14ac:dyDescent="0.3">
      <c r="A24" s="38"/>
      <c r="B24" s="60"/>
      <c r="C24" s="60"/>
      <c r="D24" s="60" t="s">
        <v>294</v>
      </c>
      <c r="E24" s="314">
        <f>Y7</f>
        <v>4200</v>
      </c>
      <c r="F24" s="60"/>
      <c r="G24" s="60"/>
      <c r="H24" s="60"/>
      <c r="I24" s="60"/>
      <c r="J24" s="60"/>
      <c r="K24" s="60"/>
      <c r="L24" s="60"/>
      <c r="M24" s="60"/>
      <c r="N24" s="38"/>
      <c r="O24" s="38"/>
      <c r="P24" s="38"/>
      <c r="Q24" s="38"/>
      <c r="U24" s="491"/>
      <c r="V24" s="73" t="s">
        <v>278</v>
      </c>
      <c r="W24" s="287" t="s">
        <v>23</v>
      </c>
      <c r="X24" s="392" t="s">
        <v>23</v>
      </c>
      <c r="Y24" s="287" t="s">
        <v>23</v>
      </c>
      <c r="Z24" s="287" t="s">
        <v>23</v>
      </c>
      <c r="AA24" s="287" t="s">
        <v>23</v>
      </c>
      <c r="AB24" s="313" t="s">
        <v>23</v>
      </c>
      <c r="AC24" s="60"/>
      <c r="AD24" s="60"/>
      <c r="AE24" s="60"/>
    </row>
    <row r="25" spans="1:34" ht="15" customHeight="1" x14ac:dyDescent="0.3">
      <c r="A25" s="38"/>
      <c r="B25" s="60"/>
      <c r="C25" s="60"/>
      <c r="D25" s="60" t="s">
        <v>295</v>
      </c>
      <c r="E25" s="314">
        <f>Z7</f>
        <v>10780</v>
      </c>
      <c r="F25" s="60"/>
      <c r="G25" s="60"/>
      <c r="H25" s="60"/>
      <c r="I25" s="60"/>
      <c r="J25" s="60"/>
      <c r="K25" s="60"/>
      <c r="L25" s="60"/>
      <c r="M25" s="60"/>
      <c r="N25" s="38"/>
      <c r="O25" s="38"/>
      <c r="P25" s="38"/>
      <c r="Q25" s="38"/>
      <c r="U25" s="492"/>
      <c r="V25" s="375" t="s">
        <v>22</v>
      </c>
      <c r="W25" s="390">
        <f>Fishery!C11</f>
        <v>0.4624520461724535</v>
      </c>
      <c r="X25" s="393">
        <f>SUM(X20:X23)</f>
        <v>0.33255097051299709</v>
      </c>
      <c r="Y25" s="376" t="str">
        <f>Y20</f>
        <v>21.5-45%</v>
      </c>
      <c r="Z25" s="390" t="s">
        <v>381</v>
      </c>
      <c r="AA25" s="400">
        <f>SUM(AA18:AA24)</f>
        <v>38500</v>
      </c>
      <c r="AB25" s="401">
        <f>Z49</f>
        <v>52100</v>
      </c>
      <c r="AC25" s="60"/>
      <c r="AD25" s="60"/>
      <c r="AE25" s="60"/>
    </row>
    <row r="26" spans="1:34" x14ac:dyDescent="0.3">
      <c r="A26" s="38"/>
      <c r="B26" s="60"/>
      <c r="C26" s="60"/>
      <c r="D26" s="60" t="s">
        <v>292</v>
      </c>
      <c r="E26" s="314">
        <f>AA7</f>
        <v>23360</v>
      </c>
      <c r="F26" s="60"/>
      <c r="G26" s="60"/>
      <c r="H26" s="60"/>
      <c r="I26" s="60"/>
      <c r="J26" s="60"/>
      <c r="K26" s="60"/>
      <c r="L26" s="60"/>
      <c r="M26" s="60"/>
      <c r="N26" s="38"/>
      <c r="O26" s="38"/>
      <c r="P26" s="38"/>
      <c r="Q26" s="38"/>
      <c r="U26" s="38"/>
      <c r="V26" s="38"/>
      <c r="W26" s="38"/>
      <c r="X26" s="38"/>
      <c r="Y26" s="38"/>
      <c r="Z26" s="38"/>
      <c r="AA26" s="38"/>
      <c r="AB26" s="38"/>
      <c r="AC26" s="60"/>
      <c r="AD26" s="60"/>
      <c r="AE26" s="60"/>
    </row>
    <row r="27" spans="1:34" x14ac:dyDescent="0.3">
      <c r="A27" s="38"/>
      <c r="B27" s="60"/>
      <c r="C27" s="60"/>
      <c r="D27" s="60" t="s">
        <v>4</v>
      </c>
      <c r="E27" s="314">
        <f>X7</f>
        <v>500000</v>
      </c>
      <c r="F27" s="60"/>
      <c r="G27" s="60"/>
      <c r="H27" s="60"/>
      <c r="I27" s="60"/>
      <c r="J27" s="60"/>
      <c r="K27" s="60"/>
      <c r="L27" s="60"/>
      <c r="M27" s="60"/>
      <c r="N27" s="38"/>
      <c r="O27" s="38"/>
      <c r="P27" s="38"/>
      <c r="Q27" s="38"/>
      <c r="U27" s="486" t="s">
        <v>380</v>
      </c>
      <c r="V27" s="487"/>
      <c r="W27" s="413" t="s">
        <v>370</v>
      </c>
      <c r="X27" s="414" t="s">
        <v>280</v>
      </c>
      <c r="Y27" s="415"/>
      <c r="Z27" s="416"/>
      <c r="AA27" s="38"/>
      <c r="AB27" s="38"/>
    </row>
    <row r="28" spans="1:34" x14ac:dyDescent="0.3">
      <c r="A28" s="38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38"/>
      <c r="O28" s="38"/>
      <c r="P28" s="38"/>
      <c r="Q28" s="38"/>
      <c r="U28" s="488"/>
      <c r="V28" s="489"/>
      <c r="W28" s="417" t="s">
        <v>371</v>
      </c>
      <c r="X28" s="418" t="s">
        <v>16</v>
      </c>
      <c r="Y28" s="418" t="s">
        <v>17</v>
      </c>
      <c r="Z28" s="419" t="s">
        <v>18</v>
      </c>
      <c r="AA28" s="38"/>
      <c r="AB28" s="38"/>
    </row>
    <row r="29" spans="1:34" x14ac:dyDescent="0.3">
      <c r="A29" s="38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38"/>
      <c r="O29" s="38"/>
      <c r="P29" s="38"/>
      <c r="Q29" s="38"/>
      <c r="U29" s="293" t="s">
        <v>65</v>
      </c>
      <c r="V29" s="255"/>
      <c r="W29" s="308">
        <f>W30+W31</f>
        <v>67100</v>
      </c>
      <c r="X29" s="308">
        <f>X30+X31</f>
        <v>58200</v>
      </c>
      <c r="Y29" s="308">
        <f t="shared" ref="Y29:Z29" si="1">Y30+Y31</f>
        <v>70100</v>
      </c>
      <c r="Z29" s="402">
        <f t="shared" si="1"/>
        <v>83400</v>
      </c>
      <c r="AA29" s="38"/>
      <c r="AB29" s="38"/>
    </row>
    <row r="30" spans="1:34" x14ac:dyDescent="0.3">
      <c r="A30" s="38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38"/>
      <c r="O30" s="38"/>
      <c r="P30" s="38"/>
      <c r="Q30" s="38"/>
      <c r="U30" s="62"/>
      <c r="V30" t="s">
        <v>384</v>
      </c>
      <c r="W30" s="271">
        <f>ROUND(Runs!D51,-2)</f>
        <v>17900</v>
      </c>
      <c r="X30" s="271">
        <f>ROUND(Conv!P17,-2)</f>
        <v>9000</v>
      </c>
      <c r="Y30" s="271">
        <f>ROUND(Conv!T17,-2)</f>
        <v>20900</v>
      </c>
      <c r="Z30" s="291">
        <f>ROUND(Conv!X17,-2)</f>
        <v>34200</v>
      </c>
      <c r="AA30" s="38"/>
      <c r="AB30" s="38"/>
    </row>
    <row r="31" spans="1:34" ht="15" customHeight="1" x14ac:dyDescent="0.3">
      <c r="A31" s="38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38"/>
      <c r="O31" s="38"/>
      <c r="P31" s="38"/>
      <c r="Q31" s="38"/>
      <c r="U31" s="62"/>
      <c r="V31" t="s">
        <v>30</v>
      </c>
      <c r="W31" s="271">
        <f>ROUND(Runs!K51,-2)</f>
        <v>49200</v>
      </c>
      <c r="X31" s="271">
        <f>ROUND(Conv!P45,-2)</f>
        <v>49200</v>
      </c>
      <c r="Y31" s="271">
        <f>ROUND(Conv!T45,-2)</f>
        <v>49200</v>
      </c>
      <c r="Z31" s="291">
        <f>ROUND(Conv!X45,-2)</f>
        <v>49200</v>
      </c>
      <c r="AA31" s="38"/>
      <c r="AB31" s="38"/>
    </row>
    <row r="32" spans="1:34" ht="15" customHeight="1" x14ac:dyDescent="0.3">
      <c r="A32" s="38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38"/>
      <c r="O32" s="38"/>
      <c r="P32" s="38"/>
      <c r="Q32" s="38"/>
      <c r="U32" s="73"/>
      <c r="V32" s="61" t="s">
        <v>281</v>
      </c>
      <c r="W32" s="307">
        <f>Runs!$AS$51</f>
        <v>0.73106189165417368</v>
      </c>
      <c r="X32" s="307">
        <f>X31/X29</f>
        <v>0.84536082474226804</v>
      </c>
      <c r="Y32" s="307">
        <f t="shared" ref="Y32:Z32" si="2">Y31/Y29</f>
        <v>0.70185449358059915</v>
      </c>
      <c r="Z32" s="403">
        <f t="shared" si="2"/>
        <v>0.58992805755395683</v>
      </c>
      <c r="AA32" s="38"/>
      <c r="AB32" s="38"/>
    </row>
    <row r="33" spans="1:31" x14ac:dyDescent="0.3">
      <c r="A33" s="38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38"/>
      <c r="O33" s="38"/>
      <c r="P33" s="38"/>
      <c r="Q33" s="38"/>
      <c r="U33" s="339" t="s">
        <v>369</v>
      </c>
      <c r="V33" s="255"/>
      <c r="W33" s="308">
        <f>W34+W35</f>
        <v>60000</v>
      </c>
      <c r="X33" s="308">
        <f>X34+X35</f>
        <v>52000</v>
      </c>
      <c r="Y33" s="308">
        <f t="shared" ref="Y33" si="3">Y34+Y35</f>
        <v>62500</v>
      </c>
      <c r="Z33" s="402">
        <f t="shared" ref="Z33" si="4">Z34+Z35</f>
        <v>73700</v>
      </c>
      <c r="AA33" s="38"/>
      <c r="AB33" s="38"/>
    </row>
    <row r="34" spans="1:31" x14ac:dyDescent="0.3">
      <c r="A34" s="38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38"/>
      <c r="O34" s="38"/>
      <c r="P34" s="38"/>
      <c r="Q34" s="38"/>
      <c r="U34" s="62"/>
      <c r="V34" t="s">
        <v>384</v>
      </c>
      <c r="W34" s="271">
        <f>ROUND(Runs!F51,-2)</f>
        <v>16000</v>
      </c>
      <c r="X34" s="271">
        <f>ROUND(Conv!P14,-2)</f>
        <v>8000</v>
      </c>
      <c r="Y34" s="271">
        <f>ROUND(Conv!T14,-2)</f>
        <v>18500</v>
      </c>
      <c r="Z34" s="291">
        <f>ROUND(Conv!X14,-2)</f>
        <v>29700</v>
      </c>
      <c r="AA34" s="38"/>
      <c r="AB34" s="38"/>
    </row>
    <row r="35" spans="1:31" x14ac:dyDescent="0.3">
      <c r="A35" s="38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38"/>
      <c r="O35" s="38"/>
      <c r="P35" s="38"/>
      <c r="Q35" s="38"/>
      <c r="U35" s="62"/>
      <c r="V35" t="s">
        <v>30</v>
      </c>
      <c r="W35" s="271">
        <f>ROUND(Runs!M51,-2)</f>
        <v>44000</v>
      </c>
      <c r="X35" s="271">
        <f>ROUND(Conv!P42,-2)</f>
        <v>44000</v>
      </c>
      <c r="Y35" s="271">
        <f>ROUND(Conv!T42,-2)</f>
        <v>44000</v>
      </c>
      <c r="Z35" s="291">
        <f>ROUND(Conv!X42,-2)</f>
        <v>44000</v>
      </c>
      <c r="AA35" s="38"/>
      <c r="AB35" s="38"/>
      <c r="AE35" s="52" t="s">
        <v>401</v>
      </c>
    </row>
    <row r="36" spans="1:31" x14ac:dyDescent="0.3">
      <c r="A36" s="38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38"/>
      <c r="O36" s="38"/>
      <c r="P36" s="38"/>
      <c r="Q36" s="38"/>
      <c r="U36" s="73"/>
      <c r="V36" t="s">
        <v>281</v>
      </c>
      <c r="W36" s="307">
        <f>Runs!$AS$51</f>
        <v>0.73106189165417368</v>
      </c>
      <c r="X36" s="307">
        <f>X35/X33</f>
        <v>0.84615384615384615</v>
      </c>
      <c r="Y36" s="307">
        <f t="shared" ref="Y36" si="5">Y35/Y33</f>
        <v>0.70399999999999996</v>
      </c>
      <c r="Z36" s="403">
        <f t="shared" ref="Z36" si="6">Z35/Z33</f>
        <v>0.59701492537313428</v>
      </c>
      <c r="AA36" s="38"/>
      <c r="AB36" s="38"/>
    </row>
    <row r="37" spans="1:31" x14ac:dyDescent="0.3">
      <c r="A37" s="38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38"/>
      <c r="O37" s="38"/>
      <c r="P37" s="38"/>
      <c r="Q37" s="38"/>
      <c r="U37" s="339" t="s">
        <v>368</v>
      </c>
      <c r="V37" s="255"/>
      <c r="W37" s="308">
        <f>W38+W39</f>
        <v>38700</v>
      </c>
      <c r="X37" s="308">
        <f>X38+X39</f>
        <v>20800</v>
      </c>
      <c r="Y37" s="308">
        <f t="shared" ref="Y37" si="7">Y38+Y39</f>
        <v>36500</v>
      </c>
      <c r="Z37" s="402">
        <f t="shared" ref="Z37" si="8">Z38+Z39</f>
        <v>43000</v>
      </c>
      <c r="AA37" s="38"/>
      <c r="AB37" s="38"/>
    </row>
    <row r="38" spans="1:31" x14ac:dyDescent="0.3">
      <c r="A38" s="38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38"/>
      <c r="O38" s="38"/>
      <c r="P38" s="38"/>
      <c r="Q38" s="38"/>
      <c r="U38" s="62"/>
      <c r="V38" t="s">
        <v>384</v>
      </c>
      <c r="W38" s="271">
        <f>ROUND(Runs!AQ51,-2)</f>
        <v>10500</v>
      </c>
      <c r="X38" s="271">
        <f>ROUND(Conv!P8,-2)</f>
        <v>5300</v>
      </c>
      <c r="Y38" s="271">
        <f>ROUND(Conv!T8,-2)</f>
        <v>11700</v>
      </c>
      <c r="Z38" s="291">
        <f>ROUND(Conv!X8,-2)</f>
        <v>18200</v>
      </c>
      <c r="AA38" s="38"/>
      <c r="AB38" s="38"/>
    </row>
    <row r="39" spans="1:31" x14ac:dyDescent="0.3">
      <c r="A39" s="38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38"/>
      <c r="O39" s="38"/>
      <c r="P39" s="38"/>
      <c r="Q39" s="38"/>
      <c r="U39" s="62"/>
      <c r="V39" t="s">
        <v>30</v>
      </c>
      <c r="W39" s="271">
        <f>ROUND(Runs!AO51,-2)</f>
        <v>28200</v>
      </c>
      <c r="X39" s="271">
        <f>ROUND('Natl Spnr'!V10,-2)</f>
        <v>15500</v>
      </c>
      <c r="Y39" s="271">
        <f>ROUND('Natl Spnr'!W10,-2)</f>
        <v>24800</v>
      </c>
      <c r="Z39" s="291">
        <f>ROUND('Natl Spnr'!W10,-2)</f>
        <v>24800</v>
      </c>
      <c r="AA39" s="38"/>
      <c r="AB39" s="38"/>
      <c r="AE39" t="s">
        <v>378</v>
      </c>
    </row>
    <row r="40" spans="1:31" x14ac:dyDescent="0.3">
      <c r="A40" s="38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38"/>
      <c r="O40" s="38"/>
      <c r="P40" s="38"/>
      <c r="Q40" s="38"/>
      <c r="U40" s="73"/>
      <c r="V40" s="61" t="s">
        <v>281</v>
      </c>
      <c r="W40" s="307">
        <f>Runs!$AS$51</f>
        <v>0.73106189165417368</v>
      </c>
      <c r="X40" s="307">
        <f>X39/X37</f>
        <v>0.74519230769230771</v>
      </c>
      <c r="Y40" s="307">
        <f t="shared" ref="Y40" si="9">Y39/Y37</f>
        <v>0.67945205479452053</v>
      </c>
      <c r="Z40" s="403">
        <f t="shared" ref="Z40" si="10">Z39/Z37</f>
        <v>0.57674418604651168</v>
      </c>
      <c r="AA40" s="38"/>
      <c r="AB40" s="38"/>
    </row>
    <row r="41" spans="1:31" x14ac:dyDescent="0.3">
      <c r="A41" s="38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38"/>
      <c r="O41" s="38"/>
      <c r="P41" s="38"/>
      <c r="Q41" s="38"/>
      <c r="U41" s="292" t="s">
        <v>289</v>
      </c>
      <c r="V41" s="255"/>
      <c r="W41" s="308">
        <f>W42+W43</f>
        <v>31800</v>
      </c>
      <c r="X41" s="308">
        <f>X42+X43</f>
        <v>27500</v>
      </c>
      <c r="Y41" s="308">
        <f t="shared" ref="Y41:Z41" si="11">Y42+Y43</f>
        <v>32600</v>
      </c>
      <c r="Z41" s="402">
        <f t="shared" si="11"/>
        <v>37500</v>
      </c>
      <c r="AA41" s="38"/>
      <c r="AB41" s="38"/>
    </row>
    <row r="42" spans="1:31" x14ac:dyDescent="0.3">
      <c r="A42" s="38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38"/>
      <c r="O42" s="38"/>
      <c r="P42" s="38"/>
      <c r="Q42" s="38"/>
      <c r="U42" s="62"/>
      <c r="V42" t="s">
        <v>384</v>
      </c>
      <c r="W42" s="271">
        <f>ROUND(Runs!BQ51,-2)</f>
        <v>9600</v>
      </c>
      <c r="X42" s="271">
        <f>ROUND(Conv!P5,-2)</f>
        <v>4800</v>
      </c>
      <c r="Y42" s="271">
        <f>ROUND(Conv!T5,-2)</f>
        <v>10700</v>
      </c>
      <c r="Z42" s="291">
        <f>ROUND(Conv!X5,-2)</f>
        <v>16500</v>
      </c>
      <c r="AA42" s="38"/>
      <c r="AB42" s="38"/>
      <c r="AE42" t="s">
        <v>379</v>
      </c>
    </row>
    <row r="43" spans="1:31" x14ac:dyDescent="0.3">
      <c r="A43" s="38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38"/>
      <c r="O43" s="38"/>
      <c r="P43" s="38"/>
      <c r="Q43" s="38"/>
      <c r="U43" s="62"/>
      <c r="V43" t="s">
        <v>30</v>
      </c>
      <c r="W43" s="271">
        <f>ROUND(Runs!BO51,-2)</f>
        <v>22200</v>
      </c>
      <c r="X43" s="271">
        <f>ROUND(Conv!P34,-2)</f>
        <v>22700</v>
      </c>
      <c r="Y43" s="271">
        <f>ROUND(Conv!T34,-2)</f>
        <v>21900</v>
      </c>
      <c r="Z43" s="291">
        <f>ROUND(Conv!X34,-2)</f>
        <v>21000</v>
      </c>
      <c r="AA43" s="38"/>
      <c r="AB43" s="38"/>
    </row>
    <row r="44" spans="1:31" x14ac:dyDescent="0.3">
      <c r="A44" s="38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38"/>
      <c r="O44" s="38"/>
      <c r="P44" s="38"/>
      <c r="Q44" s="38"/>
      <c r="U44" s="73"/>
      <c r="V44" s="61" t="s">
        <v>281</v>
      </c>
      <c r="W44" s="307">
        <f>W43/W41</f>
        <v>0.69811320754716977</v>
      </c>
      <c r="X44" s="307">
        <f>X43/X41</f>
        <v>0.82545454545454544</v>
      </c>
      <c r="Y44" s="307">
        <f t="shared" ref="Y44:Z44" si="12">Y43/Y41</f>
        <v>0.67177914110429449</v>
      </c>
      <c r="Z44" s="403">
        <f t="shared" si="12"/>
        <v>0.56000000000000005</v>
      </c>
      <c r="AA44" s="38"/>
      <c r="AB44" s="38"/>
    </row>
    <row r="45" spans="1:31" x14ac:dyDescent="0.3">
      <c r="A45" s="38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38"/>
      <c r="O45" s="38"/>
      <c r="P45" s="38"/>
      <c r="Q45" s="38"/>
      <c r="U45" s="292" t="s">
        <v>293</v>
      </c>
      <c r="V45" s="255"/>
      <c r="W45" s="308">
        <f>SUM(AA20:AA23)</f>
        <v>22200</v>
      </c>
      <c r="X45" s="308">
        <f>X46+X47</f>
        <v>19000</v>
      </c>
      <c r="Y45" s="308">
        <f t="shared" ref="Y45" si="13">Y46+Y47</f>
        <v>24800</v>
      </c>
      <c r="Z45" s="402">
        <f t="shared" ref="Z45" si="14">Z46+Z47</f>
        <v>31900</v>
      </c>
      <c r="AA45" s="38"/>
      <c r="AB45" s="38"/>
    </row>
    <row r="46" spans="1:31" x14ac:dyDescent="0.3">
      <c r="A46" s="38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38"/>
      <c r="O46" s="38"/>
      <c r="P46" s="38"/>
      <c r="Q46" s="38"/>
      <c r="U46" s="62"/>
      <c r="V46" t="s">
        <v>384</v>
      </c>
      <c r="W46" s="271">
        <f>ROUND(W45-W47,-2)</f>
        <v>6000</v>
      </c>
      <c r="X46" s="271">
        <f>ROUND(Conv!Q21,-2)</f>
        <v>2900</v>
      </c>
      <c r="Y46" s="271">
        <f>ROUND(Conv!U21,-2)</f>
        <v>7500</v>
      </c>
      <c r="Z46" s="291">
        <f>ROUND(Conv!Y21,-2)</f>
        <v>13400</v>
      </c>
      <c r="AA46" s="38"/>
      <c r="AB46" s="38"/>
      <c r="AE46" t="s">
        <v>385</v>
      </c>
    </row>
    <row r="47" spans="1:31" x14ac:dyDescent="0.3">
      <c r="A47" s="38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38"/>
      <c r="O47" s="38"/>
      <c r="P47" s="38"/>
      <c r="Q47" s="38"/>
      <c r="U47" s="62"/>
      <c r="V47" t="s">
        <v>30</v>
      </c>
      <c r="W47" s="271">
        <f>ROUND(W45*W48,-2)</f>
        <v>16200</v>
      </c>
      <c r="X47" s="271">
        <f>ROUND(Conv!Q51,-2)</f>
        <v>16100</v>
      </c>
      <c r="Y47" s="271">
        <f>ROUND(Conv!U51,-2)</f>
        <v>17300</v>
      </c>
      <c r="Z47" s="291">
        <f>ROUND(Conv!Y51,-2)</f>
        <v>18500</v>
      </c>
      <c r="AA47" s="38"/>
      <c r="AB47" s="38"/>
    </row>
    <row r="48" spans="1:31" ht="14.4" customHeight="1" x14ac:dyDescent="0.3">
      <c r="A48" s="38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8"/>
      <c r="O48" s="38"/>
      <c r="P48" s="38"/>
      <c r="Q48" s="38"/>
      <c r="U48" s="73"/>
      <c r="V48" s="61" t="s">
        <v>281</v>
      </c>
      <c r="W48" s="307">
        <f>Runs!$AS$51</f>
        <v>0.73106189165417368</v>
      </c>
      <c r="X48" s="307">
        <f>X47/X45</f>
        <v>0.84736842105263155</v>
      </c>
      <c r="Y48" s="307">
        <f t="shared" ref="Y48" si="15">Y47/Y45</f>
        <v>0.69758064516129037</v>
      </c>
      <c r="Z48" s="403">
        <f t="shared" ref="Z48" si="16">Z47/Z45</f>
        <v>0.57993730407523514</v>
      </c>
      <c r="AA48" s="38"/>
      <c r="AB48" s="38"/>
    </row>
    <row r="49" spans="1:28" x14ac:dyDescent="0.3">
      <c r="A49" s="38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38"/>
      <c r="O49" s="38"/>
      <c r="P49" s="38"/>
      <c r="Q49" s="38"/>
      <c r="U49" s="292" t="s">
        <v>402</v>
      </c>
      <c r="V49" s="255"/>
      <c r="W49" s="308">
        <f>AA25</f>
        <v>38500</v>
      </c>
      <c r="X49" s="308">
        <f>X50+X51</f>
        <v>33100</v>
      </c>
      <c r="Y49" s="308">
        <f t="shared" ref="Y49:Z49" si="17">Y50+Y51</f>
        <v>41800</v>
      </c>
      <c r="Z49" s="402">
        <f t="shared" si="17"/>
        <v>52100</v>
      </c>
      <c r="AA49" s="38"/>
      <c r="AB49" s="38"/>
    </row>
    <row r="50" spans="1:28" x14ac:dyDescent="0.3">
      <c r="A50" s="38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38"/>
      <c r="O50" s="38"/>
      <c r="P50" s="38"/>
      <c r="Q50" s="38"/>
      <c r="U50" s="62"/>
      <c r="V50" t="s">
        <v>384</v>
      </c>
      <c r="W50" s="271">
        <f>W49-W51</f>
        <v>10400</v>
      </c>
      <c r="X50" s="271">
        <f>ROUND(Conv!Q30,-2)</f>
        <v>5100</v>
      </c>
      <c r="Y50" s="271">
        <f>ROUND(Conv!U30,-2)</f>
        <v>12600</v>
      </c>
      <c r="Z50" s="291">
        <f>ROUND(Conv!Y30,-2)</f>
        <v>21700</v>
      </c>
      <c r="AA50" s="38"/>
      <c r="AB50" s="38"/>
    </row>
    <row r="51" spans="1:28" x14ac:dyDescent="0.3">
      <c r="A51" s="38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38"/>
      <c r="O51" s="38"/>
      <c r="P51" s="38"/>
      <c r="Q51" s="38"/>
      <c r="U51" s="62"/>
      <c r="V51" t="s">
        <v>30</v>
      </c>
      <c r="W51" s="271">
        <f>ROUND(W49*W52,-2)</f>
        <v>28100</v>
      </c>
      <c r="X51" s="271">
        <f>ROUND(Conv!Q60,-2)</f>
        <v>28000</v>
      </c>
      <c r="Y51" s="271">
        <f>ROUND(Conv!U60,-2)</f>
        <v>29200</v>
      </c>
      <c r="Z51" s="291">
        <f>ROUND(Conv!Y60,-2)</f>
        <v>30400</v>
      </c>
      <c r="AA51" s="38"/>
      <c r="AB51" s="38"/>
    </row>
    <row r="52" spans="1:28" x14ac:dyDescent="0.3">
      <c r="A52" s="38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38"/>
      <c r="O52" s="38"/>
      <c r="P52" s="38"/>
      <c r="Q52" s="38"/>
      <c r="U52" s="73"/>
      <c r="V52" s="61" t="s">
        <v>281</v>
      </c>
      <c r="W52" s="307">
        <f>Runs!$AS$51</f>
        <v>0.73106189165417368</v>
      </c>
      <c r="X52" s="307">
        <f>X51/X49</f>
        <v>0.84592145015105735</v>
      </c>
      <c r="Y52" s="307">
        <f t="shared" ref="Y52:Z52" si="18">Y51/Y49</f>
        <v>0.69856459330143539</v>
      </c>
      <c r="Z52" s="403">
        <f t="shared" si="18"/>
        <v>0.58349328214971208</v>
      </c>
      <c r="AA52" s="38"/>
      <c r="AB52" s="38"/>
    </row>
    <row r="53" spans="1:28" x14ac:dyDescent="0.3">
      <c r="A53" s="38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38"/>
      <c r="O53" s="38"/>
      <c r="P53" s="38"/>
      <c r="Q53" s="38"/>
      <c r="U53" s="38"/>
      <c r="V53" s="38"/>
      <c r="W53" s="38"/>
      <c r="X53" s="38"/>
      <c r="Y53" s="38"/>
      <c r="Z53" s="38"/>
      <c r="AA53" s="38"/>
      <c r="AB53" s="38"/>
    </row>
    <row r="54" spans="1:28" x14ac:dyDescent="0.3">
      <c r="A54" s="38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38"/>
      <c r="O54" s="38"/>
      <c r="P54" s="38"/>
      <c r="Q54" s="38"/>
    </row>
    <row r="55" spans="1:28" ht="14.4" customHeight="1" x14ac:dyDescent="0.3">
      <c r="A55" s="38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38"/>
      <c r="O55" s="38"/>
      <c r="P55" s="38"/>
      <c r="Q55" s="38"/>
    </row>
    <row r="56" spans="1:28" x14ac:dyDescent="0.3">
      <c r="A56" s="38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38"/>
      <c r="O56" s="38"/>
      <c r="P56" s="38"/>
      <c r="Q56" s="38"/>
    </row>
    <row r="57" spans="1:28" x14ac:dyDescent="0.3">
      <c r="A57" s="38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38"/>
      <c r="O57" s="38"/>
      <c r="P57" s="38"/>
      <c r="Q57" s="38"/>
    </row>
    <row r="58" spans="1:28" x14ac:dyDescent="0.3">
      <c r="A58" s="38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38"/>
      <c r="O58" s="38"/>
      <c r="P58" s="38"/>
      <c r="Q58" s="38"/>
    </row>
    <row r="59" spans="1:28" x14ac:dyDescent="0.3">
      <c r="A59" s="38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38"/>
      <c r="O59" s="38"/>
      <c r="P59" s="38"/>
      <c r="Q59" s="38"/>
    </row>
    <row r="60" spans="1:28" x14ac:dyDescent="0.3">
      <c r="A60" s="38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38"/>
      <c r="O60" s="38"/>
      <c r="P60" s="38"/>
      <c r="Q60" s="38"/>
    </row>
    <row r="61" spans="1:28" ht="14.4" customHeight="1" x14ac:dyDescent="0.3">
      <c r="A61" s="38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38"/>
      <c r="O61" s="38"/>
      <c r="P61" s="38"/>
      <c r="Q61" s="38"/>
    </row>
    <row r="62" spans="1:28" x14ac:dyDescent="0.3">
      <c r="A62" s="38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38"/>
      <c r="O62" s="38"/>
      <c r="P62" s="38"/>
      <c r="Q62" s="38"/>
    </row>
    <row r="63" spans="1:28" x14ac:dyDescent="0.3">
      <c r="A63" s="38"/>
      <c r="B63" s="60"/>
      <c r="C63" s="60"/>
      <c r="D63" s="60"/>
      <c r="E63" s="60"/>
      <c r="F63" s="60"/>
      <c r="G63" s="60"/>
      <c r="H63" s="60"/>
      <c r="I63" s="60"/>
      <c r="J63" s="38"/>
      <c r="K63" s="38"/>
      <c r="L63" s="38"/>
      <c r="M63" s="38"/>
      <c r="N63" s="38"/>
      <c r="O63" s="38"/>
      <c r="P63" s="38"/>
      <c r="Q63" s="38"/>
    </row>
    <row r="64" spans="1:28" x14ac:dyDescent="0.3">
      <c r="A64" s="38"/>
      <c r="B64" s="60"/>
      <c r="C64" s="60"/>
      <c r="D64" s="60"/>
      <c r="E64" s="60"/>
      <c r="F64" s="60"/>
      <c r="G64" s="60"/>
      <c r="H64" s="60"/>
      <c r="I64" s="60"/>
      <c r="J64" s="38"/>
      <c r="K64" s="38"/>
      <c r="L64" s="38"/>
      <c r="M64" s="38"/>
      <c r="N64" s="38"/>
      <c r="O64" s="38"/>
      <c r="P64" s="38"/>
      <c r="Q64" s="38"/>
    </row>
    <row r="65" spans="1:29" x14ac:dyDescent="0.3">
      <c r="A65" s="38"/>
      <c r="B65" s="60"/>
      <c r="C65" s="60"/>
      <c r="D65" s="60"/>
      <c r="E65" s="60"/>
      <c r="F65" s="60"/>
      <c r="G65" s="60"/>
      <c r="H65" s="60"/>
      <c r="I65" s="60"/>
      <c r="J65" s="38"/>
      <c r="K65" s="38"/>
      <c r="L65" s="38"/>
      <c r="M65" s="38"/>
      <c r="N65" s="38"/>
      <c r="O65" s="38"/>
      <c r="P65" s="38"/>
      <c r="Q65" s="38"/>
    </row>
    <row r="66" spans="1:29" x14ac:dyDescent="0.3">
      <c r="A66" s="38"/>
      <c r="B66" s="60"/>
      <c r="C66" s="60"/>
      <c r="D66" s="60"/>
      <c r="E66" s="60"/>
      <c r="F66" s="60"/>
      <c r="G66" s="60"/>
      <c r="H66" s="60"/>
      <c r="I66" s="60"/>
      <c r="J66" s="38"/>
      <c r="K66" s="38"/>
      <c r="L66" s="38"/>
      <c r="M66" s="38"/>
      <c r="N66" s="38"/>
      <c r="O66" s="38"/>
      <c r="P66" s="38"/>
      <c r="Q66" s="38"/>
    </row>
    <row r="67" spans="1:29" x14ac:dyDescent="0.3">
      <c r="A67" s="38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38"/>
      <c r="O67" s="38"/>
      <c r="P67" s="38"/>
      <c r="Q67" s="38"/>
    </row>
    <row r="68" spans="1:29" x14ac:dyDescent="0.3">
      <c r="A68" s="38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38"/>
      <c r="O68" s="38"/>
      <c r="P68" s="38"/>
      <c r="Q68" s="38"/>
    </row>
    <row r="69" spans="1:29" x14ac:dyDescent="0.3">
      <c r="A69" s="38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38"/>
      <c r="O69" s="38"/>
      <c r="P69" s="38"/>
      <c r="Q69" s="38"/>
    </row>
    <row r="70" spans="1:29" x14ac:dyDescent="0.3">
      <c r="A70" s="38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38"/>
      <c r="O70" s="38"/>
      <c r="P70" s="38"/>
      <c r="Q70" s="38"/>
    </row>
    <row r="71" spans="1:29" s="282" customFormat="1" ht="18" x14ac:dyDescent="0.35">
      <c r="A71" s="310"/>
      <c r="B71" s="404"/>
      <c r="C71" s="404"/>
      <c r="D71" s="404"/>
      <c r="E71" s="435" t="s">
        <v>22</v>
      </c>
      <c r="F71" s="436">
        <f>W25</f>
        <v>0.4624520461724535</v>
      </c>
      <c r="G71" s="404"/>
      <c r="H71" s="404"/>
      <c r="I71" s="404"/>
      <c r="J71" s="404"/>
      <c r="K71" s="404"/>
      <c r="L71" s="404"/>
      <c r="M71" s="435" t="s">
        <v>22</v>
      </c>
      <c r="N71" s="437">
        <f>X14/1000000</f>
        <v>5.2</v>
      </c>
      <c r="O71" s="438" t="s">
        <v>410</v>
      </c>
      <c r="P71" s="310"/>
      <c r="Q71" s="310"/>
      <c r="R71" s="310"/>
      <c r="S71" s="310"/>
      <c r="T71" s="310"/>
      <c r="AC71" s="310"/>
    </row>
    <row r="72" spans="1:29" x14ac:dyDescent="0.3">
      <c r="A72" s="38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38"/>
      <c r="O72" s="38"/>
      <c r="P72" s="38"/>
      <c r="Q72" s="38"/>
    </row>
    <row r="73" spans="1:29" x14ac:dyDescent="0.3">
      <c r="A73" s="38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38"/>
      <c r="O73" s="38"/>
      <c r="P73" s="38"/>
      <c r="Q73" s="38"/>
    </row>
    <row r="74" spans="1:29" x14ac:dyDescent="0.3">
      <c r="A74" s="38"/>
      <c r="B74" s="60"/>
      <c r="C74" s="60"/>
      <c r="D74" s="60"/>
      <c r="E74" s="60"/>
      <c r="H74" s="60"/>
      <c r="I74" s="38"/>
      <c r="J74" s="38"/>
      <c r="M74" s="60"/>
      <c r="N74" s="38"/>
      <c r="O74" s="38"/>
      <c r="P74" s="38"/>
      <c r="Q74" s="38"/>
    </row>
    <row r="75" spans="1:29" x14ac:dyDescent="0.3">
      <c r="A75" s="38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38"/>
      <c r="O75" s="38"/>
      <c r="P75" s="38"/>
      <c r="Q75" s="38"/>
    </row>
  </sheetData>
  <sortState xmlns:xlrd2="http://schemas.microsoft.com/office/spreadsheetml/2017/richdata2" ref="C64:C65">
    <sortCondition ref="C64"/>
  </sortState>
  <mergeCells count="12">
    <mergeCell ref="AB20:AB23"/>
    <mergeCell ref="X5:X6"/>
    <mergeCell ref="U5:U6"/>
    <mergeCell ref="AA20:AA21"/>
    <mergeCell ref="U27:V28"/>
    <mergeCell ref="U18:U25"/>
    <mergeCell ref="Y20:Y22"/>
    <mergeCell ref="Z18:Z23"/>
    <mergeCell ref="X20:X21"/>
    <mergeCell ref="W20:W21"/>
    <mergeCell ref="AB18:AB19"/>
    <mergeCell ref="W11:W12"/>
  </mergeCells>
  <printOptions horizontalCentered="1"/>
  <pageMargins left="0.5" right="0.5" top="0.5" bottom="0.5" header="0.3" footer="0.3"/>
  <pageSetup scale="67" orientation="portrait" r:id="rId1"/>
  <headerFooter>
    <oddHeader>&amp;R&amp;D</oddHeader>
    <oddFooter>&amp;L&amp;F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19C1-8100-48E9-9664-96D17057CA27}">
  <dimension ref="A1:O10"/>
  <sheetViews>
    <sheetView workbookViewId="0">
      <selection activeCell="I5" sqref="I5"/>
    </sheetView>
  </sheetViews>
  <sheetFormatPr defaultRowHeight="14.4" x14ac:dyDescent="0.3"/>
  <cols>
    <col min="1" max="1" width="2.77734375" customWidth="1"/>
    <col min="2" max="2" width="22.77734375" customWidth="1"/>
    <col min="3" max="3" width="18.77734375" customWidth="1"/>
    <col min="4" max="4" width="20.109375" customWidth="1"/>
    <col min="5" max="5" width="16" customWidth="1"/>
    <col min="6" max="6" width="10.5546875" style="8" customWidth="1"/>
    <col min="7" max="7" width="28.6640625" style="8" customWidth="1"/>
    <col min="8" max="8" width="13.109375" customWidth="1"/>
    <col min="9" max="9" width="21.6640625" customWidth="1"/>
    <col min="10" max="10" width="14.44140625" customWidth="1"/>
    <col min="11" max="11" width="24" customWidth="1"/>
    <col min="12" max="12" width="23.109375" customWidth="1"/>
    <col min="13" max="13" width="31.6640625" customWidth="1"/>
    <col min="14" max="14" width="69" customWidth="1"/>
  </cols>
  <sheetData>
    <row r="1" spans="1:15" x14ac:dyDescent="0.3">
      <c r="A1" s="317"/>
      <c r="B1" s="317" t="s">
        <v>308</v>
      </c>
      <c r="C1" s="317" t="s">
        <v>309</v>
      </c>
      <c r="D1" s="317" t="s">
        <v>299</v>
      </c>
      <c r="E1" s="317" t="s">
        <v>300</v>
      </c>
      <c r="F1" s="326" t="s">
        <v>301</v>
      </c>
      <c r="G1" s="326" t="s">
        <v>6</v>
      </c>
      <c r="H1" s="318" t="s">
        <v>335</v>
      </c>
      <c r="I1" s="318" t="s">
        <v>302</v>
      </c>
      <c r="J1" s="318" t="s">
        <v>303</v>
      </c>
      <c r="K1" s="318" t="s">
        <v>304</v>
      </c>
      <c r="L1" s="318" t="s">
        <v>305</v>
      </c>
      <c r="M1" s="318" t="s">
        <v>306</v>
      </c>
      <c r="N1" s="318" t="s">
        <v>307</v>
      </c>
    </row>
    <row r="2" spans="1:15" x14ac:dyDescent="0.3">
      <c r="B2" t="s">
        <v>71</v>
      </c>
      <c r="C2" t="s">
        <v>47</v>
      </c>
      <c r="D2" s="75" t="s">
        <v>296</v>
      </c>
      <c r="E2" t="s">
        <v>59</v>
      </c>
      <c r="F2" s="271">
        <f>Summary!W5</f>
        <v>8360</v>
      </c>
      <c r="G2" s="8" t="s">
        <v>339</v>
      </c>
      <c r="H2" t="s">
        <v>336</v>
      </c>
      <c r="I2" t="s">
        <v>311</v>
      </c>
      <c r="J2" t="s">
        <v>312</v>
      </c>
      <c r="K2" t="s">
        <v>313</v>
      </c>
      <c r="L2" t="s">
        <v>314</v>
      </c>
      <c r="M2" s="319" t="s">
        <v>322</v>
      </c>
      <c r="N2" t="s">
        <v>317</v>
      </c>
    </row>
    <row r="3" spans="1:15" x14ac:dyDescent="0.3">
      <c r="B3" t="s">
        <v>71</v>
      </c>
      <c r="C3" t="s">
        <v>47</v>
      </c>
      <c r="D3" t="s">
        <v>297</v>
      </c>
      <c r="E3" t="s">
        <v>59</v>
      </c>
      <c r="F3" s="271">
        <f>Summary!W6</f>
        <v>0</v>
      </c>
      <c r="G3" s="8" t="s">
        <v>339</v>
      </c>
      <c r="I3" t="s">
        <v>319</v>
      </c>
      <c r="J3" t="s">
        <v>330</v>
      </c>
      <c r="K3" t="s">
        <v>313</v>
      </c>
      <c r="L3" t="s">
        <v>315</v>
      </c>
      <c r="M3" s="319" t="s">
        <v>316</v>
      </c>
      <c r="N3" t="s">
        <v>318</v>
      </c>
    </row>
    <row r="4" spans="1:15" x14ac:dyDescent="0.3">
      <c r="B4" t="s">
        <v>71</v>
      </c>
      <c r="C4" t="s">
        <v>47</v>
      </c>
      <c r="D4" t="s">
        <v>124</v>
      </c>
      <c r="E4" t="s">
        <v>323</v>
      </c>
      <c r="F4" s="271">
        <f>Summary!X5</f>
        <v>500000</v>
      </c>
      <c r="G4" s="8" t="s">
        <v>339</v>
      </c>
      <c r="I4" t="s">
        <v>321</v>
      </c>
      <c r="J4" t="s">
        <v>329</v>
      </c>
      <c r="K4" t="s">
        <v>313</v>
      </c>
      <c r="L4" t="s">
        <v>315</v>
      </c>
      <c r="M4" s="319" t="s">
        <v>316</v>
      </c>
      <c r="N4" t="s">
        <v>375</v>
      </c>
      <c r="O4" t="s">
        <v>374</v>
      </c>
    </row>
    <row r="5" spans="1:15" x14ac:dyDescent="0.3">
      <c r="B5" t="s">
        <v>71</v>
      </c>
      <c r="C5" t="s">
        <v>47</v>
      </c>
      <c r="D5" s="75" t="s">
        <v>296</v>
      </c>
      <c r="E5" t="s">
        <v>294</v>
      </c>
      <c r="F5" s="271">
        <f>Summary!Y5</f>
        <v>4200</v>
      </c>
      <c r="G5" s="8" t="s">
        <v>339</v>
      </c>
      <c r="H5" t="s">
        <v>336</v>
      </c>
      <c r="I5" t="s">
        <v>325</v>
      </c>
      <c r="J5" t="s">
        <v>313</v>
      </c>
      <c r="K5" t="s">
        <v>326</v>
      </c>
      <c r="L5" t="s">
        <v>315</v>
      </c>
      <c r="M5" s="319" t="s">
        <v>316</v>
      </c>
      <c r="N5" t="s">
        <v>324</v>
      </c>
    </row>
    <row r="6" spans="1:15" x14ac:dyDescent="0.3">
      <c r="B6" t="s">
        <v>71</v>
      </c>
      <c r="C6" t="s">
        <v>47</v>
      </c>
      <c r="D6" t="s">
        <v>297</v>
      </c>
      <c r="E6" t="s">
        <v>294</v>
      </c>
      <c r="F6" s="271" t="str">
        <f>Summary!Y6</f>
        <v>--</v>
      </c>
      <c r="G6" s="8" t="s">
        <v>339</v>
      </c>
      <c r="N6" t="s">
        <v>331</v>
      </c>
    </row>
    <row r="7" spans="1:15" x14ac:dyDescent="0.3">
      <c r="B7" t="s">
        <v>71</v>
      </c>
      <c r="C7" t="s">
        <v>47</v>
      </c>
      <c r="D7" s="75" t="s">
        <v>296</v>
      </c>
      <c r="E7" t="s">
        <v>295</v>
      </c>
      <c r="F7" s="271">
        <f>Summary!Z5</f>
        <v>9280</v>
      </c>
      <c r="G7" s="8" t="s">
        <v>339</v>
      </c>
      <c r="H7" t="s">
        <v>336</v>
      </c>
      <c r="I7" t="s">
        <v>327</v>
      </c>
      <c r="J7" t="s">
        <v>313</v>
      </c>
      <c r="K7" s="251" t="s">
        <v>328</v>
      </c>
    </row>
    <row r="8" spans="1:15" x14ac:dyDescent="0.3">
      <c r="B8" t="s">
        <v>71</v>
      </c>
      <c r="C8" t="s">
        <v>47</v>
      </c>
      <c r="D8" t="s">
        <v>297</v>
      </c>
      <c r="E8" t="s">
        <v>295</v>
      </c>
      <c r="F8" s="271">
        <f>Summary!Z6</f>
        <v>1500</v>
      </c>
      <c r="G8" s="8" t="s">
        <v>339</v>
      </c>
      <c r="N8" t="s">
        <v>331</v>
      </c>
    </row>
    <row r="9" spans="1:15" x14ac:dyDescent="0.3">
      <c r="B9" t="s">
        <v>71</v>
      </c>
      <c r="C9" t="s">
        <v>47</v>
      </c>
      <c r="D9" s="75" t="s">
        <v>296</v>
      </c>
      <c r="E9" t="s">
        <v>292</v>
      </c>
      <c r="F9" s="271">
        <f>Summary!AA5</f>
        <v>14360</v>
      </c>
      <c r="G9" s="8" t="s">
        <v>339</v>
      </c>
      <c r="H9" t="s">
        <v>336</v>
      </c>
      <c r="I9" t="s">
        <v>334</v>
      </c>
      <c r="J9" t="s">
        <v>313</v>
      </c>
      <c r="K9" t="s">
        <v>338</v>
      </c>
      <c r="L9" t="s">
        <v>315</v>
      </c>
      <c r="M9" s="319" t="s">
        <v>316</v>
      </c>
      <c r="N9" t="s">
        <v>333</v>
      </c>
    </row>
    <row r="10" spans="1:15" x14ac:dyDescent="0.3">
      <c r="B10" t="s">
        <v>71</v>
      </c>
      <c r="C10" t="s">
        <v>47</v>
      </c>
      <c r="D10" t="s">
        <v>297</v>
      </c>
      <c r="E10" t="s">
        <v>292</v>
      </c>
      <c r="F10" s="271">
        <f>Summary!AA6</f>
        <v>9000</v>
      </c>
      <c r="G10" s="8" t="s">
        <v>339</v>
      </c>
    </row>
  </sheetData>
  <hyperlinks>
    <hyperlink ref="M3" r:id="rId1" display="http://www.westcoast.fisheries.noaa.gov/publications/recovery_planning/salmon_steelhead/domains/interior_columbia/snake/Final Snake Recovery Plan Docs/final_snake_river_fall_chinook_salmon_recovery_plan.pdf" xr:uid="{C50FDBDF-A852-4374-8F39-2723DBA8AE6B}"/>
    <hyperlink ref="M4" r:id="rId2" display="http://www.westcoast.fisheries.noaa.gov/publications/recovery_planning/salmon_steelhead/domains/interior_columbia/snake/Final Snake Recovery Plan Docs/final_snake_river_fall_chinook_salmon_recovery_plan.pdf" xr:uid="{E83BD70C-1873-433E-AADC-2CC0060676A4}"/>
    <hyperlink ref="M2" r:id="rId3" xr:uid="{E15A3B97-7CE2-44A0-8CCD-71E23B35BC4B}"/>
    <hyperlink ref="M5" r:id="rId4" display="http://www.westcoast.fisheries.noaa.gov/publications/recovery_planning/salmon_steelhead/domains/interior_columbia/snake/Final Snake Recovery Plan Docs/final_snake_river_fall_chinook_salmon_recovery_plan.pdf" xr:uid="{96362B6A-EDCD-4C28-AAC1-34D2B5183486}"/>
    <hyperlink ref="M9" r:id="rId5" display="http://www.westcoast.fisheries.noaa.gov/publications/recovery_planning/salmon_steelhead/domains/interior_columbia/snake/Final Snake Recovery Plan Docs/final_snake_river_fall_chinook_salmon_recovery_plan.pdf" xr:uid="{9F95EA61-D2A1-4EAB-932F-88D500076322}"/>
  </hyperlinks>
  <pageMargins left="0.7" right="0.7" top="0.75" bottom="0.75" header="0.3" footer="0.3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T66"/>
  <sheetViews>
    <sheetView workbookViewId="0">
      <pane xSplit="2" ySplit="5" topLeftCell="W34" activePane="bottomRight" state="frozen"/>
      <selection pane="topRight" activeCell="C1" sqref="C1"/>
      <selection pane="bottomLeft" activeCell="A5" sqref="A5"/>
      <selection pane="bottomRight" activeCell="W48" sqref="W48"/>
    </sheetView>
  </sheetViews>
  <sheetFormatPr defaultColWidth="9.109375" defaultRowHeight="14.4" x14ac:dyDescent="0.3"/>
  <cols>
    <col min="1" max="1" width="3.88671875" customWidth="1"/>
    <col min="5" max="5" width="10.5546875" customWidth="1"/>
    <col min="8" max="8" width="10.6640625" customWidth="1"/>
    <col min="9" max="9" width="11.33203125" customWidth="1"/>
    <col min="10" max="10" width="1.77734375" customWidth="1"/>
    <col min="11" max="15" width="11.33203125" customWidth="1"/>
    <col min="16" max="16" width="1.77734375" customWidth="1"/>
    <col min="17" max="17" width="10.109375" customWidth="1"/>
    <col min="18" max="18" width="9.6640625" customWidth="1"/>
    <col min="19" max="19" width="12.109375" customWidth="1"/>
    <col min="20" max="20" width="1.109375" customWidth="1"/>
    <col min="27" max="27" width="8.77734375" customWidth="1"/>
    <col min="28" max="28" width="8" customWidth="1"/>
    <col min="29" max="29" width="7.44140625" customWidth="1"/>
    <col min="30" max="30" width="1.88671875" customWidth="1"/>
    <col min="31" max="32" width="7.44140625" customWidth="1"/>
    <col min="33" max="33" width="9" customWidth="1"/>
    <col min="34" max="34" width="2" customWidth="1"/>
    <col min="35" max="36" width="9.77734375" customWidth="1"/>
    <col min="37" max="37" width="1.21875" customWidth="1"/>
    <col min="40" max="40" width="3.44140625" customWidth="1"/>
    <col min="46" max="46" width="2.88671875" customWidth="1"/>
    <col min="53" max="53" width="9.109375" style="8"/>
    <col min="61" max="61" width="2.5546875" customWidth="1"/>
    <col min="66" max="66" width="2.109375" customWidth="1"/>
  </cols>
  <sheetData>
    <row r="1" spans="2:72" x14ac:dyDescent="0.3">
      <c r="B1" s="370" t="s">
        <v>109</v>
      </c>
      <c r="C1" s="370"/>
      <c r="D1" s="349"/>
      <c r="E1" s="349"/>
      <c r="F1" s="349"/>
      <c r="G1" s="349"/>
      <c r="H1" s="349"/>
      <c r="I1" s="349"/>
      <c r="J1" s="349"/>
      <c r="K1" s="369" t="s">
        <v>395</v>
      </c>
      <c r="L1" s="349"/>
      <c r="M1" s="349"/>
      <c r="N1" s="349"/>
      <c r="O1" s="349"/>
      <c r="P1" s="349"/>
      <c r="Q1" s="349"/>
      <c r="R1" s="349"/>
      <c r="S1" s="349"/>
      <c r="T1" s="349"/>
      <c r="U1" s="361"/>
      <c r="V1" s="361"/>
      <c r="W1" s="361"/>
      <c r="X1" s="361"/>
      <c r="Y1" s="361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O1" s="357" t="s">
        <v>258</v>
      </c>
      <c r="AR1" s="11"/>
      <c r="AS1" s="11"/>
      <c r="AV1" t="s">
        <v>272</v>
      </c>
    </row>
    <row r="2" spans="2:72" ht="15.6" x14ac:dyDescent="0.3">
      <c r="B2" s="360"/>
      <c r="C2" s="360" t="s">
        <v>125</v>
      </c>
      <c r="D2" s="366" t="s">
        <v>126</v>
      </c>
      <c r="E2" s="366" t="s">
        <v>126</v>
      </c>
      <c r="F2" s="366" t="s">
        <v>126</v>
      </c>
      <c r="G2" s="366" t="s">
        <v>126</v>
      </c>
      <c r="H2" s="366" t="s">
        <v>126</v>
      </c>
      <c r="I2" s="366" t="s">
        <v>126</v>
      </c>
      <c r="J2" s="363"/>
      <c r="K2" s="363" t="s">
        <v>366</v>
      </c>
      <c r="L2" s="363" t="s">
        <v>366</v>
      </c>
      <c r="M2" s="363" t="s">
        <v>366</v>
      </c>
      <c r="N2" s="363" t="s">
        <v>366</v>
      </c>
      <c r="O2" s="363" t="s">
        <v>366</v>
      </c>
      <c r="P2" s="363"/>
      <c r="Q2" s="363" t="s">
        <v>125</v>
      </c>
      <c r="R2" s="363"/>
      <c r="S2" s="363"/>
      <c r="T2" s="363"/>
      <c r="U2" s="361"/>
      <c r="V2" s="361"/>
      <c r="W2" s="361"/>
      <c r="X2" s="361"/>
      <c r="Y2" s="361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O2" s="321"/>
      <c r="AR2" s="11"/>
      <c r="AS2" s="11"/>
    </row>
    <row r="3" spans="2:72" ht="26.4" x14ac:dyDescent="0.3">
      <c r="B3" s="120"/>
      <c r="C3" s="105" t="s">
        <v>110</v>
      </c>
      <c r="D3" s="105" t="s">
        <v>110</v>
      </c>
      <c r="E3" s="367" t="s">
        <v>67</v>
      </c>
      <c r="F3" s="105" t="s">
        <v>111</v>
      </c>
      <c r="G3" s="105" t="s">
        <v>68</v>
      </c>
      <c r="H3" s="105" t="s">
        <v>67</v>
      </c>
      <c r="I3" s="105" t="s">
        <v>112</v>
      </c>
      <c r="J3" s="105"/>
      <c r="K3" s="105" t="s">
        <v>110</v>
      </c>
      <c r="L3" s="367" t="s">
        <v>67</v>
      </c>
      <c r="M3" s="105" t="s">
        <v>111</v>
      </c>
      <c r="N3" s="105" t="s">
        <v>68</v>
      </c>
      <c r="O3" s="105" t="s">
        <v>67</v>
      </c>
      <c r="P3" s="105"/>
      <c r="Q3" s="367" t="s">
        <v>67</v>
      </c>
      <c r="R3" s="105" t="s">
        <v>68</v>
      </c>
      <c r="S3" s="105" t="s">
        <v>67</v>
      </c>
      <c r="T3" s="105"/>
      <c r="U3" s="241" t="s">
        <v>137</v>
      </c>
      <c r="V3" s="241" t="s">
        <v>68</v>
      </c>
      <c r="W3" s="241" t="s">
        <v>125</v>
      </c>
      <c r="X3" s="241" t="s">
        <v>177</v>
      </c>
      <c r="Y3" s="241" t="s">
        <v>195</v>
      </c>
      <c r="Z3" s="242" t="s">
        <v>129</v>
      </c>
      <c r="AA3" s="235" t="s">
        <v>192</v>
      </c>
      <c r="AB3" s="236"/>
      <c r="AC3" s="236"/>
      <c r="AD3" s="105"/>
      <c r="AE3" s="241" t="s">
        <v>68</v>
      </c>
      <c r="AF3" s="241" t="s">
        <v>177</v>
      </c>
      <c r="AG3" s="241" t="s">
        <v>390</v>
      </c>
      <c r="AH3" s="105"/>
      <c r="AI3" s="105" t="s">
        <v>397</v>
      </c>
      <c r="AJ3" s="105" t="s">
        <v>397</v>
      </c>
      <c r="AK3" s="105"/>
      <c r="AL3" s="105" t="s">
        <v>236</v>
      </c>
      <c r="AM3" s="275" t="s">
        <v>235</v>
      </c>
      <c r="AO3" s="362" t="s">
        <v>256</v>
      </c>
      <c r="AP3" s="8"/>
      <c r="AQ3" s="8"/>
      <c r="AR3" s="8"/>
      <c r="AS3" s="8"/>
      <c r="AU3" s="362" t="s">
        <v>271</v>
      </c>
      <c r="AV3" s="355"/>
      <c r="AW3" s="355"/>
      <c r="AX3" s="355"/>
      <c r="AY3" s="355"/>
      <c r="BC3" s="362" t="s">
        <v>264</v>
      </c>
      <c r="BD3" s="362"/>
      <c r="BE3" s="362"/>
      <c r="BF3" s="362"/>
      <c r="BG3" s="362"/>
      <c r="BJ3" s="362" t="s">
        <v>257</v>
      </c>
      <c r="BK3" s="362"/>
      <c r="BL3" s="362"/>
      <c r="BM3" s="362"/>
      <c r="BN3" s="362"/>
      <c r="BO3" s="362" t="s">
        <v>263</v>
      </c>
      <c r="BP3" s="357"/>
      <c r="BQ3" s="357"/>
      <c r="BR3" s="357"/>
      <c r="BS3" s="357"/>
      <c r="BT3" s="357"/>
    </row>
    <row r="4" spans="2:72" ht="15" customHeight="1" x14ac:dyDescent="0.3">
      <c r="B4" s="121" t="s">
        <v>29</v>
      </c>
      <c r="C4" s="105" t="s">
        <v>113</v>
      </c>
      <c r="D4" s="105" t="s">
        <v>113</v>
      </c>
      <c r="E4" s="105" t="s">
        <v>114</v>
      </c>
      <c r="F4" s="105" t="s">
        <v>115</v>
      </c>
      <c r="G4" s="105" t="s">
        <v>116</v>
      </c>
      <c r="H4" s="367" t="s">
        <v>117</v>
      </c>
      <c r="I4" s="105" t="s">
        <v>118</v>
      </c>
      <c r="J4" s="105"/>
      <c r="K4" s="105" t="s">
        <v>113</v>
      </c>
      <c r="L4" s="105" t="s">
        <v>114</v>
      </c>
      <c r="M4" s="105" t="s">
        <v>115</v>
      </c>
      <c r="N4" s="105" t="s">
        <v>116</v>
      </c>
      <c r="O4" s="367" t="s">
        <v>117</v>
      </c>
      <c r="P4" s="105"/>
      <c r="Q4" s="105" t="s">
        <v>114</v>
      </c>
      <c r="R4" s="105" t="s">
        <v>116</v>
      </c>
      <c r="S4" s="367" t="s">
        <v>117</v>
      </c>
      <c r="T4" s="105"/>
      <c r="U4" s="241" t="s">
        <v>132</v>
      </c>
      <c r="V4" s="241" t="s">
        <v>132</v>
      </c>
      <c r="W4" s="241" t="s">
        <v>132</v>
      </c>
      <c r="X4" s="241" t="s">
        <v>132</v>
      </c>
      <c r="Y4" s="241" t="s">
        <v>196</v>
      </c>
      <c r="Z4" s="242" t="s">
        <v>130</v>
      </c>
      <c r="AA4" s="237" t="s">
        <v>193</v>
      </c>
      <c r="AB4" s="236"/>
      <c r="AC4" s="236"/>
      <c r="AD4" s="105"/>
      <c r="AE4" s="242" t="s">
        <v>132</v>
      </c>
      <c r="AF4" s="242" t="s">
        <v>132</v>
      </c>
      <c r="AG4" s="242" t="s">
        <v>132</v>
      </c>
      <c r="AH4" s="105"/>
      <c r="AI4" s="105" t="s">
        <v>373</v>
      </c>
      <c r="AJ4" s="105" t="s">
        <v>398</v>
      </c>
      <c r="AK4" s="105"/>
      <c r="AL4" s="105" t="s">
        <v>128</v>
      </c>
      <c r="AM4" s="275" t="s">
        <v>128</v>
      </c>
      <c r="AO4" t="s">
        <v>392</v>
      </c>
      <c r="AQ4" t="s">
        <v>393</v>
      </c>
      <c r="AU4" t="s">
        <v>392</v>
      </c>
      <c r="AW4" t="s">
        <v>393</v>
      </c>
      <c r="AX4" s="355"/>
      <c r="AY4" s="355"/>
      <c r="BH4" s="340" t="s">
        <v>372</v>
      </c>
      <c r="BI4" s="340"/>
    </row>
    <row r="5" spans="2:72" ht="25.8" customHeight="1" x14ac:dyDescent="0.3">
      <c r="B5" s="120"/>
      <c r="C5" s="105" t="s">
        <v>25</v>
      </c>
      <c r="D5" s="105" t="s">
        <v>25</v>
      </c>
      <c r="E5" s="105" t="s">
        <v>50</v>
      </c>
      <c r="F5" s="105" t="s">
        <v>119</v>
      </c>
      <c r="G5" s="105" t="s">
        <v>50</v>
      </c>
      <c r="H5" s="105" t="s">
        <v>50</v>
      </c>
      <c r="I5" s="368" t="s">
        <v>394</v>
      </c>
      <c r="J5" s="109"/>
      <c r="K5" s="105" t="s">
        <v>25</v>
      </c>
      <c r="L5" s="105" t="s">
        <v>50</v>
      </c>
      <c r="M5" s="105" t="s">
        <v>119</v>
      </c>
      <c r="N5" s="105" t="s">
        <v>50</v>
      </c>
      <c r="O5" s="105" t="s">
        <v>50</v>
      </c>
      <c r="P5" s="109"/>
      <c r="Q5" s="105" t="s">
        <v>50</v>
      </c>
      <c r="R5" s="105" t="s">
        <v>50</v>
      </c>
      <c r="S5" s="105" t="s">
        <v>50</v>
      </c>
      <c r="T5" s="109"/>
      <c r="U5" s="243" t="s">
        <v>133</v>
      </c>
      <c r="V5" s="243" t="s">
        <v>133</v>
      </c>
      <c r="W5" s="243" t="s">
        <v>133</v>
      </c>
      <c r="X5" s="243" t="s">
        <v>133</v>
      </c>
      <c r="Y5" s="241" t="s">
        <v>197</v>
      </c>
      <c r="Z5" s="244" t="s">
        <v>131</v>
      </c>
      <c r="AA5" s="238" t="s">
        <v>194</v>
      </c>
      <c r="AB5" s="238" t="s">
        <v>68</v>
      </c>
      <c r="AC5" s="238" t="s">
        <v>22</v>
      </c>
      <c r="AD5" s="109"/>
      <c r="AE5" s="244" t="s">
        <v>391</v>
      </c>
      <c r="AF5" s="244" t="s">
        <v>391</v>
      </c>
      <c r="AG5" s="244" t="s">
        <v>391</v>
      </c>
      <c r="AH5" s="109"/>
      <c r="AI5" s="109"/>
      <c r="AJ5" s="109"/>
      <c r="AK5" s="109"/>
      <c r="AL5" s="109" t="s">
        <v>127</v>
      </c>
      <c r="AM5" s="275"/>
      <c r="AO5" s="273" t="s">
        <v>373</v>
      </c>
      <c r="AP5" s="273" t="s">
        <v>241</v>
      </c>
      <c r="AQ5" s="273" t="s">
        <v>373</v>
      </c>
      <c r="AR5" s="273" t="s">
        <v>242</v>
      </c>
      <c r="AS5" s="355" t="s">
        <v>396</v>
      </c>
      <c r="AT5" s="273"/>
      <c r="AU5" s="273" t="s">
        <v>373</v>
      </c>
      <c r="AV5" s="273" t="s">
        <v>241</v>
      </c>
      <c r="AW5" s="273" t="s">
        <v>373</v>
      </c>
      <c r="AX5" s="273" t="s">
        <v>242</v>
      </c>
      <c r="AY5" s="273" t="s">
        <v>22</v>
      </c>
      <c r="AZ5" s="273" t="s">
        <v>243</v>
      </c>
      <c r="BA5" s="355" t="s">
        <v>244</v>
      </c>
      <c r="BB5" s="273" t="s">
        <v>245</v>
      </c>
      <c r="BC5" s="273" t="s">
        <v>268</v>
      </c>
      <c r="BD5" s="273" t="s">
        <v>269</v>
      </c>
      <c r="BE5" s="273" t="s">
        <v>265</v>
      </c>
      <c r="BF5" s="273" t="s">
        <v>266</v>
      </c>
      <c r="BG5" s="273" t="s">
        <v>267</v>
      </c>
      <c r="BH5" s="341" t="s">
        <v>373</v>
      </c>
      <c r="BI5" s="341"/>
      <c r="BJ5" s="273" t="s">
        <v>246</v>
      </c>
      <c r="BK5" s="273" t="s">
        <v>247</v>
      </c>
      <c r="BL5" s="273" t="s">
        <v>248</v>
      </c>
      <c r="BM5" s="273" t="s">
        <v>249</v>
      </c>
      <c r="BN5" s="273"/>
      <c r="BO5" s="273" t="s">
        <v>250</v>
      </c>
      <c r="BP5" s="273" t="s">
        <v>251</v>
      </c>
      <c r="BQ5" s="273" t="s">
        <v>252</v>
      </c>
      <c r="BR5" s="273" t="s">
        <v>253</v>
      </c>
      <c r="BS5" s="273" t="s">
        <v>254</v>
      </c>
      <c r="BT5" s="273" t="s">
        <v>255</v>
      </c>
    </row>
    <row r="6" spans="2:72" ht="15" customHeight="1" x14ac:dyDescent="0.3">
      <c r="B6" s="122">
        <f t="shared" ref="B6:B9" si="0">B7-1</f>
        <v>1975</v>
      </c>
      <c r="C6" s="122"/>
      <c r="D6" s="105"/>
      <c r="E6" s="105"/>
      <c r="F6" s="105"/>
      <c r="G6" s="105"/>
      <c r="H6" s="105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243"/>
      <c r="V6" s="243"/>
      <c r="W6" s="243"/>
      <c r="X6" s="243"/>
      <c r="Y6" s="243"/>
      <c r="Z6" s="244"/>
      <c r="AA6" s="238"/>
      <c r="AB6" s="238"/>
      <c r="AC6" s="238"/>
      <c r="AD6" s="109"/>
      <c r="AE6" s="244"/>
      <c r="AF6" s="244"/>
      <c r="AG6" s="244"/>
      <c r="AH6" s="109"/>
      <c r="AI6" s="109"/>
      <c r="AJ6" s="109"/>
      <c r="AK6" s="109"/>
      <c r="AL6" s="109">
        <v>2226</v>
      </c>
      <c r="AM6" s="276">
        <v>2245</v>
      </c>
    </row>
    <row r="7" spans="2:72" ht="15" customHeight="1" x14ac:dyDescent="0.3">
      <c r="B7" s="122">
        <f t="shared" si="0"/>
        <v>1976</v>
      </c>
      <c r="C7" s="122"/>
      <c r="D7" s="105"/>
      <c r="E7" s="105"/>
      <c r="F7" s="105"/>
      <c r="G7" s="105"/>
      <c r="H7" s="105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243"/>
      <c r="V7" s="243"/>
      <c r="W7" s="243"/>
      <c r="X7" s="243"/>
      <c r="Y7" s="243"/>
      <c r="Z7" s="244"/>
      <c r="AA7" s="238"/>
      <c r="AB7" s="238"/>
      <c r="AC7" s="238"/>
      <c r="AD7" s="109"/>
      <c r="AE7" s="244"/>
      <c r="AF7" s="244"/>
      <c r="AG7" s="244"/>
      <c r="AH7" s="109"/>
      <c r="AI7" s="109"/>
      <c r="AJ7" s="109"/>
      <c r="AK7" s="109"/>
      <c r="AL7" s="109">
        <v>1298</v>
      </c>
      <c r="AM7" s="276">
        <v>1298</v>
      </c>
    </row>
    <row r="8" spans="2:72" ht="15" customHeight="1" x14ac:dyDescent="0.3">
      <c r="B8" s="122">
        <f t="shared" si="0"/>
        <v>1977</v>
      </c>
      <c r="C8" s="122"/>
      <c r="D8" s="105"/>
      <c r="E8" s="105"/>
      <c r="F8" s="105"/>
      <c r="G8" s="105"/>
      <c r="H8" s="105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243"/>
      <c r="V8" s="243"/>
      <c r="W8" s="243"/>
      <c r="X8" s="243"/>
      <c r="Y8" s="243"/>
      <c r="Z8" s="244"/>
      <c r="AA8" s="238"/>
      <c r="AB8" s="238"/>
      <c r="AC8" s="238"/>
      <c r="AD8" s="109"/>
      <c r="AE8" s="244"/>
      <c r="AF8" s="244"/>
      <c r="AG8" s="244"/>
      <c r="AH8" s="109"/>
      <c r="AI8" s="109"/>
      <c r="AJ8" s="109"/>
      <c r="AK8" s="109"/>
      <c r="AL8" s="109">
        <v>1924</v>
      </c>
      <c r="AM8" s="276">
        <v>1924</v>
      </c>
    </row>
    <row r="9" spans="2:72" ht="15" customHeight="1" x14ac:dyDescent="0.3">
      <c r="B9" s="122">
        <f t="shared" si="0"/>
        <v>1978</v>
      </c>
      <c r="C9" s="122"/>
      <c r="D9" s="105"/>
      <c r="E9" s="105"/>
      <c r="F9" s="105"/>
      <c r="G9" s="105"/>
      <c r="H9" s="105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243"/>
      <c r="V9" s="243"/>
      <c r="W9" s="243"/>
      <c r="X9" s="243"/>
      <c r="Y9" s="243"/>
      <c r="Z9" s="244"/>
      <c r="AA9" s="238"/>
      <c r="AB9" s="238"/>
      <c r="AC9" s="238"/>
      <c r="AD9" s="109"/>
      <c r="AE9" s="244"/>
      <c r="AF9" s="244"/>
      <c r="AG9" s="244"/>
      <c r="AH9" s="109"/>
      <c r="AI9" s="109"/>
      <c r="AJ9" s="109"/>
      <c r="AK9" s="109"/>
      <c r="AL9" s="109">
        <v>1460</v>
      </c>
      <c r="AM9" s="276">
        <v>1485</v>
      </c>
    </row>
    <row r="10" spans="2:72" ht="15" customHeight="1" x14ac:dyDescent="0.3">
      <c r="B10" s="122">
        <f t="shared" ref="B10:B15" si="1">B11-1</f>
        <v>1979</v>
      </c>
      <c r="C10" s="122"/>
      <c r="D10" s="105"/>
      <c r="E10" s="105"/>
      <c r="F10" s="105"/>
      <c r="G10" s="105"/>
      <c r="H10" s="105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243"/>
      <c r="V10" s="243"/>
      <c r="W10" s="243"/>
      <c r="X10" s="243"/>
      <c r="Y10" s="243"/>
      <c r="Z10" s="244"/>
      <c r="AA10" s="238"/>
      <c r="AB10" s="238"/>
      <c r="AC10" s="238"/>
      <c r="AD10" s="109"/>
      <c r="AE10" s="244"/>
      <c r="AF10" s="244"/>
      <c r="AG10" s="244"/>
      <c r="AH10" s="109"/>
      <c r="AI10" s="109"/>
      <c r="AJ10" s="109"/>
      <c r="AK10" s="109"/>
      <c r="AL10" s="109">
        <v>1433</v>
      </c>
      <c r="AM10" s="276">
        <v>1437</v>
      </c>
    </row>
    <row r="11" spans="2:72" ht="15" customHeight="1" x14ac:dyDescent="0.3">
      <c r="B11" s="122">
        <f t="shared" si="1"/>
        <v>1980</v>
      </c>
      <c r="C11" s="122"/>
      <c r="D11" s="105"/>
      <c r="E11" s="105"/>
      <c r="F11" s="105"/>
      <c r="G11" s="105"/>
      <c r="H11" s="105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243"/>
      <c r="V11" s="243"/>
      <c r="W11" s="243"/>
      <c r="X11" s="243"/>
      <c r="Y11" s="243"/>
      <c r="Z11" s="244"/>
      <c r="AA11" s="238"/>
      <c r="AB11" s="238"/>
      <c r="AC11" s="238"/>
      <c r="AD11" s="109"/>
      <c r="AE11" s="244"/>
      <c r="AF11" s="244"/>
      <c r="AG11" s="244"/>
      <c r="AH11" s="109"/>
      <c r="AI11" s="109"/>
      <c r="AJ11" s="109"/>
      <c r="AK11" s="109"/>
      <c r="AL11" s="109">
        <v>783</v>
      </c>
      <c r="AM11" s="276">
        <v>783</v>
      </c>
    </row>
    <row r="12" spans="2:72" ht="15" customHeight="1" x14ac:dyDescent="0.3">
      <c r="B12" s="122">
        <f t="shared" si="1"/>
        <v>1981</v>
      </c>
      <c r="C12" s="122"/>
      <c r="D12" s="105"/>
      <c r="E12" s="105"/>
      <c r="F12" s="105"/>
      <c r="G12" s="105"/>
      <c r="H12" s="105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243"/>
      <c r="V12" s="243"/>
      <c r="W12" s="243"/>
      <c r="X12" s="243"/>
      <c r="Y12" s="243"/>
      <c r="Z12" s="244"/>
      <c r="AA12" s="238"/>
      <c r="AB12" s="238"/>
      <c r="AC12" s="238"/>
      <c r="AD12" s="109"/>
      <c r="AE12" s="244"/>
      <c r="AF12" s="244"/>
      <c r="AG12" s="244"/>
      <c r="AH12" s="109"/>
      <c r="AI12" s="109"/>
      <c r="AJ12" s="109"/>
      <c r="AK12" s="109"/>
      <c r="AL12" s="109">
        <v>1751</v>
      </c>
      <c r="AM12" s="276">
        <v>1751</v>
      </c>
    </row>
    <row r="13" spans="2:72" ht="15" customHeight="1" x14ac:dyDescent="0.3">
      <c r="B13" s="122">
        <f t="shared" si="1"/>
        <v>1982</v>
      </c>
      <c r="C13" s="122"/>
      <c r="D13" s="105"/>
      <c r="E13" s="105"/>
      <c r="F13" s="105"/>
      <c r="G13" s="105"/>
      <c r="H13" s="105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243"/>
      <c r="V13" s="243"/>
      <c r="W13" s="243"/>
      <c r="X13" s="243"/>
      <c r="Y13" s="243"/>
      <c r="Z13" s="244"/>
      <c r="AA13" s="238"/>
      <c r="AB13" s="238"/>
      <c r="AC13" s="238"/>
      <c r="AD13" s="109"/>
      <c r="AE13" s="244"/>
      <c r="AF13" s="244"/>
      <c r="AG13" s="244"/>
      <c r="AH13" s="109"/>
      <c r="AI13" s="109"/>
      <c r="AJ13" s="109"/>
      <c r="AK13" s="109"/>
      <c r="AL13" s="109">
        <v>2198</v>
      </c>
      <c r="AM13" s="276">
        <v>2202</v>
      </c>
    </row>
    <row r="14" spans="2:72" ht="15" customHeight="1" x14ac:dyDescent="0.3">
      <c r="B14" s="122">
        <f t="shared" si="1"/>
        <v>1983</v>
      </c>
      <c r="C14" s="122"/>
      <c r="D14" s="105"/>
      <c r="E14" s="105"/>
      <c r="F14" s="105"/>
      <c r="G14" s="105"/>
      <c r="H14" s="105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243"/>
      <c r="V14" s="243"/>
      <c r="W14" s="243"/>
      <c r="X14" s="243"/>
      <c r="Y14" s="243"/>
      <c r="Z14" s="244"/>
      <c r="AA14" s="238"/>
      <c r="AB14" s="238"/>
      <c r="AC14" s="238"/>
      <c r="AD14" s="109"/>
      <c r="AE14" s="244"/>
      <c r="AF14" s="244"/>
      <c r="AG14" s="244"/>
      <c r="AH14" s="109"/>
      <c r="AI14" s="109"/>
      <c r="AJ14" s="109"/>
      <c r="AK14" s="109"/>
      <c r="AL14" s="109">
        <v>1511</v>
      </c>
      <c r="AM14" s="276">
        <v>1512</v>
      </c>
    </row>
    <row r="15" spans="2:72" ht="15" customHeight="1" x14ac:dyDescent="0.3">
      <c r="B15" s="122">
        <f t="shared" si="1"/>
        <v>1984</v>
      </c>
      <c r="C15" s="122"/>
      <c r="D15" s="105"/>
      <c r="E15" s="105"/>
      <c r="F15" s="105"/>
      <c r="G15" s="105"/>
      <c r="H15" s="105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243"/>
      <c r="V15" s="243"/>
      <c r="W15" s="243"/>
      <c r="X15" s="243"/>
      <c r="Y15" s="243"/>
      <c r="Z15" s="244"/>
      <c r="AA15" s="238"/>
      <c r="AB15" s="238"/>
      <c r="AC15" s="238"/>
      <c r="AD15" s="109"/>
      <c r="AE15" s="244"/>
      <c r="AF15" s="244"/>
      <c r="AG15" s="244"/>
      <c r="AH15" s="109"/>
      <c r="AI15" s="109"/>
      <c r="AJ15" s="109"/>
      <c r="AK15" s="109"/>
      <c r="AL15" s="109">
        <v>1368</v>
      </c>
      <c r="AM15" s="276">
        <v>1368</v>
      </c>
    </row>
    <row r="16" spans="2:72" ht="15" customHeight="1" x14ac:dyDescent="0.3">
      <c r="B16" s="122">
        <f>B17-1</f>
        <v>1985</v>
      </c>
      <c r="C16" s="122"/>
      <c r="D16" s="105"/>
      <c r="E16" s="105"/>
      <c r="F16" s="105"/>
      <c r="G16" s="105"/>
      <c r="H16" s="105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243"/>
      <c r="V16" s="243"/>
      <c r="W16" s="243"/>
      <c r="X16" s="243"/>
      <c r="Y16" s="243"/>
      <c r="Z16" s="244"/>
      <c r="AA16" s="238"/>
      <c r="AB16" s="238"/>
      <c r="AC16" s="238"/>
      <c r="AD16" s="109"/>
      <c r="AE16" s="244"/>
      <c r="AF16" s="244"/>
      <c r="AG16" s="244"/>
      <c r="AH16" s="109"/>
      <c r="AI16" s="109"/>
      <c r="AJ16" s="109"/>
      <c r="AK16" s="109"/>
      <c r="AL16" s="109">
        <v>2181</v>
      </c>
      <c r="AM16" s="276">
        <v>2183</v>
      </c>
    </row>
    <row r="17" spans="2:72" x14ac:dyDescent="0.3">
      <c r="B17" s="106">
        <v>1986</v>
      </c>
      <c r="C17" s="106"/>
      <c r="D17" s="107">
        <v>2830</v>
      </c>
      <c r="E17" s="108">
        <v>652</v>
      </c>
      <c r="F17" s="107">
        <v>2178</v>
      </c>
      <c r="G17" s="108">
        <v>723</v>
      </c>
      <c r="H17" s="108">
        <v>12</v>
      </c>
      <c r="I17" s="108">
        <v>449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245">
        <f t="shared" ref="U17:U49" si="2">E17/D17</f>
        <v>0.23038869257950531</v>
      </c>
      <c r="V17" s="245">
        <f t="shared" ref="V17:V49" si="3">G17/D17</f>
        <v>0.25547703180212011</v>
      </c>
      <c r="W17" s="245">
        <f t="shared" ref="W17:W49" si="4">(E17+G17+H17)/D17</f>
        <v>0.49010600706713781</v>
      </c>
      <c r="X17" s="245">
        <f t="shared" ref="X17:X49" si="5">H17/D17</f>
        <v>4.2402826855123671E-3</v>
      </c>
      <c r="Y17" s="247">
        <f>U17+X17</f>
        <v>0.23462897526501769</v>
      </c>
      <c r="Z17" s="246">
        <f t="shared" ref="Z17:Z49" si="6">I17/D17</f>
        <v>0.15865724381625443</v>
      </c>
      <c r="AA17" s="239">
        <v>0.23516520985540809</v>
      </c>
      <c r="AB17" s="239">
        <v>0.33178358450156453</v>
      </c>
      <c r="AC17" s="239">
        <v>0.5678722504981335</v>
      </c>
      <c r="AD17" s="350"/>
      <c r="AE17" s="353"/>
      <c r="AF17" s="353"/>
      <c r="AG17" s="353"/>
      <c r="AH17" s="108"/>
      <c r="AI17" s="108"/>
      <c r="AJ17" s="108"/>
      <c r="AK17" s="108"/>
      <c r="AL17" s="108">
        <v>2584</v>
      </c>
      <c r="AM17" s="276">
        <v>2585</v>
      </c>
    </row>
    <row r="18" spans="2:72" x14ac:dyDescent="0.3">
      <c r="B18" s="106">
        <v>1987</v>
      </c>
      <c r="C18" s="106"/>
      <c r="D18" s="107">
        <v>1783</v>
      </c>
      <c r="E18" s="108">
        <v>491</v>
      </c>
      <c r="F18" s="107">
        <v>1292</v>
      </c>
      <c r="G18" s="108">
        <v>379</v>
      </c>
      <c r="H18" s="108">
        <v>2</v>
      </c>
      <c r="I18" s="108">
        <v>253</v>
      </c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245">
        <f t="shared" si="2"/>
        <v>0.27537857543466071</v>
      </c>
      <c r="V18" s="245">
        <f t="shared" si="3"/>
        <v>0.21256309590577679</v>
      </c>
      <c r="W18" s="245">
        <f t="shared" si="4"/>
        <v>0.48906337633202468</v>
      </c>
      <c r="X18" s="245">
        <f t="shared" si="5"/>
        <v>1.1217049915872126E-3</v>
      </c>
      <c r="Y18" s="247">
        <f t="shared" ref="Y18:Y49" si="7">U18+X18</f>
        <v>0.27650028042624791</v>
      </c>
      <c r="Z18" s="246">
        <f t="shared" si="6"/>
        <v>0.14189568143578238</v>
      </c>
      <c r="AA18" s="239">
        <v>0.27708626526187669</v>
      </c>
      <c r="AB18" s="239">
        <v>0.29314689437450075</v>
      </c>
      <c r="AC18" s="239">
        <v>0.57050178768399828</v>
      </c>
      <c r="AD18" s="350"/>
      <c r="AE18" s="353"/>
      <c r="AF18" s="353"/>
      <c r="AG18" s="353"/>
      <c r="AH18" s="108"/>
      <c r="AI18" s="108"/>
      <c r="AJ18" s="108"/>
      <c r="AK18" s="108"/>
      <c r="AL18" s="108">
        <v>1339</v>
      </c>
      <c r="AM18" s="276">
        <v>1344</v>
      </c>
    </row>
    <row r="19" spans="2:72" x14ac:dyDescent="0.3">
      <c r="B19" s="106">
        <v>1988</v>
      </c>
      <c r="C19" s="106"/>
      <c r="D19" s="107">
        <v>3558</v>
      </c>
      <c r="E19" s="108">
        <v>944</v>
      </c>
      <c r="F19" s="107">
        <v>2614</v>
      </c>
      <c r="G19" s="108">
        <v>965</v>
      </c>
      <c r="H19" s="108">
        <v>7</v>
      </c>
      <c r="I19" s="108">
        <v>368</v>
      </c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245">
        <f t="shared" si="2"/>
        <v>0.26531759415401912</v>
      </c>
      <c r="V19" s="245">
        <f t="shared" si="3"/>
        <v>0.27121978639685218</v>
      </c>
      <c r="W19" s="245">
        <f t="shared" si="4"/>
        <v>0.53850477796514895</v>
      </c>
      <c r="X19" s="245">
        <f t="shared" si="5"/>
        <v>1.9673974142776843E-3</v>
      </c>
      <c r="Y19" s="247">
        <f t="shared" si="7"/>
        <v>0.26728499156829683</v>
      </c>
      <c r="Z19" s="246">
        <f t="shared" si="6"/>
        <v>0.10342889263631254</v>
      </c>
      <c r="AA19" s="239">
        <v>0.26716090787402735</v>
      </c>
      <c r="AB19" s="239">
        <v>0.36898636423811837</v>
      </c>
      <c r="AC19" s="239">
        <v>0.63714163835076421</v>
      </c>
      <c r="AD19" s="350"/>
      <c r="AE19" s="353"/>
      <c r="AF19" s="353"/>
      <c r="AG19" s="353"/>
      <c r="AH19" s="108"/>
      <c r="AI19" s="108"/>
      <c r="AJ19" s="108"/>
      <c r="AK19" s="108"/>
      <c r="AL19" s="108">
        <v>956</v>
      </c>
      <c r="AM19" s="276">
        <v>956</v>
      </c>
    </row>
    <row r="20" spans="2:72" x14ac:dyDescent="0.3">
      <c r="B20" s="106">
        <v>1989</v>
      </c>
      <c r="C20" s="106"/>
      <c r="D20" s="107">
        <v>1981</v>
      </c>
      <c r="E20" s="108">
        <v>373</v>
      </c>
      <c r="F20" s="107">
        <v>1608</v>
      </c>
      <c r="G20" s="108">
        <v>608</v>
      </c>
      <c r="H20" s="108">
        <v>8</v>
      </c>
      <c r="I20" s="108">
        <v>295</v>
      </c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245">
        <f t="shared" si="2"/>
        <v>0.18828874305906107</v>
      </c>
      <c r="V20" s="245">
        <f t="shared" si="3"/>
        <v>0.30691569914184758</v>
      </c>
      <c r="W20" s="245">
        <f t="shared" si="4"/>
        <v>0.49924280666330134</v>
      </c>
      <c r="X20" s="245">
        <f t="shared" si="5"/>
        <v>4.0383644623927309E-3</v>
      </c>
      <c r="Y20" s="247">
        <f t="shared" si="7"/>
        <v>0.19232710752145379</v>
      </c>
      <c r="Z20" s="246">
        <f t="shared" si="6"/>
        <v>0.14891468955073195</v>
      </c>
      <c r="AA20" s="239">
        <v>0.19314433108051221</v>
      </c>
      <c r="AB20" s="239">
        <v>0.37807976976831403</v>
      </c>
      <c r="AC20" s="239">
        <v>0.57143458526915214</v>
      </c>
      <c r="AD20" s="350"/>
      <c r="AE20" s="353"/>
      <c r="AF20" s="353"/>
      <c r="AG20" s="353"/>
      <c r="AH20" s="108"/>
      <c r="AI20" s="108"/>
      <c r="AJ20" s="108"/>
      <c r="AK20" s="108"/>
      <c r="AL20" s="108">
        <v>973</v>
      </c>
      <c r="AM20" s="276">
        <v>982</v>
      </c>
    </row>
    <row r="21" spans="2:72" x14ac:dyDescent="0.3">
      <c r="B21" s="106">
        <v>1990</v>
      </c>
      <c r="C21" s="106"/>
      <c r="D21" s="108">
        <v>508</v>
      </c>
      <c r="E21" s="108">
        <v>71</v>
      </c>
      <c r="F21" s="108">
        <v>437</v>
      </c>
      <c r="G21" s="108">
        <v>169</v>
      </c>
      <c r="H21" s="108">
        <v>2</v>
      </c>
      <c r="I21" s="108">
        <v>78</v>
      </c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245">
        <f t="shared" si="2"/>
        <v>0.13976377952755906</v>
      </c>
      <c r="V21" s="245">
        <f t="shared" si="3"/>
        <v>0.33267716535433073</v>
      </c>
      <c r="W21" s="245">
        <f t="shared" si="4"/>
        <v>0.4763779527559055</v>
      </c>
      <c r="X21" s="245">
        <f t="shared" si="5"/>
        <v>3.937007874015748E-3</v>
      </c>
      <c r="Y21" s="247">
        <f t="shared" si="7"/>
        <v>0.1437007874015748</v>
      </c>
      <c r="Z21" s="246">
        <f t="shared" si="6"/>
        <v>0.15354330708661418</v>
      </c>
      <c r="AA21" s="239">
        <v>0.14359378357086586</v>
      </c>
      <c r="AB21" s="239">
        <v>0.38714003893406601</v>
      </c>
      <c r="AC21" s="239">
        <v>0.53092263319291899</v>
      </c>
      <c r="AD21" s="350"/>
      <c r="AE21" s="353"/>
      <c r="AF21" s="353"/>
      <c r="AG21" s="353"/>
      <c r="AH21" s="108"/>
      <c r="AI21" s="108"/>
      <c r="AJ21" s="108"/>
      <c r="AK21" s="108"/>
      <c r="AL21" s="108">
        <v>574</v>
      </c>
      <c r="AM21" s="276">
        <v>575</v>
      </c>
    </row>
    <row r="22" spans="2:72" x14ac:dyDescent="0.3">
      <c r="B22" s="106">
        <v>1991</v>
      </c>
      <c r="C22" s="106"/>
      <c r="D22" s="107">
        <v>1846</v>
      </c>
      <c r="E22" s="108">
        <v>275</v>
      </c>
      <c r="F22" s="107">
        <v>1571</v>
      </c>
      <c r="G22" s="108">
        <v>379</v>
      </c>
      <c r="H22" s="108">
        <v>17</v>
      </c>
      <c r="I22" s="108">
        <v>318</v>
      </c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245">
        <f t="shared" si="2"/>
        <v>0.14897074756229686</v>
      </c>
      <c r="V22" s="245">
        <f t="shared" si="3"/>
        <v>0.20530877573131096</v>
      </c>
      <c r="W22" s="245">
        <f t="shared" si="4"/>
        <v>0.36348862405200433</v>
      </c>
      <c r="X22" s="245">
        <f t="shared" si="5"/>
        <v>9.2091007583965327E-3</v>
      </c>
      <c r="Y22" s="247">
        <f t="shared" si="7"/>
        <v>0.1581798483206934</v>
      </c>
      <c r="Z22" s="246">
        <f t="shared" si="6"/>
        <v>0.1722643553629469</v>
      </c>
      <c r="AA22" s="270">
        <v>0.15960536762000657</v>
      </c>
      <c r="AB22" s="270">
        <v>0.24126212652247159</v>
      </c>
      <c r="AC22" s="270">
        <v>0.40147745096140813</v>
      </c>
      <c r="AD22" s="351"/>
      <c r="AE22" s="353"/>
      <c r="AF22" s="353"/>
      <c r="AG22" s="353"/>
      <c r="AH22" s="108"/>
      <c r="AI22" s="108"/>
      <c r="AJ22" s="108"/>
      <c r="AK22" s="108"/>
      <c r="AL22" s="108">
        <v>1027</v>
      </c>
      <c r="AM22" s="276">
        <v>1027</v>
      </c>
    </row>
    <row r="23" spans="2:72" x14ac:dyDescent="0.3">
      <c r="B23" s="106">
        <v>1992</v>
      </c>
      <c r="C23" s="106"/>
      <c r="D23" s="107">
        <v>1289</v>
      </c>
      <c r="E23" s="108">
        <v>112</v>
      </c>
      <c r="F23" s="107">
        <v>1178</v>
      </c>
      <c r="G23" s="108">
        <v>202</v>
      </c>
      <c r="H23" s="108">
        <v>6</v>
      </c>
      <c r="I23" s="108">
        <v>549</v>
      </c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245">
        <f t="shared" si="2"/>
        <v>8.6889061287820021E-2</v>
      </c>
      <c r="V23" s="245">
        <f t="shared" si="3"/>
        <v>0.15671062839410396</v>
      </c>
      <c r="W23" s="245">
        <f t="shared" si="4"/>
        <v>0.2482544608223429</v>
      </c>
      <c r="X23" s="245">
        <f t="shared" si="5"/>
        <v>4.6547711404189293E-3</v>
      </c>
      <c r="Y23" s="247">
        <f t="shared" si="7"/>
        <v>9.154383242823895E-2</v>
      </c>
      <c r="Z23" s="246">
        <f t="shared" si="6"/>
        <v>0.42591155934833203</v>
      </c>
      <c r="AA23" s="270">
        <v>8.9611928507949051E-2</v>
      </c>
      <c r="AB23" s="270">
        <v>0.17143527204502815</v>
      </c>
      <c r="AC23" s="270">
        <v>0.26320726770020736</v>
      </c>
      <c r="AD23" s="351"/>
      <c r="AE23" s="353"/>
      <c r="AF23" s="353"/>
      <c r="AG23" s="353"/>
      <c r="AH23" s="108"/>
      <c r="AI23" s="108"/>
      <c r="AJ23" s="108"/>
      <c r="AK23" s="108"/>
      <c r="AL23" s="108">
        <v>957</v>
      </c>
      <c r="AM23" s="276">
        <v>957</v>
      </c>
    </row>
    <row r="24" spans="2:72" x14ac:dyDescent="0.3">
      <c r="B24" s="106">
        <v>1993</v>
      </c>
      <c r="C24" s="106"/>
      <c r="D24" s="107">
        <v>1475</v>
      </c>
      <c r="E24" s="108">
        <v>107</v>
      </c>
      <c r="F24" s="107">
        <v>1368</v>
      </c>
      <c r="G24" s="108">
        <v>270</v>
      </c>
      <c r="H24" s="108">
        <v>11</v>
      </c>
      <c r="I24" s="108">
        <v>742</v>
      </c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245">
        <f t="shared" si="2"/>
        <v>7.2542372881355927E-2</v>
      </c>
      <c r="V24" s="245">
        <f t="shared" si="3"/>
        <v>0.18305084745762712</v>
      </c>
      <c r="W24" s="245">
        <f t="shared" si="4"/>
        <v>0.26305084745762713</v>
      </c>
      <c r="X24" s="245">
        <f t="shared" si="5"/>
        <v>7.4576271186440682E-3</v>
      </c>
      <c r="Y24" s="247">
        <f t="shared" si="7"/>
        <v>7.9999999999999988E-2</v>
      </c>
      <c r="Z24" s="246">
        <f t="shared" si="6"/>
        <v>0.50305084745762707</v>
      </c>
      <c r="AA24" s="270">
        <v>7.9099778442881019E-2</v>
      </c>
      <c r="AB24" s="270">
        <v>0.19764255451471216</v>
      </c>
      <c r="AC24" s="270">
        <v>0.27772379212500486</v>
      </c>
      <c r="AD24" s="351"/>
      <c r="AE24" s="353"/>
      <c r="AF24" s="353"/>
      <c r="AG24" s="353"/>
      <c r="AH24" s="108"/>
      <c r="AI24" s="108"/>
      <c r="AJ24" s="108"/>
      <c r="AK24" s="108"/>
      <c r="AL24" s="108">
        <v>1198</v>
      </c>
      <c r="AM24" s="276">
        <v>1209</v>
      </c>
    </row>
    <row r="25" spans="2:72" x14ac:dyDescent="0.3">
      <c r="B25" s="106">
        <v>1994</v>
      </c>
      <c r="C25" s="107">
        <f t="shared" ref="C25:C47" si="8">D25+K25</f>
        <v>1866.4482758620688</v>
      </c>
      <c r="D25" s="108">
        <v>958</v>
      </c>
      <c r="E25" s="108">
        <v>0</v>
      </c>
      <c r="F25" s="108">
        <v>958</v>
      </c>
      <c r="G25" s="108">
        <v>173</v>
      </c>
      <c r="H25" s="108">
        <v>1</v>
      </c>
      <c r="I25" s="108">
        <v>406</v>
      </c>
      <c r="J25" s="108"/>
      <c r="K25" s="107">
        <f t="shared" ref="K25:K48" si="9">(D25/(1-$AS25))*$AS25</f>
        <v>908.44827586206884</v>
      </c>
      <c r="L25" s="107">
        <f t="shared" ref="L25:L48" si="10">(E25/(1-$AS25))*$AS25</f>
        <v>0</v>
      </c>
      <c r="M25" s="107">
        <f t="shared" ref="M25:M48" si="11">(F25/(1-$AS25))*$AS25</f>
        <v>908.44827586206884</v>
      </c>
      <c r="N25" s="107">
        <f t="shared" ref="N25:N48" si="12">(G25/(1-$AS25))*$AS25</f>
        <v>164.05172413793105</v>
      </c>
      <c r="O25" s="107">
        <f t="shared" ref="O25:O48" si="13">(H25/(1-$AS25))*$AS25</f>
        <v>0.94827586206896552</v>
      </c>
      <c r="P25" s="108"/>
      <c r="Q25" s="107">
        <f>E25+L25</f>
        <v>0</v>
      </c>
      <c r="R25" s="107">
        <f>G25+N25</f>
        <v>337.05172413793105</v>
      </c>
      <c r="S25" s="107">
        <f>H25+O25</f>
        <v>1.9482758620689655</v>
      </c>
      <c r="T25" s="108"/>
      <c r="U25" s="245">
        <f t="shared" si="2"/>
        <v>0</v>
      </c>
      <c r="V25" s="245">
        <f t="shared" si="3"/>
        <v>0.18058455114822547</v>
      </c>
      <c r="W25" s="245">
        <f t="shared" si="4"/>
        <v>0.18162839248434237</v>
      </c>
      <c r="X25" s="245">
        <f t="shared" si="5"/>
        <v>1.0438413361169101E-3</v>
      </c>
      <c r="Y25" s="247">
        <f t="shared" si="7"/>
        <v>1.0438413361169101E-3</v>
      </c>
      <c r="Z25" s="246">
        <f t="shared" si="6"/>
        <v>0.42379958246346555</v>
      </c>
      <c r="AA25" s="270">
        <v>1.1969376463237453E-3</v>
      </c>
      <c r="AB25" s="270">
        <v>0.18063972176845655</v>
      </c>
      <c r="AC25" s="270">
        <v>0.18185171523423091</v>
      </c>
      <c r="AD25" s="351"/>
      <c r="AE25" s="246">
        <f t="shared" ref="AE25:AE48" si="14">G25/$F25</f>
        <v>0.18058455114822547</v>
      </c>
      <c r="AF25" s="246">
        <f t="shared" ref="AF25:AF48" si="15">H25/$F25</f>
        <v>1.0438413361169101E-3</v>
      </c>
      <c r="AG25" s="246"/>
      <c r="AH25" s="108"/>
      <c r="AI25" s="11">
        <v>2068</v>
      </c>
      <c r="AJ25" s="11">
        <v>1033</v>
      </c>
      <c r="AK25" s="108"/>
      <c r="AL25" s="108">
        <v>1042</v>
      </c>
      <c r="AM25" s="276">
        <f>SUM(AO25:AR25)</f>
        <v>1046</v>
      </c>
      <c r="AO25" s="280">
        <v>385</v>
      </c>
      <c r="AP25" s="280">
        <v>177</v>
      </c>
      <c r="AQ25" s="271">
        <v>406</v>
      </c>
      <c r="AR25" s="280">
        <v>78</v>
      </c>
      <c r="AS25" s="371">
        <f t="shared" ref="AS25:AS47" si="16">AO25/(AO25+AQ25)</f>
        <v>0.48672566371681414</v>
      </c>
      <c r="AT25" s="280"/>
      <c r="AU25" s="277">
        <v>205</v>
      </c>
      <c r="AV25" s="277">
        <v>32</v>
      </c>
      <c r="AW25" s="277">
        <v>406</v>
      </c>
      <c r="AX25" s="277">
        <v>78</v>
      </c>
      <c r="AY25" s="277">
        <v>721</v>
      </c>
      <c r="AZ25" s="278">
        <v>0.3355155482815057</v>
      </c>
      <c r="BA25" s="358">
        <v>0.3287101248266297</v>
      </c>
      <c r="BB25" s="248" t="s">
        <v>237</v>
      </c>
      <c r="BC25" s="248">
        <v>0</v>
      </c>
      <c r="BD25" s="248">
        <v>0</v>
      </c>
      <c r="BE25" s="248">
        <v>0</v>
      </c>
      <c r="BF25" s="248">
        <v>0</v>
      </c>
      <c r="BG25" s="248"/>
      <c r="BH25" s="248"/>
      <c r="BI25" s="248"/>
      <c r="BJ25" s="248"/>
      <c r="BK25" s="248"/>
      <c r="BL25" s="248"/>
      <c r="BM25" s="248"/>
      <c r="BN25" s="248"/>
      <c r="BO25" s="279">
        <v>205</v>
      </c>
      <c r="BP25" s="279">
        <v>32</v>
      </c>
      <c r="BQ25" s="279">
        <v>406</v>
      </c>
      <c r="BR25" s="248">
        <v>78</v>
      </c>
      <c r="BS25" s="279">
        <v>611</v>
      </c>
      <c r="BT25" s="279">
        <v>721</v>
      </c>
    </row>
    <row r="26" spans="2:72" x14ac:dyDescent="0.3">
      <c r="B26" s="106">
        <v>1995</v>
      </c>
      <c r="C26" s="107">
        <f t="shared" si="8"/>
        <v>3950.948571428572</v>
      </c>
      <c r="D26" s="107">
        <v>1296</v>
      </c>
      <c r="E26" s="108">
        <v>10</v>
      </c>
      <c r="F26" s="107">
        <v>1286</v>
      </c>
      <c r="G26" s="108">
        <v>225</v>
      </c>
      <c r="H26" s="108">
        <v>9</v>
      </c>
      <c r="I26" s="108">
        <v>350</v>
      </c>
      <c r="J26" s="108"/>
      <c r="K26" s="107">
        <f t="shared" si="9"/>
        <v>2654.948571428572</v>
      </c>
      <c r="L26" s="107">
        <f t="shared" si="10"/>
        <v>20.485714285714288</v>
      </c>
      <c r="M26" s="107">
        <f t="shared" si="11"/>
        <v>2634.4628571428575</v>
      </c>
      <c r="N26" s="107">
        <f t="shared" si="12"/>
        <v>460.92857142857156</v>
      </c>
      <c r="O26" s="107">
        <f t="shared" si="13"/>
        <v>18.437142857142859</v>
      </c>
      <c r="P26" s="108"/>
      <c r="Q26" s="107">
        <f t="shared" ref="Q26:Q48" si="17">E26+L26</f>
        <v>30.485714285714288</v>
      </c>
      <c r="R26" s="107">
        <f t="shared" ref="R26:R48" si="18">G26+N26</f>
        <v>685.92857142857156</v>
      </c>
      <c r="S26" s="107">
        <f t="shared" ref="S26:S48" si="19">H26+O26</f>
        <v>27.437142857142859</v>
      </c>
      <c r="T26" s="108"/>
      <c r="U26" s="245">
        <f t="shared" si="2"/>
        <v>7.716049382716049E-3</v>
      </c>
      <c r="V26" s="245">
        <f t="shared" si="3"/>
        <v>0.1736111111111111</v>
      </c>
      <c r="W26" s="245">
        <f t="shared" si="4"/>
        <v>0.18827160493827161</v>
      </c>
      <c r="X26" s="245">
        <f t="shared" si="5"/>
        <v>6.9444444444444441E-3</v>
      </c>
      <c r="Y26" s="247">
        <f t="shared" si="7"/>
        <v>1.4660493827160493E-2</v>
      </c>
      <c r="Z26" s="246">
        <f t="shared" si="6"/>
        <v>0.27006172839506171</v>
      </c>
      <c r="AA26" s="270">
        <v>1.432476352398576E-2</v>
      </c>
      <c r="AB26" s="270">
        <v>0.17517541964512159</v>
      </c>
      <c r="AC26" s="270">
        <v>0.18951896974422078</v>
      </c>
      <c r="AD26" s="351"/>
      <c r="AE26" s="246">
        <f t="shared" si="14"/>
        <v>0.17496111975116641</v>
      </c>
      <c r="AF26" s="246">
        <f t="shared" si="15"/>
        <v>6.9984447900466561E-3</v>
      </c>
      <c r="AG26" s="246"/>
      <c r="AH26" s="108"/>
      <c r="AI26" s="11">
        <v>2739</v>
      </c>
      <c r="AJ26" s="11">
        <v>2452</v>
      </c>
      <c r="AK26" s="108"/>
      <c r="AL26" s="108">
        <v>1371</v>
      </c>
      <c r="AM26" s="276">
        <f t="shared" ref="AM26:AM48" si="20">SUM(AO26:AR26)</f>
        <v>1375</v>
      </c>
      <c r="AO26" s="280">
        <v>717</v>
      </c>
      <c r="AP26" s="280">
        <v>279</v>
      </c>
      <c r="AQ26" s="271">
        <v>350</v>
      </c>
      <c r="AR26" s="280">
        <v>29</v>
      </c>
      <c r="AS26" s="371">
        <f t="shared" si="16"/>
        <v>0.67197750702905346</v>
      </c>
      <c r="AT26" s="280"/>
      <c r="AU26" s="277">
        <v>322</v>
      </c>
      <c r="AV26" s="277">
        <v>0</v>
      </c>
      <c r="AW26" s="277">
        <v>350</v>
      </c>
      <c r="AX26" s="277">
        <v>29</v>
      </c>
      <c r="AY26" s="277">
        <v>701</v>
      </c>
      <c r="AZ26" s="278">
        <v>0.47916666666666669</v>
      </c>
      <c r="BA26" s="358">
        <v>0.45934379457917263</v>
      </c>
      <c r="BB26" s="248" t="s">
        <v>237</v>
      </c>
      <c r="BC26" s="248">
        <v>0</v>
      </c>
      <c r="BD26" s="248">
        <v>0</v>
      </c>
      <c r="BE26" s="248">
        <v>0</v>
      </c>
      <c r="BF26" s="248">
        <v>0</v>
      </c>
      <c r="BG26" s="248"/>
      <c r="BH26" s="248"/>
      <c r="BI26" s="248"/>
      <c r="BJ26" s="248"/>
      <c r="BK26" s="248"/>
      <c r="BL26" s="248"/>
      <c r="BM26" s="248"/>
      <c r="BN26" s="248"/>
      <c r="BO26" s="279">
        <v>322</v>
      </c>
      <c r="BP26" s="279">
        <v>0</v>
      </c>
      <c r="BQ26" s="279">
        <v>350</v>
      </c>
      <c r="BR26" s="248">
        <v>29</v>
      </c>
      <c r="BS26" s="279">
        <v>672</v>
      </c>
      <c r="BT26" s="279">
        <v>701</v>
      </c>
    </row>
    <row r="27" spans="2:72" x14ac:dyDescent="0.3">
      <c r="B27" s="106">
        <v>1996</v>
      </c>
      <c r="C27" s="107">
        <f t="shared" si="8"/>
        <v>3539.1737089201879</v>
      </c>
      <c r="D27" s="107">
        <v>1729</v>
      </c>
      <c r="E27" s="108">
        <v>95</v>
      </c>
      <c r="F27" s="107">
        <v>1634</v>
      </c>
      <c r="G27" s="108">
        <v>350</v>
      </c>
      <c r="H27" s="108">
        <v>3</v>
      </c>
      <c r="I27" s="108">
        <v>639</v>
      </c>
      <c r="J27" s="108"/>
      <c r="K27" s="107">
        <f t="shared" si="9"/>
        <v>1810.1737089201879</v>
      </c>
      <c r="L27" s="107">
        <f t="shared" si="10"/>
        <v>99.460093896713602</v>
      </c>
      <c r="M27" s="107">
        <f t="shared" si="11"/>
        <v>1710.7136150234742</v>
      </c>
      <c r="N27" s="107">
        <f t="shared" si="12"/>
        <v>366.43192488262912</v>
      </c>
      <c r="O27" s="107">
        <f t="shared" si="13"/>
        <v>3.140845070422535</v>
      </c>
      <c r="P27" s="108"/>
      <c r="Q27" s="107">
        <f t="shared" si="17"/>
        <v>194.4600938967136</v>
      </c>
      <c r="R27" s="107">
        <f t="shared" si="18"/>
        <v>716.43192488262912</v>
      </c>
      <c r="S27" s="107">
        <f t="shared" si="19"/>
        <v>6.140845070422535</v>
      </c>
      <c r="T27" s="108"/>
      <c r="U27" s="245">
        <f t="shared" si="2"/>
        <v>5.4945054945054944E-2</v>
      </c>
      <c r="V27" s="245">
        <f t="shared" si="3"/>
        <v>0.20242914979757085</v>
      </c>
      <c r="W27" s="245">
        <f t="shared" si="4"/>
        <v>0.25910931174089069</v>
      </c>
      <c r="X27" s="245">
        <f t="shared" si="5"/>
        <v>1.735106998264893E-3</v>
      </c>
      <c r="Y27" s="247">
        <f t="shared" si="7"/>
        <v>5.6680161943319839E-2</v>
      </c>
      <c r="Z27" s="246">
        <f t="shared" si="6"/>
        <v>0.36957779063042223</v>
      </c>
      <c r="AA27" s="270">
        <v>5.6932913308983403E-2</v>
      </c>
      <c r="AB27" s="270">
        <v>0.21403302309894731</v>
      </c>
      <c r="AC27" s="270">
        <v>0.27096593640793071</v>
      </c>
      <c r="AD27" s="351"/>
      <c r="AE27" s="246">
        <f t="shared" si="14"/>
        <v>0.21419828641370869</v>
      </c>
      <c r="AF27" s="246">
        <f t="shared" si="15"/>
        <v>1.8359853121175031E-3</v>
      </c>
      <c r="AG27" s="246"/>
      <c r="AH27" s="108"/>
      <c r="AI27" s="11">
        <v>3810</v>
      </c>
      <c r="AJ27" s="11">
        <v>808</v>
      </c>
      <c r="AK27" s="108"/>
      <c r="AL27" s="108">
        <v>1732</v>
      </c>
      <c r="AM27" s="276">
        <f t="shared" si="20"/>
        <v>1732</v>
      </c>
      <c r="AO27" s="280">
        <v>669</v>
      </c>
      <c r="AP27" s="280">
        <v>223</v>
      </c>
      <c r="AQ27" s="271">
        <v>639</v>
      </c>
      <c r="AR27" s="280">
        <v>201</v>
      </c>
      <c r="AS27" s="371">
        <f t="shared" si="16"/>
        <v>0.51146788990825687</v>
      </c>
      <c r="AT27" s="280"/>
      <c r="AU27" s="248">
        <v>280</v>
      </c>
      <c r="AV27" s="248">
        <v>167</v>
      </c>
      <c r="AW27" s="248">
        <v>639</v>
      </c>
      <c r="AX27" s="248">
        <v>201</v>
      </c>
      <c r="AY27" s="248">
        <v>1287</v>
      </c>
      <c r="AZ27" s="278">
        <v>0.30467899891186073</v>
      </c>
      <c r="BA27" s="358">
        <v>0.34731934731934733</v>
      </c>
      <c r="BB27" s="248" t="s">
        <v>238</v>
      </c>
      <c r="BC27" s="248">
        <v>0</v>
      </c>
      <c r="BD27" s="248">
        <v>0</v>
      </c>
      <c r="BE27" s="248">
        <v>0</v>
      </c>
      <c r="BF27" s="248">
        <v>0</v>
      </c>
      <c r="BG27" s="248"/>
      <c r="BH27" s="248"/>
      <c r="BI27" s="248"/>
      <c r="BJ27" s="248"/>
      <c r="BK27" s="248"/>
      <c r="BL27" s="248"/>
      <c r="BM27" s="248"/>
      <c r="BN27" s="248"/>
      <c r="BO27" s="279">
        <v>280</v>
      </c>
      <c r="BP27" s="279">
        <v>167</v>
      </c>
      <c r="BQ27" s="279">
        <v>639</v>
      </c>
      <c r="BR27" s="248">
        <v>201</v>
      </c>
      <c r="BS27" s="279">
        <v>919</v>
      </c>
      <c r="BT27" s="279">
        <v>1287</v>
      </c>
    </row>
    <row r="28" spans="2:72" x14ac:dyDescent="0.3">
      <c r="B28" s="106">
        <v>1997</v>
      </c>
      <c r="C28" s="107">
        <f t="shared" si="8"/>
        <v>3352.247487437186</v>
      </c>
      <c r="D28" s="107">
        <v>1839</v>
      </c>
      <c r="E28" s="108">
        <v>99</v>
      </c>
      <c r="F28" s="107">
        <v>1740</v>
      </c>
      <c r="G28" s="108">
        <v>459</v>
      </c>
      <c r="H28" s="108">
        <v>7</v>
      </c>
      <c r="I28" s="108">
        <v>797</v>
      </c>
      <c r="J28" s="108"/>
      <c r="K28" s="107">
        <f t="shared" si="9"/>
        <v>1513.247487437186</v>
      </c>
      <c r="L28" s="107">
        <f t="shared" si="10"/>
        <v>81.463567839195974</v>
      </c>
      <c r="M28" s="107">
        <f t="shared" si="11"/>
        <v>1431.78391959799</v>
      </c>
      <c r="N28" s="107">
        <f t="shared" si="12"/>
        <v>377.69472361809039</v>
      </c>
      <c r="O28" s="107">
        <f t="shared" si="13"/>
        <v>5.7600502512562812</v>
      </c>
      <c r="P28" s="108"/>
      <c r="Q28" s="107">
        <f t="shared" si="17"/>
        <v>180.46356783919597</v>
      </c>
      <c r="R28" s="107">
        <f t="shared" si="18"/>
        <v>836.69472361809039</v>
      </c>
      <c r="S28" s="107">
        <f t="shared" si="19"/>
        <v>12.760050251256281</v>
      </c>
      <c r="T28" s="108"/>
      <c r="U28" s="245">
        <f t="shared" si="2"/>
        <v>5.3833605220228384E-2</v>
      </c>
      <c r="V28" s="245">
        <f t="shared" si="3"/>
        <v>0.24959216965742251</v>
      </c>
      <c r="W28" s="245">
        <f t="shared" si="4"/>
        <v>0.3072321914083741</v>
      </c>
      <c r="X28" s="245">
        <f t="shared" si="5"/>
        <v>3.8064165307232192E-3</v>
      </c>
      <c r="Y28" s="247">
        <f t="shared" si="7"/>
        <v>5.7640021750951606E-2</v>
      </c>
      <c r="Z28" s="246">
        <f t="shared" si="6"/>
        <v>0.43338771071234367</v>
      </c>
      <c r="AA28" s="270">
        <v>5.8020836553621662E-2</v>
      </c>
      <c r="AB28" s="270">
        <v>0.26364114137323397</v>
      </c>
      <c r="AC28" s="270">
        <v>0.32166197792685564</v>
      </c>
      <c r="AD28" s="351"/>
      <c r="AE28" s="246">
        <f t="shared" si="14"/>
        <v>0.26379310344827589</v>
      </c>
      <c r="AF28" s="246">
        <f t="shared" si="15"/>
        <v>4.0229885057471264E-3</v>
      </c>
      <c r="AG28" s="246">
        <f>AF28+AE28</f>
        <v>0.26781609195402301</v>
      </c>
      <c r="AH28" s="108"/>
      <c r="AI28" s="11">
        <v>2759</v>
      </c>
      <c r="AJ28" s="11">
        <v>1852</v>
      </c>
      <c r="AK28" s="108"/>
      <c r="AL28" s="108">
        <v>1949</v>
      </c>
      <c r="AM28" s="276">
        <f t="shared" si="20"/>
        <v>1955</v>
      </c>
      <c r="AO28" s="280">
        <v>655</v>
      </c>
      <c r="AP28" s="280">
        <v>479</v>
      </c>
      <c r="AQ28" s="271">
        <v>796</v>
      </c>
      <c r="AR28" s="280">
        <v>25</v>
      </c>
      <c r="AS28" s="371">
        <f t="shared" si="16"/>
        <v>0.45141281874569261</v>
      </c>
      <c r="AT28" s="280"/>
      <c r="AU28" s="248">
        <v>21</v>
      </c>
      <c r="AV28" s="248">
        <v>254</v>
      </c>
      <c r="AW28" s="248">
        <v>1013</v>
      </c>
      <c r="AX28" s="248">
        <v>25</v>
      </c>
      <c r="AY28" s="248">
        <v>1313</v>
      </c>
      <c r="AZ28" s="278">
        <v>2.0309477756286266E-2</v>
      </c>
      <c r="BA28" s="358">
        <v>0.20944402132520945</v>
      </c>
      <c r="BB28" s="248" t="s">
        <v>237</v>
      </c>
      <c r="BC28" s="248">
        <v>0</v>
      </c>
      <c r="BD28" s="248">
        <v>0</v>
      </c>
      <c r="BE28" s="248">
        <v>0</v>
      </c>
      <c r="BF28" s="248">
        <v>0</v>
      </c>
      <c r="BG28" s="248"/>
      <c r="BH28" s="248"/>
      <c r="BI28" s="248"/>
      <c r="BJ28" s="248"/>
      <c r="BK28" s="248"/>
      <c r="BL28" s="248"/>
      <c r="BM28" s="248"/>
      <c r="BN28" s="248"/>
      <c r="BO28" s="279">
        <v>21</v>
      </c>
      <c r="BP28" s="279">
        <v>254</v>
      </c>
      <c r="BQ28" s="279">
        <v>1013</v>
      </c>
      <c r="BR28" s="248">
        <v>25</v>
      </c>
      <c r="BS28" s="279">
        <v>1034</v>
      </c>
      <c r="BT28" s="279">
        <v>1313</v>
      </c>
    </row>
    <row r="29" spans="2:72" x14ac:dyDescent="0.3">
      <c r="B29" s="106">
        <v>1998</v>
      </c>
      <c r="C29" s="107">
        <f t="shared" si="8"/>
        <v>4554.150326797384</v>
      </c>
      <c r="D29" s="108">
        <v>730</v>
      </c>
      <c r="E29" s="108">
        <v>21</v>
      </c>
      <c r="F29" s="108">
        <v>709</v>
      </c>
      <c r="G29" s="108">
        <v>165</v>
      </c>
      <c r="H29" s="108">
        <v>4</v>
      </c>
      <c r="I29" s="108">
        <v>306</v>
      </c>
      <c r="J29" s="108"/>
      <c r="K29" s="107">
        <f t="shared" si="9"/>
        <v>3824.150326797384</v>
      </c>
      <c r="L29" s="107">
        <f t="shared" si="10"/>
        <v>110.00980392156859</v>
      </c>
      <c r="M29" s="107">
        <f t="shared" si="11"/>
        <v>3714.1405228758158</v>
      </c>
      <c r="N29" s="107">
        <f t="shared" si="12"/>
        <v>864.36274509803889</v>
      </c>
      <c r="O29" s="107">
        <f t="shared" si="13"/>
        <v>20.954248366013065</v>
      </c>
      <c r="P29" s="108"/>
      <c r="Q29" s="107">
        <f t="shared" si="17"/>
        <v>131.00980392156859</v>
      </c>
      <c r="R29" s="107">
        <f t="shared" si="18"/>
        <v>1029.3627450980389</v>
      </c>
      <c r="S29" s="107">
        <f t="shared" si="19"/>
        <v>24.954248366013065</v>
      </c>
      <c r="T29" s="108"/>
      <c r="U29" s="245">
        <f t="shared" si="2"/>
        <v>2.8767123287671233E-2</v>
      </c>
      <c r="V29" s="245">
        <f t="shared" si="3"/>
        <v>0.22602739726027396</v>
      </c>
      <c r="W29" s="245">
        <f t="shared" si="4"/>
        <v>0.26027397260273971</v>
      </c>
      <c r="X29" s="245">
        <f t="shared" si="5"/>
        <v>5.4794520547945206E-3</v>
      </c>
      <c r="Y29" s="247">
        <f t="shared" si="7"/>
        <v>3.4246575342465752E-2</v>
      </c>
      <c r="Z29" s="246">
        <f t="shared" si="6"/>
        <v>0.41917808219178082</v>
      </c>
      <c r="AA29" s="270">
        <v>3.4257460709871096E-2</v>
      </c>
      <c r="AB29" s="270">
        <v>0.23312731767614339</v>
      </c>
      <c r="AC29" s="270">
        <v>0.26738477838601449</v>
      </c>
      <c r="AD29" s="351"/>
      <c r="AE29" s="246">
        <f t="shared" si="14"/>
        <v>0.23272214386459802</v>
      </c>
      <c r="AF29" s="246">
        <f t="shared" si="15"/>
        <v>5.6417489421720732E-3</v>
      </c>
      <c r="AG29" s="246">
        <f t="shared" ref="AG29:AG48" si="21">AF29+AE29</f>
        <v>0.23836389280677009</v>
      </c>
      <c r="AH29" s="108"/>
      <c r="AI29" s="11">
        <v>4219</v>
      </c>
      <c r="AJ29" s="11">
        <v>3491</v>
      </c>
      <c r="AK29" s="108"/>
      <c r="AL29" s="108">
        <v>3911</v>
      </c>
      <c r="AM29" s="276">
        <f t="shared" si="20"/>
        <v>3911</v>
      </c>
      <c r="AO29" s="280">
        <v>1603</v>
      </c>
      <c r="AP29" s="280">
        <v>1681</v>
      </c>
      <c r="AQ29" s="271">
        <v>306</v>
      </c>
      <c r="AR29" s="280">
        <v>321</v>
      </c>
      <c r="AS29" s="371">
        <f t="shared" si="16"/>
        <v>0.83970665269774747</v>
      </c>
      <c r="AT29" s="280"/>
      <c r="AU29" s="248">
        <v>729</v>
      </c>
      <c r="AV29" s="248">
        <v>976</v>
      </c>
      <c r="AW29" s="248">
        <v>306</v>
      </c>
      <c r="AX29" s="248">
        <v>321</v>
      </c>
      <c r="AY29" s="248">
        <v>2332</v>
      </c>
      <c r="AZ29" s="278">
        <v>0.70434782608695656</v>
      </c>
      <c r="BA29" s="358">
        <v>0.73113207547169812</v>
      </c>
      <c r="BB29" s="248" t="s">
        <v>237</v>
      </c>
      <c r="BC29" s="248">
        <v>0</v>
      </c>
      <c r="BD29" s="248">
        <v>0</v>
      </c>
      <c r="BE29" s="248">
        <v>0</v>
      </c>
      <c r="BF29" s="248">
        <v>0</v>
      </c>
      <c r="BG29" s="248"/>
      <c r="BH29" s="248"/>
      <c r="BI29" s="248"/>
      <c r="BJ29" s="248"/>
      <c r="BK29" s="248"/>
      <c r="BL29" s="248"/>
      <c r="BM29" s="248"/>
      <c r="BN29" s="248"/>
      <c r="BO29" s="279">
        <v>729</v>
      </c>
      <c r="BP29" s="279">
        <v>976</v>
      </c>
      <c r="BQ29" s="279">
        <v>306</v>
      </c>
      <c r="BR29" s="248">
        <v>321</v>
      </c>
      <c r="BS29" s="279">
        <v>1035</v>
      </c>
      <c r="BT29" s="279">
        <v>2332</v>
      </c>
    </row>
    <row r="30" spans="2:72" x14ac:dyDescent="0.3">
      <c r="B30" s="106">
        <v>1999</v>
      </c>
      <c r="C30" s="107">
        <f t="shared" si="8"/>
        <v>8947.5082872928197</v>
      </c>
      <c r="D30" s="107">
        <v>2395</v>
      </c>
      <c r="E30" s="108">
        <v>163</v>
      </c>
      <c r="F30" s="107">
        <v>2232</v>
      </c>
      <c r="G30" s="108">
        <v>515</v>
      </c>
      <c r="H30" s="108">
        <v>11</v>
      </c>
      <c r="I30" s="108">
        <v>905</v>
      </c>
      <c r="J30" s="108"/>
      <c r="K30" s="107">
        <f t="shared" si="9"/>
        <v>6552.5082872928197</v>
      </c>
      <c r="L30" s="107">
        <f t="shared" si="10"/>
        <v>445.95359116022109</v>
      </c>
      <c r="M30" s="107">
        <f t="shared" si="11"/>
        <v>6106.5546961325981</v>
      </c>
      <c r="N30" s="107">
        <f t="shared" si="12"/>
        <v>1408.994475138122</v>
      </c>
      <c r="O30" s="107">
        <f t="shared" si="13"/>
        <v>30.095027624309402</v>
      </c>
      <c r="P30" s="108"/>
      <c r="Q30" s="107">
        <f t="shared" si="17"/>
        <v>608.95359116022109</v>
      </c>
      <c r="R30" s="107">
        <f t="shared" si="18"/>
        <v>1923.994475138122</v>
      </c>
      <c r="S30" s="107">
        <f t="shared" si="19"/>
        <v>41.095027624309402</v>
      </c>
      <c r="T30" s="108"/>
      <c r="U30" s="245">
        <f t="shared" si="2"/>
        <v>6.8058455114822544E-2</v>
      </c>
      <c r="V30" s="245">
        <f t="shared" si="3"/>
        <v>0.21503131524008351</v>
      </c>
      <c r="W30" s="245">
        <f t="shared" si="4"/>
        <v>0.28768267223382044</v>
      </c>
      <c r="X30" s="245">
        <f t="shared" si="5"/>
        <v>4.5929018789144047E-3</v>
      </c>
      <c r="Y30" s="247">
        <f t="shared" si="7"/>
        <v>7.2651356993736954E-2</v>
      </c>
      <c r="Z30" s="246">
        <f t="shared" si="6"/>
        <v>0.37787056367432148</v>
      </c>
      <c r="AA30" s="270">
        <v>7.3012677151589322E-2</v>
      </c>
      <c r="AB30" s="270">
        <v>0.23076273893989355</v>
      </c>
      <c r="AC30" s="270">
        <v>0.30377541609148284</v>
      </c>
      <c r="AD30" s="351"/>
      <c r="AE30" s="246">
        <f t="shared" si="14"/>
        <v>0.2307347670250896</v>
      </c>
      <c r="AF30" s="246">
        <f t="shared" si="15"/>
        <v>4.9283154121863796E-3</v>
      </c>
      <c r="AG30" s="246">
        <f t="shared" si="21"/>
        <v>0.23566308243727599</v>
      </c>
      <c r="AH30" s="108"/>
      <c r="AI30" s="11">
        <v>6531</v>
      </c>
      <c r="AJ30" s="11">
        <v>3489</v>
      </c>
      <c r="AK30" s="108"/>
      <c r="AL30" s="108">
        <v>5226</v>
      </c>
      <c r="AM30" s="276">
        <f t="shared" si="20"/>
        <v>5237</v>
      </c>
      <c r="AO30" s="280">
        <v>2476</v>
      </c>
      <c r="AP30" s="280">
        <v>1039</v>
      </c>
      <c r="AQ30" s="271">
        <v>905</v>
      </c>
      <c r="AR30" s="280">
        <v>817</v>
      </c>
      <c r="AS30" s="371">
        <f t="shared" si="16"/>
        <v>0.73232771369417338</v>
      </c>
      <c r="AT30" s="280"/>
      <c r="AU30" s="277">
        <v>956</v>
      </c>
      <c r="AV30" s="277">
        <v>355</v>
      </c>
      <c r="AW30" s="277">
        <v>905</v>
      </c>
      <c r="AX30" s="277">
        <v>817</v>
      </c>
      <c r="AY30" s="277">
        <v>3033</v>
      </c>
      <c r="AZ30" s="278">
        <v>0.51370231058570659</v>
      </c>
      <c r="BA30" s="358">
        <v>0.43224530168150344</v>
      </c>
      <c r="BB30" s="248" t="s">
        <v>237</v>
      </c>
      <c r="BC30" s="248">
        <v>0</v>
      </c>
      <c r="BD30" s="248">
        <v>0</v>
      </c>
      <c r="BE30" s="248">
        <v>0</v>
      </c>
      <c r="BF30" s="248">
        <v>0</v>
      </c>
      <c r="BG30" s="248"/>
      <c r="BH30" s="248"/>
      <c r="BI30" s="248"/>
      <c r="BJ30" s="248"/>
      <c r="BK30" s="248"/>
      <c r="BL30" s="248"/>
      <c r="BM30" s="248"/>
      <c r="BN30" s="248"/>
      <c r="BO30" s="279">
        <v>956</v>
      </c>
      <c r="BP30" s="279">
        <v>355</v>
      </c>
      <c r="BQ30" s="279">
        <v>905</v>
      </c>
      <c r="BR30" s="248">
        <v>817</v>
      </c>
      <c r="BS30" s="279">
        <v>1861</v>
      </c>
      <c r="BT30" s="279">
        <v>3033</v>
      </c>
    </row>
    <row r="31" spans="2:72" x14ac:dyDescent="0.3">
      <c r="B31" s="106">
        <v>2000</v>
      </c>
      <c r="C31" s="107">
        <f t="shared" si="8"/>
        <v>8404.8153310104517</v>
      </c>
      <c r="D31" s="107">
        <v>2612</v>
      </c>
      <c r="E31" s="108">
        <v>179</v>
      </c>
      <c r="F31" s="107">
        <v>2432</v>
      </c>
      <c r="G31" s="108">
        <v>520</v>
      </c>
      <c r="H31" s="108">
        <v>9</v>
      </c>
      <c r="I31" s="107">
        <v>1148</v>
      </c>
      <c r="J31" s="107"/>
      <c r="K31" s="107">
        <f t="shared" si="9"/>
        <v>5792.8153310104517</v>
      </c>
      <c r="L31" s="107">
        <f t="shared" si="10"/>
        <v>396.98083623693367</v>
      </c>
      <c r="M31" s="107">
        <f t="shared" si="11"/>
        <v>5393.6167247386747</v>
      </c>
      <c r="N31" s="107">
        <f t="shared" si="12"/>
        <v>1153.2404181184666</v>
      </c>
      <c r="O31" s="107">
        <f t="shared" si="13"/>
        <v>19.959930313588846</v>
      </c>
      <c r="P31" s="107"/>
      <c r="Q31" s="107">
        <f t="shared" si="17"/>
        <v>575.98083623693367</v>
      </c>
      <c r="R31" s="107">
        <f t="shared" si="18"/>
        <v>1673.2404181184666</v>
      </c>
      <c r="S31" s="107">
        <f t="shared" si="19"/>
        <v>28.959930313588846</v>
      </c>
      <c r="T31" s="107"/>
      <c r="U31" s="245">
        <f t="shared" si="2"/>
        <v>6.8529862174578862E-2</v>
      </c>
      <c r="V31" s="245">
        <f t="shared" si="3"/>
        <v>0.19908116385911179</v>
      </c>
      <c r="W31" s="245">
        <f t="shared" si="4"/>
        <v>0.27105666156202146</v>
      </c>
      <c r="X31" s="245">
        <f t="shared" si="5"/>
        <v>3.4456355283307809E-3</v>
      </c>
      <c r="Y31" s="247">
        <f t="shared" si="7"/>
        <v>7.1975497702909647E-2</v>
      </c>
      <c r="Z31" s="246">
        <f t="shared" si="6"/>
        <v>0.43950995405819293</v>
      </c>
      <c r="AA31" s="270">
        <v>7.3377821769532878E-2</v>
      </c>
      <c r="AB31" s="270">
        <v>0.21396596315335739</v>
      </c>
      <c r="AC31" s="270">
        <v>0.28735017082282321</v>
      </c>
      <c r="AD31" s="351"/>
      <c r="AE31" s="246">
        <f t="shared" si="14"/>
        <v>0.21381578947368421</v>
      </c>
      <c r="AF31" s="246">
        <f t="shared" si="15"/>
        <v>3.7006578947368419E-3</v>
      </c>
      <c r="AG31" s="246">
        <f t="shared" si="21"/>
        <v>0.21751644736842105</v>
      </c>
      <c r="AH31" s="107"/>
      <c r="AI31" s="11">
        <v>6485</v>
      </c>
      <c r="AJ31" s="11">
        <v>9864</v>
      </c>
      <c r="AK31" s="107"/>
      <c r="AL31" s="107">
        <v>10824</v>
      </c>
      <c r="AM31" s="276">
        <f t="shared" si="20"/>
        <v>10824</v>
      </c>
      <c r="AO31" s="280">
        <v>2546</v>
      </c>
      <c r="AP31" s="280">
        <v>4890</v>
      </c>
      <c r="AQ31" s="271">
        <v>1148</v>
      </c>
      <c r="AR31" s="280">
        <v>2240</v>
      </c>
      <c r="AS31" s="371">
        <f t="shared" si="16"/>
        <v>0.68922577152138598</v>
      </c>
      <c r="AT31" s="280"/>
      <c r="AU31" s="277">
        <v>1516</v>
      </c>
      <c r="AV31" s="277">
        <v>3257</v>
      </c>
      <c r="AW31" s="277">
        <v>1148</v>
      </c>
      <c r="AX31" s="277">
        <v>2240</v>
      </c>
      <c r="AY31" s="277">
        <v>8161</v>
      </c>
      <c r="AZ31" s="278">
        <v>0.56906906906906907</v>
      </c>
      <c r="BA31" s="358">
        <v>0.58485479720622469</v>
      </c>
      <c r="BB31" s="248" t="s">
        <v>239</v>
      </c>
      <c r="BC31" s="248">
        <v>0</v>
      </c>
      <c r="BD31" s="248">
        <v>0</v>
      </c>
      <c r="BE31" s="248">
        <v>0</v>
      </c>
      <c r="BF31" s="248">
        <v>0</v>
      </c>
      <c r="BG31" s="248"/>
      <c r="BH31" s="248"/>
      <c r="BI31" s="248"/>
      <c r="BJ31" s="248"/>
      <c r="BK31" s="248"/>
      <c r="BL31" s="248"/>
      <c r="BM31" s="248"/>
      <c r="BN31" s="248"/>
      <c r="BO31" s="279">
        <v>1516</v>
      </c>
      <c r="BP31" s="279">
        <v>3257</v>
      </c>
      <c r="BQ31" s="279">
        <v>1148</v>
      </c>
      <c r="BR31" s="248">
        <v>2240</v>
      </c>
      <c r="BS31" s="279">
        <v>2664</v>
      </c>
      <c r="BT31" s="279">
        <v>8161</v>
      </c>
    </row>
    <row r="32" spans="2:72" x14ac:dyDescent="0.3">
      <c r="B32" s="106">
        <v>2001</v>
      </c>
      <c r="C32" s="107">
        <f t="shared" si="8"/>
        <v>24403.582219639742</v>
      </c>
      <c r="D32" s="107">
        <v>14133</v>
      </c>
      <c r="E32" s="108">
        <v>778</v>
      </c>
      <c r="F32" s="107">
        <v>13355</v>
      </c>
      <c r="G32" s="107">
        <v>2020</v>
      </c>
      <c r="H32" s="108">
        <v>63</v>
      </c>
      <c r="I32" s="107">
        <v>5163</v>
      </c>
      <c r="J32" s="107"/>
      <c r="K32" s="107">
        <f t="shared" si="9"/>
        <v>10270.582219639744</v>
      </c>
      <c r="L32" s="107">
        <f t="shared" si="10"/>
        <v>565.37981793530901</v>
      </c>
      <c r="M32" s="107">
        <f t="shared" si="11"/>
        <v>9705.2024017044369</v>
      </c>
      <c r="N32" s="107">
        <f t="shared" si="12"/>
        <v>1467.9527406546583</v>
      </c>
      <c r="O32" s="107">
        <f t="shared" si="13"/>
        <v>45.782684485764094</v>
      </c>
      <c r="P32" s="107"/>
      <c r="Q32" s="107">
        <f t="shared" si="17"/>
        <v>1343.3798179353089</v>
      </c>
      <c r="R32" s="107">
        <f t="shared" si="18"/>
        <v>3487.9527406546586</v>
      </c>
      <c r="S32" s="107">
        <f t="shared" si="19"/>
        <v>108.78268448576409</v>
      </c>
      <c r="T32" s="107"/>
      <c r="U32" s="245">
        <f t="shared" si="2"/>
        <v>5.5048468124248212E-2</v>
      </c>
      <c r="V32" s="245">
        <f t="shared" si="3"/>
        <v>0.14292789924290666</v>
      </c>
      <c r="W32" s="245">
        <f t="shared" si="4"/>
        <v>0.20243401967027524</v>
      </c>
      <c r="X32" s="245">
        <f t="shared" si="5"/>
        <v>4.4576523031203564E-3</v>
      </c>
      <c r="Y32" s="247">
        <f t="shared" si="7"/>
        <v>5.9506120427368567E-2</v>
      </c>
      <c r="Z32" s="246">
        <f t="shared" si="6"/>
        <v>0.36531521969857778</v>
      </c>
      <c r="AA32" s="270">
        <v>6.0991410103027117E-2</v>
      </c>
      <c r="AB32" s="270">
        <v>0.1512656757012644</v>
      </c>
      <c r="AC32" s="270">
        <v>0.21225708580429151</v>
      </c>
      <c r="AD32" s="351"/>
      <c r="AE32" s="246">
        <f t="shared" si="14"/>
        <v>0.1512542119056533</v>
      </c>
      <c r="AF32" s="246">
        <f t="shared" si="15"/>
        <v>4.7173343317109696E-3</v>
      </c>
      <c r="AG32" s="246">
        <f t="shared" si="21"/>
        <v>0.15597154623736428</v>
      </c>
      <c r="AH32" s="107"/>
      <c r="AI32" s="11">
        <v>13501</v>
      </c>
      <c r="AJ32" s="11">
        <v>10169</v>
      </c>
      <c r="AK32" s="107"/>
      <c r="AL32" s="107">
        <v>17715</v>
      </c>
      <c r="AM32" s="276">
        <f t="shared" si="20"/>
        <v>17749</v>
      </c>
      <c r="AO32" s="280">
        <v>3752</v>
      </c>
      <c r="AP32" s="280">
        <v>8316</v>
      </c>
      <c r="AQ32" s="271">
        <v>5163</v>
      </c>
      <c r="AR32" s="280">
        <v>518</v>
      </c>
      <c r="AS32" s="371">
        <f t="shared" si="16"/>
        <v>0.42086371284352214</v>
      </c>
      <c r="AT32" s="280"/>
      <c r="AU32" s="277">
        <v>5344</v>
      </c>
      <c r="AV32" s="277">
        <v>3824</v>
      </c>
      <c r="AW32" s="277">
        <v>5163</v>
      </c>
      <c r="AX32" s="277">
        <v>518</v>
      </c>
      <c r="AY32" s="277">
        <v>14849</v>
      </c>
      <c r="AZ32" s="278">
        <v>0.50861330541543737</v>
      </c>
      <c r="BA32" s="358">
        <v>0.61741531416256989</v>
      </c>
      <c r="BB32" s="248" t="s">
        <v>239</v>
      </c>
      <c r="BC32" s="248">
        <v>0</v>
      </c>
      <c r="BD32" s="248">
        <v>0</v>
      </c>
      <c r="BE32" s="248">
        <v>0</v>
      </c>
      <c r="BF32" s="248">
        <v>0</v>
      </c>
      <c r="BG32" s="248"/>
      <c r="BH32" s="248"/>
      <c r="BI32" s="248"/>
      <c r="BJ32" s="248"/>
      <c r="BK32" s="248"/>
      <c r="BL32" s="248"/>
      <c r="BM32" s="248"/>
      <c r="BN32" s="248"/>
      <c r="BO32" s="279">
        <v>5344</v>
      </c>
      <c r="BP32" s="279">
        <v>3824</v>
      </c>
      <c r="BQ32" s="279">
        <v>5163</v>
      </c>
      <c r="BR32" s="248">
        <v>518</v>
      </c>
      <c r="BS32" s="279">
        <v>10507</v>
      </c>
      <c r="BT32" s="279">
        <v>14849</v>
      </c>
    </row>
    <row r="33" spans="2:72" x14ac:dyDescent="0.3">
      <c r="B33" s="106">
        <v>2002</v>
      </c>
      <c r="C33" s="107">
        <f t="shared" si="8"/>
        <v>21392.445652173908</v>
      </c>
      <c r="D33" s="107">
        <v>3665</v>
      </c>
      <c r="E33" s="108">
        <v>250</v>
      </c>
      <c r="F33" s="107">
        <v>3416</v>
      </c>
      <c r="G33" s="108">
        <v>709</v>
      </c>
      <c r="H33" s="108">
        <v>11</v>
      </c>
      <c r="I33" s="107">
        <v>2116</v>
      </c>
      <c r="J33" s="107"/>
      <c r="K33" s="107">
        <f t="shared" si="9"/>
        <v>17727.445652173908</v>
      </c>
      <c r="L33" s="107">
        <f t="shared" si="10"/>
        <v>1209.2391304347823</v>
      </c>
      <c r="M33" s="107">
        <f t="shared" si="11"/>
        <v>16523.043478260865</v>
      </c>
      <c r="N33" s="107">
        <f t="shared" si="12"/>
        <v>3429.4021739130421</v>
      </c>
      <c r="O33" s="107">
        <f t="shared" si="13"/>
        <v>53.206521739130423</v>
      </c>
      <c r="P33" s="107"/>
      <c r="Q33" s="107">
        <f t="shared" si="17"/>
        <v>1459.2391304347823</v>
      </c>
      <c r="R33" s="107">
        <f t="shared" si="18"/>
        <v>4138.4021739130421</v>
      </c>
      <c r="S33" s="107">
        <f t="shared" si="19"/>
        <v>64.206521739130423</v>
      </c>
      <c r="T33" s="107"/>
      <c r="U33" s="245">
        <f t="shared" si="2"/>
        <v>6.8212824010914053E-2</v>
      </c>
      <c r="V33" s="245">
        <f t="shared" si="3"/>
        <v>0.19345156889495224</v>
      </c>
      <c r="W33" s="245">
        <f t="shared" si="4"/>
        <v>0.26466575716234653</v>
      </c>
      <c r="X33" s="245">
        <f t="shared" si="5"/>
        <v>3.0013642564802184E-3</v>
      </c>
      <c r="Y33" s="247">
        <f t="shared" si="7"/>
        <v>7.1214188267394271E-2</v>
      </c>
      <c r="Z33" s="246">
        <f t="shared" si="6"/>
        <v>0.57735334242837655</v>
      </c>
      <c r="AA33" s="270">
        <v>7.2123570907321813E-2</v>
      </c>
      <c r="AB33" s="270">
        <v>0.20746705395853307</v>
      </c>
      <c r="AC33" s="270">
        <v>0.27959777927225382</v>
      </c>
      <c r="AD33" s="351"/>
      <c r="AE33" s="246">
        <f t="shared" si="14"/>
        <v>0.20755269320843092</v>
      </c>
      <c r="AF33" s="246">
        <f t="shared" si="15"/>
        <v>3.2201405152224825E-3</v>
      </c>
      <c r="AG33" s="246">
        <f t="shared" si="21"/>
        <v>0.21077283372365341</v>
      </c>
      <c r="AH33" s="107"/>
      <c r="AI33" s="11">
        <v>15224</v>
      </c>
      <c r="AJ33" s="11">
        <v>6079</v>
      </c>
      <c r="AK33" s="107"/>
      <c r="AL33" s="107">
        <v>18057</v>
      </c>
      <c r="AM33" s="276">
        <f t="shared" si="20"/>
        <v>18076</v>
      </c>
      <c r="AO33" s="280">
        <v>10235</v>
      </c>
      <c r="AP33" s="280">
        <v>4219</v>
      </c>
      <c r="AQ33" s="271">
        <v>2116</v>
      </c>
      <c r="AR33" s="280">
        <v>1506</v>
      </c>
      <c r="AS33" s="371">
        <f t="shared" si="16"/>
        <v>0.82867783985102417</v>
      </c>
      <c r="AT33" s="280"/>
      <c r="AU33" s="277">
        <v>7999</v>
      </c>
      <c r="AV33" s="277">
        <v>4359</v>
      </c>
      <c r="AW33" s="277">
        <v>2116</v>
      </c>
      <c r="AX33" s="277">
        <v>1506</v>
      </c>
      <c r="AY33" s="277">
        <v>15980</v>
      </c>
      <c r="AZ33" s="278">
        <v>0.79080573405832921</v>
      </c>
      <c r="BA33" s="358">
        <v>0.77334167709637047</v>
      </c>
      <c r="BB33" s="248" t="s">
        <v>239</v>
      </c>
      <c r="BC33" s="248">
        <v>0</v>
      </c>
      <c r="BD33" s="248">
        <v>0</v>
      </c>
      <c r="BE33" s="248">
        <v>0</v>
      </c>
      <c r="BF33" s="248">
        <v>0</v>
      </c>
      <c r="BG33" s="248"/>
      <c r="BH33" s="248"/>
      <c r="BI33" s="248"/>
      <c r="BJ33" s="248">
        <v>0</v>
      </c>
      <c r="BK33" s="248">
        <v>0</v>
      </c>
      <c r="BL33" s="248">
        <v>0</v>
      </c>
      <c r="BM33" s="248">
        <v>0</v>
      </c>
      <c r="BN33" s="248"/>
      <c r="BO33" s="279">
        <v>7999</v>
      </c>
      <c r="BP33" s="279">
        <v>4359</v>
      </c>
      <c r="BQ33" s="279">
        <v>2116</v>
      </c>
      <c r="BR33" s="248">
        <v>1506</v>
      </c>
      <c r="BS33" s="279">
        <v>10115</v>
      </c>
      <c r="BT33" s="279">
        <v>15980</v>
      </c>
    </row>
    <row r="34" spans="2:72" x14ac:dyDescent="0.3">
      <c r="B34" s="106">
        <v>2003</v>
      </c>
      <c r="C34" s="107">
        <f t="shared" si="8"/>
        <v>18986.268089053803</v>
      </c>
      <c r="D34" s="107">
        <v>8093</v>
      </c>
      <c r="E34" s="108">
        <v>675</v>
      </c>
      <c r="F34" s="107">
        <v>7417</v>
      </c>
      <c r="G34" s="108">
        <v>953</v>
      </c>
      <c r="H34" s="108">
        <v>33</v>
      </c>
      <c r="I34" s="254">
        <v>5390</v>
      </c>
      <c r="J34" s="254"/>
      <c r="K34" s="107">
        <f t="shared" si="9"/>
        <v>10893.268089053803</v>
      </c>
      <c r="L34" s="107">
        <f t="shared" si="10"/>
        <v>908.55751391465674</v>
      </c>
      <c r="M34" s="107">
        <f t="shared" si="11"/>
        <v>9983.364564007421</v>
      </c>
      <c r="N34" s="107">
        <f t="shared" si="12"/>
        <v>1282.748608534323</v>
      </c>
      <c r="O34" s="107">
        <f t="shared" si="13"/>
        <v>44.41836734693878</v>
      </c>
      <c r="P34" s="254"/>
      <c r="Q34" s="107">
        <f t="shared" si="17"/>
        <v>1583.5575139146567</v>
      </c>
      <c r="R34" s="107">
        <f t="shared" si="18"/>
        <v>2235.748608534323</v>
      </c>
      <c r="S34" s="107">
        <f t="shared" si="19"/>
        <v>77.41836734693878</v>
      </c>
      <c r="T34" s="254"/>
      <c r="U34" s="245">
        <f t="shared" si="2"/>
        <v>8.3405412084517488E-2</v>
      </c>
      <c r="V34" s="245">
        <f t="shared" si="3"/>
        <v>0.11775608550599283</v>
      </c>
      <c r="W34" s="245">
        <f t="shared" si="4"/>
        <v>0.20523909551464228</v>
      </c>
      <c r="X34" s="245">
        <f t="shared" si="5"/>
        <v>4.0775979241319659E-3</v>
      </c>
      <c r="Y34" s="247">
        <f t="shared" si="7"/>
        <v>8.7483010008649456E-2</v>
      </c>
      <c r="Z34" s="246">
        <f t="shared" si="6"/>
        <v>0.66600766094155439</v>
      </c>
      <c r="AA34" s="270">
        <v>8.844756437188965E-2</v>
      </c>
      <c r="AB34" s="270">
        <v>0.12844978270979329</v>
      </c>
      <c r="AC34" s="270">
        <v>0.21689734708168296</v>
      </c>
      <c r="AD34" s="351"/>
      <c r="AE34" s="246">
        <f t="shared" si="14"/>
        <v>0.12848860725360658</v>
      </c>
      <c r="AF34" s="246">
        <f t="shared" si="15"/>
        <v>4.4492382364837539E-3</v>
      </c>
      <c r="AG34" s="246">
        <f t="shared" si="21"/>
        <v>0.13293784549009033</v>
      </c>
      <c r="AH34" s="107"/>
      <c r="AI34" s="11">
        <v>20986</v>
      </c>
      <c r="AJ34" s="11">
        <v>10665</v>
      </c>
      <c r="AK34" s="107"/>
      <c r="AL34" s="107">
        <v>20208</v>
      </c>
      <c r="AM34" s="276">
        <f t="shared" si="20"/>
        <v>19200</v>
      </c>
      <c r="AO34" s="280">
        <v>7255</v>
      </c>
      <c r="AP34" s="280">
        <v>5110</v>
      </c>
      <c r="AQ34" s="271">
        <v>5390</v>
      </c>
      <c r="AR34" s="280">
        <v>1445</v>
      </c>
      <c r="AS34" s="371">
        <f t="shared" si="16"/>
        <v>0.57374456306840649</v>
      </c>
      <c r="AT34" s="280"/>
      <c r="AU34" s="279">
        <v>6333.3861313677644</v>
      </c>
      <c r="AV34" s="279">
        <v>4352.2161886073536</v>
      </c>
      <c r="AW34" s="279">
        <v>5390.2965020569309</v>
      </c>
      <c r="AX34" s="279">
        <v>1431.616082745428</v>
      </c>
      <c r="AY34" s="279">
        <v>17507.514904777476</v>
      </c>
      <c r="AZ34" s="278">
        <v>0.54022156086953632</v>
      </c>
      <c r="BA34" s="358">
        <v>0.61034375113164774</v>
      </c>
      <c r="BB34" s="248" t="s">
        <v>240</v>
      </c>
      <c r="BC34" s="248">
        <v>0</v>
      </c>
      <c r="BD34" s="248">
        <v>0</v>
      </c>
      <c r="BE34" s="248">
        <v>0</v>
      </c>
      <c r="BF34" s="248">
        <v>0</v>
      </c>
      <c r="BG34" s="248"/>
      <c r="BH34" s="248"/>
      <c r="BI34" s="248"/>
      <c r="BJ34" s="248">
        <v>191</v>
      </c>
      <c r="BK34" s="248">
        <v>142</v>
      </c>
      <c r="BL34" s="248">
        <v>49</v>
      </c>
      <c r="BM34" s="248">
        <v>2</v>
      </c>
      <c r="BN34" s="248"/>
      <c r="BO34" s="279">
        <v>6233.7792203730005</v>
      </c>
      <c r="BP34" s="279">
        <v>4352.2161886073536</v>
      </c>
      <c r="BQ34" s="279">
        <v>5300.9034130516948</v>
      </c>
      <c r="BR34" s="279">
        <v>1431.616082745428</v>
      </c>
      <c r="BS34" s="279">
        <v>11534.682633424694</v>
      </c>
      <c r="BT34" s="279">
        <v>17318.514904777479</v>
      </c>
    </row>
    <row r="35" spans="2:72" x14ac:dyDescent="0.3">
      <c r="B35" s="106">
        <v>2004</v>
      </c>
      <c r="C35" s="107">
        <f t="shared" si="8"/>
        <v>21246.281397283063</v>
      </c>
      <c r="D35" s="107">
        <v>8174</v>
      </c>
      <c r="E35" s="108">
        <v>706</v>
      </c>
      <c r="F35" s="107">
        <v>7467</v>
      </c>
      <c r="G35" s="108">
        <v>877</v>
      </c>
      <c r="H35" s="108">
        <v>21</v>
      </c>
      <c r="I35" s="254">
        <v>7214</v>
      </c>
      <c r="J35" s="254"/>
      <c r="K35" s="107">
        <f t="shared" si="9"/>
        <v>13072.281397283063</v>
      </c>
      <c r="L35" s="107">
        <f t="shared" si="10"/>
        <v>1129.071527585251</v>
      </c>
      <c r="M35" s="107">
        <f t="shared" si="11"/>
        <v>11941.610618242306</v>
      </c>
      <c r="N35" s="107">
        <f t="shared" si="12"/>
        <v>1402.5435264762964</v>
      </c>
      <c r="O35" s="107">
        <f t="shared" si="13"/>
        <v>33.584280565566957</v>
      </c>
      <c r="P35" s="254"/>
      <c r="Q35" s="107">
        <f t="shared" si="17"/>
        <v>1835.071527585251</v>
      </c>
      <c r="R35" s="107">
        <f t="shared" si="18"/>
        <v>2279.5435264762964</v>
      </c>
      <c r="S35" s="107">
        <f t="shared" si="19"/>
        <v>54.584280565566957</v>
      </c>
      <c r="T35" s="254"/>
      <c r="U35" s="245">
        <f t="shared" si="2"/>
        <v>8.6371421580621485E-2</v>
      </c>
      <c r="V35" s="245">
        <f t="shared" si="3"/>
        <v>0.10729141179349155</v>
      </c>
      <c r="W35" s="245">
        <f t="shared" si="4"/>
        <v>0.19623195497920234</v>
      </c>
      <c r="X35" s="245">
        <f t="shared" si="5"/>
        <v>2.5691216050893074E-3</v>
      </c>
      <c r="Y35" s="247">
        <f t="shared" si="7"/>
        <v>8.8940543185710791E-2</v>
      </c>
      <c r="Z35" s="246">
        <f t="shared" si="6"/>
        <v>0.88255444091020308</v>
      </c>
      <c r="AA35" s="270">
        <v>8.9614447470259428E-2</v>
      </c>
      <c r="AB35" s="270">
        <v>0.11742704049569465</v>
      </c>
      <c r="AC35" s="270">
        <v>0.20704148796595406</v>
      </c>
      <c r="AD35" s="351"/>
      <c r="AE35" s="246">
        <f t="shared" si="14"/>
        <v>0.11745011383420383</v>
      </c>
      <c r="AF35" s="246">
        <f t="shared" si="15"/>
        <v>2.8123744475693048E-3</v>
      </c>
      <c r="AG35" s="246">
        <f t="shared" si="21"/>
        <v>0.12026248828177313</v>
      </c>
      <c r="AH35" s="107"/>
      <c r="AI35" s="11">
        <v>21097</v>
      </c>
      <c r="AJ35" s="11">
        <v>11167</v>
      </c>
      <c r="AK35" s="107"/>
      <c r="AL35" s="107">
        <v>22560</v>
      </c>
      <c r="AM35" s="276">
        <f t="shared" si="20"/>
        <v>21758</v>
      </c>
      <c r="AO35" s="280">
        <v>11537</v>
      </c>
      <c r="AP35" s="280">
        <v>2222</v>
      </c>
      <c r="AQ35" s="271">
        <v>7214</v>
      </c>
      <c r="AR35" s="280">
        <v>785</v>
      </c>
      <c r="AS35" s="371">
        <f t="shared" si="16"/>
        <v>0.61527385206122343</v>
      </c>
      <c r="AT35" s="280"/>
      <c r="AU35" s="279">
        <v>9521.2183637663693</v>
      </c>
      <c r="AV35" s="279">
        <v>1753.1642481706333</v>
      </c>
      <c r="AW35" s="279">
        <v>6087.4399313666609</v>
      </c>
      <c r="AX35" s="279">
        <v>620.2302509650309</v>
      </c>
      <c r="AY35" s="279">
        <v>17982.052794268697</v>
      </c>
      <c r="AZ35" s="278">
        <v>0.60999595120454397</v>
      </c>
      <c r="BA35" s="358">
        <v>0.62697973034148879</v>
      </c>
      <c r="BB35" s="248" t="s">
        <v>240</v>
      </c>
      <c r="BC35" s="248">
        <v>0</v>
      </c>
      <c r="BD35" s="248">
        <v>0</v>
      </c>
      <c r="BE35" s="248">
        <v>0</v>
      </c>
      <c r="BF35" s="248">
        <v>0</v>
      </c>
      <c r="BG35" s="248"/>
      <c r="BH35" s="248"/>
      <c r="BI35" s="248"/>
      <c r="BJ35" s="248">
        <v>725</v>
      </c>
      <c r="BK35" s="248">
        <v>444</v>
      </c>
      <c r="BL35" s="248">
        <v>201</v>
      </c>
      <c r="BM35" s="248">
        <v>80</v>
      </c>
      <c r="BN35" s="248"/>
      <c r="BO35" s="279">
        <v>9203.0685963245087</v>
      </c>
      <c r="BP35" s="279">
        <v>1753.1642481706333</v>
      </c>
      <c r="BQ35" s="279">
        <v>5840.5896988085215</v>
      </c>
      <c r="BR35" s="279">
        <v>620.2302509650309</v>
      </c>
      <c r="BS35" s="279">
        <v>15043.658295133031</v>
      </c>
      <c r="BT35" s="279">
        <v>17417.052794268697</v>
      </c>
    </row>
    <row r="36" spans="2:72" x14ac:dyDescent="0.3">
      <c r="B36" s="106">
        <v>2005</v>
      </c>
      <c r="C36" s="107">
        <f t="shared" si="8"/>
        <v>21414.912111261347</v>
      </c>
      <c r="D36" s="107">
        <v>9500</v>
      </c>
      <c r="E36" s="108">
        <v>779</v>
      </c>
      <c r="F36" s="107">
        <v>8721</v>
      </c>
      <c r="G36" s="107">
        <v>1434</v>
      </c>
      <c r="H36" s="108">
        <v>49</v>
      </c>
      <c r="I36" s="107">
        <v>5177</v>
      </c>
      <c r="J36" s="107"/>
      <c r="K36" s="107">
        <f t="shared" si="9"/>
        <v>11914.912111261347</v>
      </c>
      <c r="L36" s="107">
        <f t="shared" si="10"/>
        <v>977.02279312343057</v>
      </c>
      <c r="M36" s="107">
        <f t="shared" si="11"/>
        <v>10937.889318137917</v>
      </c>
      <c r="N36" s="107">
        <f t="shared" si="12"/>
        <v>1798.5246281630289</v>
      </c>
      <c r="O36" s="107">
        <f t="shared" si="13"/>
        <v>61.455862468611159</v>
      </c>
      <c r="P36" s="107"/>
      <c r="Q36" s="107">
        <f t="shared" si="17"/>
        <v>1756.0227931234306</v>
      </c>
      <c r="R36" s="107">
        <f t="shared" si="18"/>
        <v>3232.5246281630289</v>
      </c>
      <c r="S36" s="107">
        <f t="shared" si="19"/>
        <v>110.45586246861116</v>
      </c>
      <c r="T36" s="107"/>
      <c r="U36" s="245">
        <f t="shared" si="2"/>
        <v>8.2000000000000003E-2</v>
      </c>
      <c r="V36" s="245">
        <f t="shared" si="3"/>
        <v>0.15094736842105264</v>
      </c>
      <c r="W36" s="245">
        <f t="shared" si="4"/>
        <v>0.23810526315789474</v>
      </c>
      <c r="X36" s="245">
        <f t="shared" si="5"/>
        <v>5.1578947368421052E-3</v>
      </c>
      <c r="Y36" s="247">
        <f t="shared" si="7"/>
        <v>8.7157894736842115E-2</v>
      </c>
      <c r="Z36" s="246">
        <f t="shared" si="6"/>
        <v>0.54494736842105262</v>
      </c>
      <c r="AA36" s="270">
        <v>8.8398036365472638E-2</v>
      </c>
      <c r="AB36" s="270">
        <v>0.16444176727107462</v>
      </c>
      <c r="AC36" s="270">
        <v>0.25283980363654723</v>
      </c>
      <c r="AD36" s="351"/>
      <c r="AE36" s="246">
        <f t="shared" si="14"/>
        <v>0.16443068455452356</v>
      </c>
      <c r="AF36" s="246">
        <f t="shared" si="15"/>
        <v>5.6186217176929249E-3</v>
      </c>
      <c r="AG36" s="246">
        <f t="shared" si="21"/>
        <v>0.17004930627221648</v>
      </c>
      <c r="AH36" s="107"/>
      <c r="AI36" s="11">
        <v>14677</v>
      </c>
      <c r="AJ36" s="11">
        <v>4561</v>
      </c>
      <c r="AK36" s="107"/>
      <c r="AL36" s="107">
        <v>14430</v>
      </c>
      <c r="AM36" s="276">
        <f t="shared" si="20"/>
        <v>13899</v>
      </c>
      <c r="AO36" s="280">
        <v>6493</v>
      </c>
      <c r="AP36" s="280">
        <v>1318</v>
      </c>
      <c r="AQ36" s="271">
        <v>5177</v>
      </c>
      <c r="AR36" s="280">
        <v>911</v>
      </c>
      <c r="AS36" s="371">
        <f t="shared" si="16"/>
        <v>0.55638389031705227</v>
      </c>
      <c r="AT36" s="280"/>
      <c r="AU36" s="279">
        <v>5339.7747906682516</v>
      </c>
      <c r="AV36" s="279">
        <v>1071.8775021606123</v>
      </c>
      <c r="AW36" s="279">
        <v>4583.7662060205421</v>
      </c>
      <c r="AX36" s="279">
        <v>884.21447978779452</v>
      </c>
      <c r="AY36" s="279">
        <v>11879.632978637199</v>
      </c>
      <c r="AZ36" s="278">
        <v>0.53809167437812622</v>
      </c>
      <c r="BA36" s="358">
        <v>0.53971804552874258</v>
      </c>
      <c r="BB36" s="248" t="s">
        <v>240</v>
      </c>
      <c r="BC36" s="248">
        <v>0</v>
      </c>
      <c r="BD36" s="248">
        <v>0</v>
      </c>
      <c r="BE36" s="248">
        <v>0</v>
      </c>
      <c r="BF36" s="248">
        <v>0</v>
      </c>
      <c r="BG36" s="248"/>
      <c r="BH36" s="248"/>
      <c r="BI36" s="248"/>
      <c r="BJ36" s="248">
        <v>193</v>
      </c>
      <c r="BK36" s="248">
        <v>83</v>
      </c>
      <c r="BL36" s="248">
        <v>110</v>
      </c>
      <c r="BM36" s="248">
        <v>0</v>
      </c>
      <c r="BN36" s="248"/>
      <c r="BO36" s="279">
        <v>5206.5347906682518</v>
      </c>
      <c r="BP36" s="279">
        <v>1071.8775021606123</v>
      </c>
      <c r="BQ36" s="279">
        <v>4524.0062060205419</v>
      </c>
      <c r="BR36" s="279">
        <v>884.21447978779452</v>
      </c>
      <c r="BS36" s="279">
        <v>9730.5409966887928</v>
      </c>
      <c r="BT36" s="279">
        <v>11686.632978637201</v>
      </c>
    </row>
    <row r="37" spans="2:72" x14ac:dyDescent="0.3">
      <c r="B37" s="106">
        <v>2006</v>
      </c>
      <c r="C37" s="107">
        <f t="shared" si="8"/>
        <v>20402.87299207539</v>
      </c>
      <c r="D37" s="107">
        <v>12202</v>
      </c>
      <c r="E37" s="108">
        <v>928</v>
      </c>
      <c r="F37" s="107">
        <v>11274</v>
      </c>
      <c r="G37" s="107">
        <v>2136</v>
      </c>
      <c r="H37" s="108">
        <v>34</v>
      </c>
      <c r="I37" s="107">
        <v>4669</v>
      </c>
      <c r="J37" s="107"/>
      <c r="K37" s="107">
        <f t="shared" si="9"/>
        <v>8200.8729920753885</v>
      </c>
      <c r="L37" s="107">
        <f t="shared" si="10"/>
        <v>623.70186335403719</v>
      </c>
      <c r="M37" s="107">
        <f t="shared" si="11"/>
        <v>7577.171128721352</v>
      </c>
      <c r="N37" s="107">
        <f t="shared" si="12"/>
        <v>1435.5896337545512</v>
      </c>
      <c r="O37" s="107">
        <f t="shared" si="13"/>
        <v>22.851145855643605</v>
      </c>
      <c r="P37" s="107"/>
      <c r="Q37" s="107">
        <f t="shared" si="17"/>
        <v>1551.7018633540372</v>
      </c>
      <c r="R37" s="107">
        <f t="shared" si="18"/>
        <v>3571.589633754551</v>
      </c>
      <c r="S37" s="107">
        <f t="shared" si="19"/>
        <v>56.851145855643608</v>
      </c>
      <c r="T37" s="107"/>
      <c r="U37" s="245">
        <f t="shared" si="2"/>
        <v>7.6053106048188823E-2</v>
      </c>
      <c r="V37" s="245">
        <f t="shared" si="3"/>
        <v>0.17505326995574497</v>
      </c>
      <c r="W37" s="245">
        <f t="shared" si="4"/>
        <v>0.25389280445828555</v>
      </c>
      <c r="X37" s="245">
        <f t="shared" si="5"/>
        <v>2.7864284543517455E-3</v>
      </c>
      <c r="Y37" s="247">
        <f t="shared" si="7"/>
        <v>7.8839534502540567E-2</v>
      </c>
      <c r="Z37" s="246">
        <f t="shared" si="6"/>
        <v>0.38264218980495002</v>
      </c>
      <c r="AA37" s="270">
        <v>8.0045184252788754E-2</v>
      </c>
      <c r="AB37" s="270">
        <v>0.18946134814879118</v>
      </c>
      <c r="AC37" s="270">
        <v>0.26950653240157996</v>
      </c>
      <c r="AD37" s="351"/>
      <c r="AE37" s="246">
        <f t="shared" si="14"/>
        <v>0.18946248004257585</v>
      </c>
      <c r="AF37" s="246">
        <f t="shared" si="15"/>
        <v>3.0157885400035481E-3</v>
      </c>
      <c r="AG37" s="246">
        <f t="shared" si="21"/>
        <v>0.19247826858257941</v>
      </c>
      <c r="AH37" s="107"/>
      <c r="AI37" s="11">
        <v>10272</v>
      </c>
      <c r="AJ37" s="11">
        <v>6835</v>
      </c>
      <c r="AK37" s="107"/>
      <c r="AL37" s="107">
        <v>14769</v>
      </c>
      <c r="AM37" s="276">
        <f t="shared" si="20"/>
        <v>13877</v>
      </c>
      <c r="AO37" s="280">
        <v>3138</v>
      </c>
      <c r="AP37" s="280">
        <v>4825</v>
      </c>
      <c r="AQ37" s="271">
        <v>4669</v>
      </c>
      <c r="AR37" s="280">
        <v>1245</v>
      </c>
      <c r="AS37" s="371">
        <f t="shared" si="16"/>
        <v>0.4019469706673498</v>
      </c>
      <c r="AT37" s="280"/>
      <c r="AU37" s="279">
        <v>2500.6946250129704</v>
      </c>
      <c r="AV37" s="279">
        <v>3827.9898486026486</v>
      </c>
      <c r="AW37" s="279">
        <v>3984.4651211478335</v>
      </c>
      <c r="AX37" s="279">
        <v>1228.6280623477583</v>
      </c>
      <c r="AY37" s="279">
        <v>11541.77765711121</v>
      </c>
      <c r="AZ37" s="278">
        <v>0.38560262551641455</v>
      </c>
      <c r="BA37" s="358">
        <v>0.54832839980385006</v>
      </c>
      <c r="BB37" s="248" t="s">
        <v>240</v>
      </c>
      <c r="BC37" s="248">
        <v>0</v>
      </c>
      <c r="BD37" s="248">
        <v>0</v>
      </c>
      <c r="BE37" s="248">
        <v>0</v>
      </c>
      <c r="BF37" s="248">
        <v>0</v>
      </c>
      <c r="BG37" s="248"/>
      <c r="BH37" s="248"/>
      <c r="BI37" s="248"/>
      <c r="BJ37" s="248">
        <v>141</v>
      </c>
      <c r="BK37" s="248">
        <v>49</v>
      </c>
      <c r="BL37" s="248">
        <v>92</v>
      </c>
      <c r="BM37" s="248">
        <v>0</v>
      </c>
      <c r="BN37" s="248"/>
      <c r="BO37" s="279">
        <v>2401.8346250129703</v>
      </c>
      <c r="BP37" s="279">
        <v>3827.9898486026486</v>
      </c>
      <c r="BQ37" s="279">
        <v>3942.3251211478337</v>
      </c>
      <c r="BR37" s="279">
        <v>1228.6280623477583</v>
      </c>
      <c r="BS37" s="279">
        <v>6344.1597461608035</v>
      </c>
      <c r="BT37" s="279">
        <v>11400.777657111212</v>
      </c>
    </row>
    <row r="38" spans="2:72" x14ac:dyDescent="0.3">
      <c r="B38" s="106">
        <v>2007</v>
      </c>
      <c r="C38" s="107">
        <f t="shared" si="8"/>
        <v>29528.409406734372</v>
      </c>
      <c r="D38" s="107">
        <v>9878</v>
      </c>
      <c r="E38" s="108">
        <v>567</v>
      </c>
      <c r="F38" s="107">
        <v>9311</v>
      </c>
      <c r="G38" s="107">
        <v>1492</v>
      </c>
      <c r="H38" s="108">
        <v>64</v>
      </c>
      <c r="I38" s="107">
        <v>3742</v>
      </c>
      <c r="J38" s="107"/>
      <c r="K38" s="107">
        <f t="shared" si="9"/>
        <v>19650.409406734372</v>
      </c>
      <c r="L38" s="107">
        <f t="shared" si="10"/>
        <v>1127.9390700160345</v>
      </c>
      <c r="M38" s="107">
        <f t="shared" si="11"/>
        <v>18522.470336718336</v>
      </c>
      <c r="N38" s="107">
        <f t="shared" si="12"/>
        <v>2968.051309460182</v>
      </c>
      <c r="O38" s="107">
        <f t="shared" si="13"/>
        <v>127.31587386424374</v>
      </c>
      <c r="P38" s="107"/>
      <c r="Q38" s="107">
        <f t="shared" si="17"/>
        <v>1694.9390700160345</v>
      </c>
      <c r="R38" s="107">
        <f t="shared" si="18"/>
        <v>4460.051309460182</v>
      </c>
      <c r="S38" s="107">
        <f t="shared" si="19"/>
        <v>191.31587386424374</v>
      </c>
      <c r="T38" s="107"/>
      <c r="U38" s="245">
        <f t="shared" si="2"/>
        <v>5.740028345818992E-2</v>
      </c>
      <c r="V38" s="245">
        <f t="shared" si="3"/>
        <v>0.15104272119862319</v>
      </c>
      <c r="W38" s="245">
        <f t="shared" si="4"/>
        <v>0.21492204899777284</v>
      </c>
      <c r="X38" s="245">
        <f t="shared" si="5"/>
        <v>6.4790443409597082E-3</v>
      </c>
      <c r="Y38" s="247">
        <f t="shared" si="7"/>
        <v>6.3879327799149621E-2</v>
      </c>
      <c r="Z38" s="246">
        <f t="shared" si="6"/>
        <v>0.37882162381048795</v>
      </c>
      <c r="AA38" s="270">
        <v>6.6002280701754387E-2</v>
      </c>
      <c r="AB38" s="270">
        <v>0.16021052631578947</v>
      </c>
      <c r="AC38" s="270">
        <v>0.22621280701754387</v>
      </c>
      <c r="AD38" s="351"/>
      <c r="AE38" s="246">
        <f t="shared" si="14"/>
        <v>0.16024057566319408</v>
      </c>
      <c r="AF38" s="246">
        <f t="shared" si="15"/>
        <v>6.8735903769734721E-3</v>
      </c>
      <c r="AG38" s="246">
        <f t="shared" si="21"/>
        <v>0.16711416604016754</v>
      </c>
      <c r="AH38" s="107"/>
      <c r="AI38" s="11">
        <v>13376</v>
      </c>
      <c r="AJ38" s="11">
        <v>9741</v>
      </c>
      <c r="AK38" s="107"/>
      <c r="AL38" s="107">
        <v>19943</v>
      </c>
      <c r="AM38" s="276">
        <f t="shared" si="20"/>
        <v>19162</v>
      </c>
      <c r="AO38" s="280">
        <v>7444</v>
      </c>
      <c r="AP38" s="280">
        <v>7301</v>
      </c>
      <c r="AQ38" s="271">
        <v>3742</v>
      </c>
      <c r="AR38" s="280">
        <v>675</v>
      </c>
      <c r="AS38" s="371">
        <f t="shared" si="16"/>
        <v>0.66547470051850532</v>
      </c>
      <c r="AT38" s="280"/>
      <c r="AU38" s="279">
        <v>5537.5484777608017</v>
      </c>
      <c r="AV38" s="279">
        <v>5530.242069740706</v>
      </c>
      <c r="AW38" s="279">
        <v>2816.3280450646644</v>
      </c>
      <c r="AX38" s="279">
        <v>613.33984131432419</v>
      </c>
      <c r="AY38" s="279">
        <v>14497.458433880496</v>
      </c>
      <c r="AZ38" s="278">
        <v>0.66287171741531559</v>
      </c>
      <c r="BA38" s="358">
        <v>0.76342971411017324</v>
      </c>
      <c r="BB38" s="248" t="s">
        <v>240</v>
      </c>
      <c r="BC38" s="248">
        <v>0</v>
      </c>
      <c r="BD38" s="248">
        <v>0</v>
      </c>
      <c r="BE38" s="248">
        <v>0</v>
      </c>
      <c r="BF38" s="248">
        <v>0</v>
      </c>
      <c r="BG38" s="248"/>
      <c r="BH38" s="248"/>
      <c r="BI38" s="248"/>
      <c r="BJ38" s="248">
        <v>182</v>
      </c>
      <c r="BK38" s="248">
        <v>24</v>
      </c>
      <c r="BL38" s="248">
        <v>158</v>
      </c>
      <c r="BM38" s="248">
        <v>0</v>
      </c>
      <c r="BN38" s="248"/>
      <c r="BO38" s="279">
        <v>5375.4684777608018</v>
      </c>
      <c r="BP38" s="279">
        <v>5530.242069740706</v>
      </c>
      <c r="BQ38" s="279">
        <v>2796.4080450646643</v>
      </c>
      <c r="BR38" s="279">
        <v>613.33984131432419</v>
      </c>
      <c r="BS38" s="279">
        <v>8171.8765228254661</v>
      </c>
      <c r="BT38" s="279">
        <v>14315.458433880498</v>
      </c>
    </row>
    <row r="39" spans="2:72" x14ac:dyDescent="0.3">
      <c r="B39" s="106">
        <v>2008</v>
      </c>
      <c r="C39" s="107">
        <f t="shared" si="8"/>
        <v>36021.460050890579</v>
      </c>
      <c r="D39" s="107">
        <v>8738</v>
      </c>
      <c r="E39" s="108">
        <v>622</v>
      </c>
      <c r="F39" s="107">
        <v>8115</v>
      </c>
      <c r="G39" s="107">
        <v>1615</v>
      </c>
      <c r="H39" s="108">
        <v>30</v>
      </c>
      <c r="I39" s="107">
        <v>3930</v>
      </c>
      <c r="J39" s="107"/>
      <c r="K39" s="107">
        <f t="shared" si="9"/>
        <v>27283.460050890579</v>
      </c>
      <c r="L39" s="107">
        <f t="shared" si="10"/>
        <v>1942.1277353689561</v>
      </c>
      <c r="M39" s="107">
        <f t="shared" si="11"/>
        <v>25338.209923664115</v>
      </c>
      <c r="N39" s="107">
        <f t="shared" si="12"/>
        <v>5042.6628498727723</v>
      </c>
      <c r="O39" s="107">
        <f t="shared" si="13"/>
        <v>93.671755725190806</v>
      </c>
      <c r="P39" s="107"/>
      <c r="Q39" s="107">
        <f t="shared" si="17"/>
        <v>2564.1277353689561</v>
      </c>
      <c r="R39" s="107">
        <f t="shared" si="18"/>
        <v>6657.6628498727723</v>
      </c>
      <c r="S39" s="107">
        <f t="shared" si="19"/>
        <v>123.67175572519081</v>
      </c>
      <c r="T39" s="107"/>
      <c r="U39" s="245">
        <f t="shared" si="2"/>
        <v>7.1183337148088804E-2</v>
      </c>
      <c r="V39" s="245">
        <f t="shared" si="3"/>
        <v>0.18482490272373542</v>
      </c>
      <c r="W39" s="245">
        <f t="shared" si="4"/>
        <v>0.25944151979858093</v>
      </c>
      <c r="X39" s="245">
        <f t="shared" si="5"/>
        <v>3.4332799267566948E-3</v>
      </c>
      <c r="Y39" s="247">
        <f t="shared" si="7"/>
        <v>7.4616617074845501E-2</v>
      </c>
      <c r="Z39" s="246">
        <f t="shared" si="6"/>
        <v>0.44975967040512704</v>
      </c>
      <c r="AA39" s="270">
        <v>7.6320548558129322E-2</v>
      </c>
      <c r="AB39" s="270">
        <v>0.19906231784890646</v>
      </c>
      <c r="AC39" s="270">
        <v>0.27539300351137191</v>
      </c>
      <c r="AD39" s="351"/>
      <c r="AE39" s="246">
        <f t="shared" si="14"/>
        <v>0.19901417128773877</v>
      </c>
      <c r="AF39" s="246">
        <f t="shared" si="15"/>
        <v>3.6968576709796672E-3</v>
      </c>
      <c r="AG39" s="246">
        <f t="shared" si="21"/>
        <v>0.20271102895871843</v>
      </c>
      <c r="AH39" s="107"/>
      <c r="AI39" s="11">
        <v>21907</v>
      </c>
      <c r="AJ39" s="11">
        <v>11544</v>
      </c>
      <c r="AK39" s="107"/>
      <c r="AL39" s="107">
        <v>26856</v>
      </c>
      <c r="AM39" s="276">
        <f t="shared" si="20"/>
        <v>25508.293161899332</v>
      </c>
      <c r="AO39" s="280">
        <v>12271</v>
      </c>
      <c r="AP39" s="280">
        <v>8648.2931618993316</v>
      </c>
      <c r="AQ39" s="271">
        <v>3930</v>
      </c>
      <c r="AR39" s="280">
        <v>659</v>
      </c>
      <c r="AS39" s="371">
        <f t="shared" si="16"/>
        <v>0.75742238133448547</v>
      </c>
      <c r="AT39" s="280"/>
      <c r="AU39" s="279">
        <v>8924.7841479298258</v>
      </c>
      <c r="AV39" s="279">
        <v>7058.5027112937969</v>
      </c>
      <c r="AW39" s="279">
        <v>2995.2505866522847</v>
      </c>
      <c r="AX39" s="279">
        <v>647.26958839578231</v>
      </c>
      <c r="AY39" s="279">
        <v>19625.807034271689</v>
      </c>
      <c r="AZ39" s="278">
        <v>0.74872132058788909</v>
      </c>
      <c r="BA39" s="358">
        <v>0.81440150875389261</v>
      </c>
      <c r="BB39" s="248" t="s">
        <v>240</v>
      </c>
      <c r="BC39" s="279">
        <v>97</v>
      </c>
      <c r="BD39" s="279">
        <v>35</v>
      </c>
      <c r="BE39" s="279">
        <v>0</v>
      </c>
      <c r="BF39" s="279">
        <v>0</v>
      </c>
      <c r="BG39" s="248">
        <v>0</v>
      </c>
      <c r="BH39" s="342">
        <f t="shared" ref="BH39:BH46" si="22">(BC39+BE39+BF39)/BT39</f>
        <v>5.0695608995249917E-3</v>
      </c>
      <c r="BI39" s="342"/>
      <c r="BJ39" s="248">
        <v>368</v>
      </c>
      <c r="BK39" s="248">
        <v>118</v>
      </c>
      <c r="BL39" s="248">
        <v>250</v>
      </c>
      <c r="BM39" s="248">
        <v>8</v>
      </c>
      <c r="BN39" s="248"/>
      <c r="BO39" s="279">
        <v>8531.2989305385217</v>
      </c>
      <c r="BP39" s="279">
        <v>7023.5027112937969</v>
      </c>
      <c r="BQ39" s="279">
        <v>2931.7358040435893</v>
      </c>
      <c r="BR39" s="279">
        <v>647.26958839578231</v>
      </c>
      <c r="BS39" s="279">
        <v>11463.03473458211</v>
      </c>
      <c r="BT39" s="279">
        <v>19133.807034271689</v>
      </c>
    </row>
    <row r="40" spans="2:72" x14ac:dyDescent="0.3">
      <c r="B40" s="106">
        <v>2009</v>
      </c>
      <c r="C40" s="107">
        <f t="shared" si="8"/>
        <v>79059.857745629924</v>
      </c>
      <c r="D40" s="107">
        <v>15576</v>
      </c>
      <c r="E40" s="107">
        <v>1568</v>
      </c>
      <c r="F40" s="107">
        <v>14008</v>
      </c>
      <c r="G40" s="107">
        <v>3831</v>
      </c>
      <c r="H40" s="108">
        <v>53</v>
      </c>
      <c r="I40" s="107">
        <v>4977</v>
      </c>
      <c r="J40" s="107"/>
      <c r="K40" s="107">
        <f t="shared" si="9"/>
        <v>63483.857745629924</v>
      </c>
      <c r="L40" s="107">
        <f t="shared" si="10"/>
        <v>6390.7735583684971</v>
      </c>
      <c r="M40" s="107">
        <f t="shared" si="11"/>
        <v>57093.084187261426</v>
      </c>
      <c r="N40" s="107">
        <f t="shared" si="12"/>
        <v>15614.192284508747</v>
      </c>
      <c r="O40" s="107">
        <f t="shared" si="13"/>
        <v>216.01466747036375</v>
      </c>
      <c r="P40" s="107"/>
      <c r="Q40" s="107">
        <f t="shared" si="17"/>
        <v>7958.7735583684971</v>
      </c>
      <c r="R40" s="107">
        <f t="shared" si="18"/>
        <v>19445.192284508747</v>
      </c>
      <c r="S40" s="107">
        <f t="shared" si="19"/>
        <v>269.01466747036375</v>
      </c>
      <c r="T40" s="107"/>
      <c r="U40" s="245">
        <f t="shared" si="2"/>
        <v>0.10066769388803287</v>
      </c>
      <c r="V40" s="245">
        <f t="shared" si="3"/>
        <v>0.2459553158705701</v>
      </c>
      <c r="W40" s="245">
        <f t="shared" si="4"/>
        <v>0.35002568053415511</v>
      </c>
      <c r="X40" s="245">
        <f t="shared" si="5"/>
        <v>3.4026707755521316E-3</v>
      </c>
      <c r="Y40" s="247">
        <f t="shared" si="7"/>
        <v>0.104070364663585</v>
      </c>
      <c r="Z40" s="246">
        <f t="shared" si="6"/>
        <v>0.31953004622496151</v>
      </c>
      <c r="AA40" s="270">
        <v>0.10592916682382228</v>
      </c>
      <c r="AB40" s="270">
        <v>0.27349319201900957</v>
      </c>
      <c r="AC40" s="270">
        <v>0.37943178817938372</v>
      </c>
      <c r="AD40" s="351"/>
      <c r="AE40" s="246">
        <f t="shared" si="14"/>
        <v>0.2734865790976585</v>
      </c>
      <c r="AF40" s="246">
        <f t="shared" si="15"/>
        <v>3.7835522558537977E-3</v>
      </c>
      <c r="AG40" s="246">
        <f t="shared" si="21"/>
        <v>0.27727013135351231</v>
      </c>
      <c r="AH40" s="107"/>
      <c r="AI40" s="11">
        <v>24780</v>
      </c>
      <c r="AJ40" s="11">
        <v>38601</v>
      </c>
      <c r="AK40" s="107"/>
      <c r="AL40" s="107">
        <v>56409</v>
      </c>
      <c r="AM40" s="276">
        <f t="shared" si="20"/>
        <v>52523</v>
      </c>
      <c r="AO40" s="280">
        <v>20285</v>
      </c>
      <c r="AP40" s="280">
        <v>26521</v>
      </c>
      <c r="AQ40" s="271">
        <v>4977</v>
      </c>
      <c r="AR40" s="280">
        <v>740</v>
      </c>
      <c r="AS40" s="371">
        <f t="shared" si="16"/>
        <v>0.80298472013300615</v>
      </c>
      <c r="AT40" s="280"/>
      <c r="AU40" s="279">
        <v>16411.404152103365</v>
      </c>
      <c r="AV40" s="279">
        <v>22288.980049357186</v>
      </c>
      <c r="AW40" s="279">
        <v>4273.1067809505912</v>
      </c>
      <c r="AX40" s="279">
        <v>718.32210611196103</v>
      </c>
      <c r="AY40" s="279">
        <v>43691.813088523108</v>
      </c>
      <c r="AZ40" s="278">
        <v>0.79341514069244223</v>
      </c>
      <c r="BA40" s="358">
        <v>0.8857582568855743</v>
      </c>
      <c r="BB40" s="248" t="s">
        <v>240</v>
      </c>
      <c r="BC40" s="279">
        <v>112.45657568238214</v>
      </c>
      <c r="BD40" s="279">
        <v>711.54342431761791</v>
      </c>
      <c r="BE40" s="279">
        <v>0</v>
      </c>
      <c r="BF40" s="279">
        <v>0</v>
      </c>
      <c r="BG40" s="248">
        <v>0</v>
      </c>
      <c r="BH40" s="342">
        <f t="shared" si="22"/>
        <v>2.6403331421616552E-3</v>
      </c>
      <c r="BI40" s="342"/>
      <c r="BJ40" s="248">
        <v>324</v>
      </c>
      <c r="BK40" s="248">
        <v>63</v>
      </c>
      <c r="BL40" s="248">
        <v>261</v>
      </c>
      <c r="BM40" s="248">
        <v>48</v>
      </c>
      <c r="BN40" s="248"/>
      <c r="BO40" s="279">
        <v>16057.084243087649</v>
      </c>
      <c r="BP40" s="279">
        <v>21577.436625039569</v>
      </c>
      <c r="BQ40" s="279">
        <v>4238.970114283924</v>
      </c>
      <c r="BR40" s="279">
        <v>718.32210611196103</v>
      </c>
      <c r="BS40" s="279">
        <v>20296.054357371573</v>
      </c>
      <c r="BT40" s="279">
        <v>42591.813088523108</v>
      </c>
    </row>
    <row r="41" spans="2:72" x14ac:dyDescent="0.3">
      <c r="B41" s="106">
        <v>2010</v>
      </c>
      <c r="C41" s="107">
        <f t="shared" si="8"/>
        <v>72893.236397748595</v>
      </c>
      <c r="D41" s="107">
        <v>12855</v>
      </c>
      <c r="E41" s="108">
        <v>971</v>
      </c>
      <c r="F41" s="107">
        <v>11884</v>
      </c>
      <c r="G41" s="107">
        <v>2141</v>
      </c>
      <c r="H41" s="108">
        <v>34</v>
      </c>
      <c r="I41" s="107">
        <v>7995</v>
      </c>
      <c r="J41" s="107"/>
      <c r="K41" s="107">
        <f t="shared" si="9"/>
        <v>60038.236397748595</v>
      </c>
      <c r="L41" s="107">
        <f t="shared" si="10"/>
        <v>4534.9768605378367</v>
      </c>
      <c r="M41" s="107">
        <f t="shared" si="11"/>
        <v>55503.259537210761</v>
      </c>
      <c r="N41" s="107">
        <f t="shared" si="12"/>
        <v>9999.3671044402763</v>
      </c>
      <c r="O41" s="107">
        <f t="shared" si="13"/>
        <v>158.79424640400251</v>
      </c>
      <c r="P41" s="107"/>
      <c r="Q41" s="107">
        <f t="shared" si="17"/>
        <v>5505.9768605378367</v>
      </c>
      <c r="R41" s="107">
        <f t="shared" si="18"/>
        <v>12140.367104440276</v>
      </c>
      <c r="S41" s="107">
        <f t="shared" si="19"/>
        <v>192.79424640400251</v>
      </c>
      <c r="T41" s="107"/>
      <c r="U41" s="245">
        <f t="shared" si="2"/>
        <v>7.5534811357448467E-2</v>
      </c>
      <c r="V41" s="245">
        <f t="shared" si="3"/>
        <v>0.16654998055231426</v>
      </c>
      <c r="W41" s="245">
        <f t="shared" si="4"/>
        <v>0.24472967716841695</v>
      </c>
      <c r="X41" s="245">
        <f t="shared" si="5"/>
        <v>2.64488525865422E-3</v>
      </c>
      <c r="Y41" s="247">
        <f t="shared" si="7"/>
        <v>7.817969661610269E-2</v>
      </c>
      <c r="Z41" s="246">
        <f t="shared" si="6"/>
        <v>0.62193698949824971</v>
      </c>
      <c r="AA41" s="270">
        <v>7.9502505324584194E-2</v>
      </c>
      <c r="AB41" s="270">
        <v>0.18018946901892227</v>
      </c>
      <c r="AC41" s="270">
        <v>0.2596981299321654</v>
      </c>
      <c r="AD41" s="351"/>
      <c r="AE41" s="246">
        <f t="shared" si="14"/>
        <v>0.18015819589363852</v>
      </c>
      <c r="AF41" s="246">
        <f t="shared" si="15"/>
        <v>2.8609895658027601E-3</v>
      </c>
      <c r="AG41" s="246">
        <f t="shared" si="21"/>
        <v>0.18301918545944129</v>
      </c>
      <c r="AH41" s="107"/>
      <c r="AI41" s="11">
        <v>46541</v>
      </c>
      <c r="AJ41" s="11">
        <v>12230</v>
      </c>
      <c r="AK41" s="107"/>
      <c r="AL41" s="107">
        <v>54710</v>
      </c>
      <c r="AM41" s="276">
        <f t="shared" si="20"/>
        <v>52638</v>
      </c>
      <c r="AO41" s="280">
        <v>37340</v>
      </c>
      <c r="AP41" s="280">
        <v>6770</v>
      </c>
      <c r="AQ41" s="271">
        <v>7995</v>
      </c>
      <c r="AR41" s="280">
        <v>533</v>
      </c>
      <c r="AS41" s="371">
        <f t="shared" si="16"/>
        <v>0.82364618947832802</v>
      </c>
      <c r="AT41" s="280"/>
      <c r="AU41" s="279">
        <v>32416.317410979857</v>
      </c>
      <c r="AV41" s="279">
        <v>5998.5761804329049</v>
      </c>
      <c r="AW41" s="279">
        <v>7347.2531724196024</v>
      </c>
      <c r="AX41" s="279">
        <v>532.91012031382684</v>
      </c>
      <c r="AY41" s="279">
        <v>46295.056884146194</v>
      </c>
      <c r="AZ41" s="278">
        <v>0.8152265235585523</v>
      </c>
      <c r="BA41" s="358">
        <v>0.8297839159706919</v>
      </c>
      <c r="BB41" s="248" t="s">
        <v>240</v>
      </c>
      <c r="BC41" s="279">
        <v>930.85330347144463</v>
      </c>
      <c r="BD41" s="279">
        <v>376.14669652855542</v>
      </c>
      <c r="BE41" s="279">
        <v>529.08201378950048</v>
      </c>
      <c r="BF41" s="279">
        <v>119.91798621049956</v>
      </c>
      <c r="BG41" s="248">
        <v>0</v>
      </c>
      <c r="BH41" s="342">
        <f t="shared" si="22"/>
        <v>3.5631188719224535E-2</v>
      </c>
      <c r="BI41" s="342"/>
      <c r="BJ41" s="248">
        <v>0</v>
      </c>
      <c r="BK41" s="248">
        <v>0</v>
      </c>
      <c r="BL41" s="248">
        <v>0</v>
      </c>
      <c r="BM41" s="248">
        <v>11</v>
      </c>
      <c r="BN41" s="248"/>
      <c r="BO41" s="279">
        <v>30895.223920751556</v>
      </c>
      <c r="BP41" s="279">
        <v>5622.4294839043496</v>
      </c>
      <c r="BQ41" s="279">
        <v>7288.4933591764575</v>
      </c>
      <c r="BR41" s="279">
        <v>532.91012031382684</v>
      </c>
      <c r="BS41" s="279">
        <v>38183.717279928016</v>
      </c>
      <c r="BT41" s="279">
        <v>44339.056884146186</v>
      </c>
    </row>
    <row r="42" spans="2:72" x14ac:dyDescent="0.3">
      <c r="B42" s="106">
        <v>2011</v>
      </c>
      <c r="C42" s="107">
        <f t="shared" si="8"/>
        <v>54165.115516062891</v>
      </c>
      <c r="D42" s="107">
        <v>17156</v>
      </c>
      <c r="E42" s="107">
        <v>2228</v>
      </c>
      <c r="F42" s="107">
        <v>14928</v>
      </c>
      <c r="G42" s="107">
        <v>2918</v>
      </c>
      <c r="H42" s="108">
        <v>53</v>
      </c>
      <c r="I42" s="107">
        <v>8778</v>
      </c>
      <c r="J42" s="107"/>
      <c r="K42" s="107">
        <f t="shared" si="9"/>
        <v>37009.115516062891</v>
      </c>
      <c r="L42" s="107">
        <f t="shared" si="10"/>
        <v>4806.2665755297339</v>
      </c>
      <c r="M42" s="107">
        <f t="shared" si="11"/>
        <v>32202.848940533157</v>
      </c>
      <c r="N42" s="107">
        <f t="shared" si="12"/>
        <v>6294.7423103212586</v>
      </c>
      <c r="O42" s="107">
        <f t="shared" si="13"/>
        <v>114.33219412166781</v>
      </c>
      <c r="P42" s="107"/>
      <c r="Q42" s="107">
        <f t="shared" si="17"/>
        <v>7034.2665755297339</v>
      </c>
      <c r="R42" s="107">
        <f t="shared" si="18"/>
        <v>9212.7423103212586</v>
      </c>
      <c r="S42" s="107">
        <f t="shared" si="19"/>
        <v>167.33219412166781</v>
      </c>
      <c r="T42" s="107"/>
      <c r="U42" s="245">
        <f t="shared" si="2"/>
        <v>0.12986710188855211</v>
      </c>
      <c r="V42" s="245">
        <f t="shared" si="3"/>
        <v>0.17008626719515038</v>
      </c>
      <c r="W42" s="245">
        <f t="shared" si="4"/>
        <v>0.30304266728841223</v>
      </c>
      <c r="X42" s="245">
        <f t="shared" si="5"/>
        <v>3.0892982047097226E-3</v>
      </c>
      <c r="Y42" s="247">
        <f t="shared" si="7"/>
        <v>0.13295640009326182</v>
      </c>
      <c r="Z42" s="246">
        <f t="shared" si="6"/>
        <v>0.51165772907437634</v>
      </c>
      <c r="AA42" s="270">
        <v>0.13402494007178964</v>
      </c>
      <c r="AB42" s="270">
        <v>0.19547464384633537</v>
      </c>
      <c r="AC42" s="270">
        <v>0.32949958391812501</v>
      </c>
      <c r="AD42" s="351"/>
      <c r="AE42" s="246">
        <f t="shared" si="14"/>
        <v>0.19547159699892819</v>
      </c>
      <c r="AF42" s="246">
        <f t="shared" si="15"/>
        <v>3.5503751339764199E-3</v>
      </c>
      <c r="AG42" s="246">
        <f t="shared" si="21"/>
        <v>0.1990219721329046</v>
      </c>
      <c r="AH42" s="107"/>
      <c r="AI42" s="11">
        <v>31405</v>
      </c>
      <c r="AJ42" s="11">
        <v>19578</v>
      </c>
      <c r="AK42" s="107"/>
      <c r="AL42" s="107">
        <v>44903</v>
      </c>
      <c r="AM42" s="276">
        <f t="shared" si="20"/>
        <v>43151</v>
      </c>
      <c r="AO42" s="280">
        <v>18936</v>
      </c>
      <c r="AP42" s="280">
        <v>11283</v>
      </c>
      <c r="AQ42" s="271">
        <v>8778</v>
      </c>
      <c r="AR42" s="280">
        <v>4154</v>
      </c>
      <c r="AS42" s="371">
        <f t="shared" si="16"/>
        <v>0.68326477592552504</v>
      </c>
      <c r="AT42" s="280"/>
      <c r="AU42" s="279">
        <v>15508.484932484014</v>
      </c>
      <c r="AV42" s="279">
        <v>10022.240602292066</v>
      </c>
      <c r="AW42" s="279">
        <v>8071.8635157534291</v>
      </c>
      <c r="AX42" s="279">
        <v>4152.9750767684991</v>
      </c>
      <c r="AY42" s="279">
        <v>37755.564127298014</v>
      </c>
      <c r="AZ42" s="278">
        <v>0.65768684320028459</v>
      </c>
      <c r="BA42" s="358">
        <v>0.67621094068931853</v>
      </c>
      <c r="BB42" s="248" t="s">
        <v>240</v>
      </c>
      <c r="BC42" s="279">
        <v>531.58300550747435</v>
      </c>
      <c r="BD42" s="279">
        <v>1382.4169944925256</v>
      </c>
      <c r="BE42" s="279">
        <v>214.40591088329276</v>
      </c>
      <c r="BF42" s="279">
        <v>111.59408911670722</v>
      </c>
      <c r="BG42" s="248">
        <v>0</v>
      </c>
      <c r="BH42" s="342">
        <f t="shared" si="22"/>
        <v>2.4275867939412527E-2</v>
      </c>
      <c r="BI42" s="342"/>
      <c r="BJ42" s="248">
        <v>192</v>
      </c>
      <c r="BK42" s="248">
        <v>80</v>
      </c>
      <c r="BL42" s="248">
        <v>112</v>
      </c>
      <c r="BM42" s="248">
        <v>3</v>
      </c>
      <c r="BN42" s="248"/>
      <c r="BO42" s="279">
        <v>14590.935907575898</v>
      </c>
      <c r="BP42" s="279">
        <v>8639.8236077995407</v>
      </c>
      <c r="BQ42" s="279">
        <v>7942.8295351540683</v>
      </c>
      <c r="BR42" s="279">
        <v>4152.9750767684991</v>
      </c>
      <c r="BS42" s="279">
        <v>22533.765442729968</v>
      </c>
      <c r="BT42" s="279">
        <v>35326.564127298006</v>
      </c>
    </row>
    <row r="43" spans="2:72" x14ac:dyDescent="0.3">
      <c r="B43" s="106">
        <v>2012</v>
      </c>
      <c r="C43" s="107">
        <f t="shared" si="8"/>
        <v>55012.799499530818</v>
      </c>
      <c r="D43" s="107">
        <v>19360</v>
      </c>
      <c r="E43" s="107">
        <v>2641</v>
      </c>
      <c r="F43" s="107">
        <v>16719</v>
      </c>
      <c r="G43" s="107">
        <v>3433</v>
      </c>
      <c r="H43" s="108">
        <v>61</v>
      </c>
      <c r="I43" s="107">
        <v>12797</v>
      </c>
      <c r="J43" s="107"/>
      <c r="K43" s="107">
        <f t="shared" si="9"/>
        <v>35652.799499530818</v>
      </c>
      <c r="L43" s="107">
        <f t="shared" si="10"/>
        <v>4863.5869565217399</v>
      </c>
      <c r="M43" s="107">
        <f t="shared" si="11"/>
        <v>30789.212543009075</v>
      </c>
      <c r="N43" s="107">
        <f t="shared" si="12"/>
        <v>6322.1105724116369</v>
      </c>
      <c r="O43" s="107">
        <f t="shared" si="13"/>
        <v>112.33578354707541</v>
      </c>
      <c r="P43" s="107"/>
      <c r="Q43" s="107">
        <f t="shared" si="17"/>
        <v>7504.5869565217399</v>
      </c>
      <c r="R43" s="107">
        <f t="shared" si="18"/>
        <v>9755.1105724116369</v>
      </c>
      <c r="S43" s="107">
        <f t="shared" si="19"/>
        <v>173.33578354707541</v>
      </c>
      <c r="T43" s="107"/>
      <c r="U43" s="245">
        <f t="shared" si="2"/>
        <v>0.13641528925619834</v>
      </c>
      <c r="V43" s="245">
        <f t="shared" si="3"/>
        <v>0.17732438016528926</v>
      </c>
      <c r="W43" s="245">
        <f t="shared" si="4"/>
        <v>0.31689049586776857</v>
      </c>
      <c r="X43" s="245">
        <f t="shared" si="5"/>
        <v>3.1508264462809916E-3</v>
      </c>
      <c r="Y43" s="247">
        <f t="shared" si="7"/>
        <v>0.13956611570247932</v>
      </c>
      <c r="Z43" s="246">
        <f t="shared" si="6"/>
        <v>0.66100206611570245</v>
      </c>
      <c r="AA43" s="270">
        <v>0.14215699529500839</v>
      </c>
      <c r="AB43" s="270">
        <v>0.20532285976961764</v>
      </c>
      <c r="AC43" s="270">
        <v>0.34747985506462603</v>
      </c>
      <c r="AD43" s="351"/>
      <c r="AE43" s="246">
        <f t="shared" si="14"/>
        <v>0.2053352473234045</v>
      </c>
      <c r="AF43" s="246">
        <f t="shared" si="15"/>
        <v>3.648543573180214E-3</v>
      </c>
      <c r="AG43" s="246">
        <f t="shared" si="21"/>
        <v>0.2089837908965847</v>
      </c>
      <c r="AH43" s="107"/>
      <c r="AI43" s="11">
        <v>38546</v>
      </c>
      <c r="AJ43" s="11">
        <v>21554</v>
      </c>
      <c r="AK43" s="107"/>
      <c r="AL43" s="107">
        <v>56678</v>
      </c>
      <c r="AM43" s="276">
        <f t="shared" si="20"/>
        <v>55265</v>
      </c>
      <c r="AO43" s="280">
        <v>23550</v>
      </c>
      <c r="AP43" s="280">
        <v>15265</v>
      </c>
      <c r="AQ43" s="271">
        <v>12788</v>
      </c>
      <c r="AR43" s="280">
        <v>3662</v>
      </c>
      <c r="AS43" s="371">
        <f t="shared" si="16"/>
        <v>0.64808189773790525</v>
      </c>
      <c r="AT43" s="280"/>
      <c r="AU43" s="279">
        <v>19048.492084893576</v>
      </c>
      <c r="AV43" s="279">
        <v>12746.395482266</v>
      </c>
      <c r="AW43" s="279">
        <v>11314.868965854872</v>
      </c>
      <c r="AX43" s="279">
        <v>4137.5159485015347</v>
      </c>
      <c r="AY43" s="279">
        <v>47247.272481515982</v>
      </c>
      <c r="AZ43" s="278">
        <v>0.62735123601950638</v>
      </c>
      <c r="BA43" s="358">
        <v>0.6729465193911105</v>
      </c>
      <c r="BB43" s="248" t="s">
        <v>240</v>
      </c>
      <c r="BC43" s="279">
        <v>892.5344978165939</v>
      </c>
      <c r="BD43" s="279">
        <v>1103.4655021834062</v>
      </c>
      <c r="BE43" s="279">
        <v>276.03454384858281</v>
      </c>
      <c r="BF43" s="279">
        <v>163.96545615141719</v>
      </c>
      <c r="BG43" s="248">
        <v>0</v>
      </c>
      <c r="BH43" s="342">
        <f t="shared" si="22"/>
        <v>2.9736591353576168E-2</v>
      </c>
      <c r="BI43" s="342"/>
      <c r="BJ43" s="248">
        <v>0</v>
      </c>
      <c r="BK43" s="248">
        <v>0</v>
      </c>
      <c r="BL43" s="248">
        <v>0</v>
      </c>
      <c r="BM43" s="248">
        <v>15</v>
      </c>
      <c r="BN43" s="248"/>
      <c r="BO43" s="279">
        <v>17829.093751821463</v>
      </c>
      <c r="BP43" s="279">
        <v>11642.929980082594</v>
      </c>
      <c r="BQ43" s="279">
        <v>11201.732801110395</v>
      </c>
      <c r="BR43" s="279">
        <v>4137.5159485015347</v>
      </c>
      <c r="BS43" s="279">
        <v>29030.82655293186</v>
      </c>
      <c r="BT43" s="279">
        <v>44811.272481515982</v>
      </c>
    </row>
    <row r="44" spans="2:72" x14ac:dyDescent="0.3">
      <c r="B44" s="106">
        <v>2013</v>
      </c>
      <c r="C44" s="107">
        <f t="shared" si="8"/>
        <v>92565.514282970864</v>
      </c>
      <c r="D44" s="107">
        <v>34669</v>
      </c>
      <c r="E44" s="107">
        <v>3462</v>
      </c>
      <c r="F44" s="107">
        <v>31208</v>
      </c>
      <c r="G44" s="107">
        <v>6429</v>
      </c>
      <c r="H44" s="108">
        <v>141</v>
      </c>
      <c r="I44" s="439">
        <v>21124</v>
      </c>
      <c r="J44" s="254"/>
      <c r="K44" s="107">
        <f t="shared" si="9"/>
        <v>57896.514282970864</v>
      </c>
      <c r="L44" s="107">
        <f t="shared" si="10"/>
        <v>5781.4685294541268</v>
      </c>
      <c r="M44" s="107">
        <f t="shared" si="11"/>
        <v>52116.715732872442</v>
      </c>
      <c r="N44" s="107">
        <f t="shared" si="12"/>
        <v>10736.29727783379</v>
      </c>
      <c r="O44" s="107">
        <f t="shared" si="13"/>
        <v>235.46708915454417</v>
      </c>
      <c r="P44" s="254"/>
      <c r="Q44" s="107">
        <f t="shared" si="17"/>
        <v>9243.4685294541268</v>
      </c>
      <c r="R44" s="107">
        <f t="shared" si="18"/>
        <v>17165.29727783379</v>
      </c>
      <c r="S44" s="107">
        <f t="shared" si="19"/>
        <v>376.46708915454417</v>
      </c>
      <c r="T44" s="254"/>
      <c r="U44" s="245">
        <f t="shared" si="2"/>
        <v>9.9858663359196978E-2</v>
      </c>
      <c r="V44" s="245">
        <f t="shared" si="3"/>
        <v>0.18543944157604778</v>
      </c>
      <c r="W44" s="245">
        <f t="shared" si="4"/>
        <v>0.28936513888488274</v>
      </c>
      <c r="X44" s="245">
        <f t="shared" si="5"/>
        <v>4.0670339496380048E-3</v>
      </c>
      <c r="Y44" s="247">
        <f t="shared" si="7"/>
        <v>0.10392569730883498</v>
      </c>
      <c r="Z44" s="246">
        <f t="shared" si="6"/>
        <v>0.60930514292307247</v>
      </c>
      <c r="AA44" s="270">
        <v>0.10584718708464201</v>
      </c>
      <c r="AB44" s="270">
        <v>0.20704985145786997</v>
      </c>
      <c r="AC44" s="270">
        <v>0.312897038542512</v>
      </c>
      <c r="AD44" s="351"/>
      <c r="AE44" s="246">
        <f t="shared" si="14"/>
        <v>0.20600487054601385</v>
      </c>
      <c r="AF44" s="246">
        <f t="shared" si="15"/>
        <v>4.5180722891566263E-3</v>
      </c>
      <c r="AG44" s="246">
        <f t="shared" si="21"/>
        <v>0.21052294283517048</v>
      </c>
      <c r="AH44" s="107"/>
      <c r="AI44" s="11">
        <v>58143</v>
      </c>
      <c r="AJ44" s="11">
        <v>19170</v>
      </c>
      <c r="AK44" s="107"/>
      <c r="AL44" s="107">
        <v>78960</v>
      </c>
      <c r="AM44" s="276">
        <f t="shared" si="20"/>
        <v>75835</v>
      </c>
      <c r="AO44" s="280">
        <v>34784</v>
      </c>
      <c r="AP44" s="280">
        <v>13885</v>
      </c>
      <c r="AQ44" s="271">
        <v>20829</v>
      </c>
      <c r="AR44" s="280">
        <v>6337</v>
      </c>
      <c r="AS44" s="371">
        <f t="shared" si="16"/>
        <v>0.62546526891194509</v>
      </c>
      <c r="AT44" s="280"/>
      <c r="AU44" s="279">
        <v>30813.404750367168</v>
      </c>
      <c r="AV44" s="279">
        <v>12573.052201120568</v>
      </c>
      <c r="AW44" s="279">
        <v>20425.264550509626</v>
      </c>
      <c r="AX44" s="279">
        <v>6335.3523694952491</v>
      </c>
      <c r="AY44" s="279">
        <v>70147.073871492612</v>
      </c>
      <c r="AZ44" s="278">
        <v>0.60137012086377295</v>
      </c>
      <c r="BA44" s="358">
        <v>0.618507010441668</v>
      </c>
      <c r="BB44" s="248" t="s">
        <v>240</v>
      </c>
      <c r="BC44" s="279">
        <v>2361.4444444444443</v>
      </c>
      <c r="BD44" s="279">
        <v>1648.5555555555557</v>
      </c>
      <c r="BE44" s="279">
        <v>867.77708440642436</v>
      </c>
      <c r="BF44" s="279">
        <v>575.22291559357564</v>
      </c>
      <c r="BG44" s="248">
        <v>38</v>
      </c>
      <c r="BH44" s="342">
        <f t="shared" si="22"/>
        <v>5.9171631905244187E-2</v>
      </c>
      <c r="BI44" s="342"/>
      <c r="BJ44" s="248">
        <v>361</v>
      </c>
      <c r="BK44" s="248">
        <v>163</v>
      </c>
      <c r="BL44" s="248">
        <v>198</v>
      </c>
      <c r="BM44" s="248">
        <v>0</v>
      </c>
      <c r="BN44" s="248"/>
      <c r="BO44" s="279">
        <v>27179.480805150099</v>
      </c>
      <c r="BP44" s="279">
        <v>10886.496645565014</v>
      </c>
      <c r="BQ44" s="279">
        <v>19893.74405128225</v>
      </c>
      <c r="BR44" s="279">
        <v>6335.3523694952491</v>
      </c>
      <c r="BS44" s="279">
        <v>47073.224856432353</v>
      </c>
      <c r="BT44" s="279">
        <v>64295.073871492612</v>
      </c>
    </row>
    <row r="45" spans="2:72" x14ac:dyDescent="0.3">
      <c r="B45" s="106">
        <v>2014</v>
      </c>
      <c r="C45" s="107">
        <f t="shared" si="8"/>
        <v>95024.15960712095</v>
      </c>
      <c r="D45" s="107">
        <v>20752</v>
      </c>
      <c r="E45" s="107">
        <v>2484</v>
      </c>
      <c r="F45" s="107">
        <v>18268</v>
      </c>
      <c r="G45" s="107">
        <v>4096</v>
      </c>
      <c r="H45" s="108">
        <v>32</v>
      </c>
      <c r="I45" s="439">
        <v>14172</v>
      </c>
      <c r="J45" s="254"/>
      <c r="K45" s="107">
        <f t="shared" si="9"/>
        <v>74272.15960712095</v>
      </c>
      <c r="L45" s="107">
        <f t="shared" si="10"/>
        <v>8890.3259668508308</v>
      </c>
      <c r="M45" s="107">
        <f t="shared" si="11"/>
        <v>65381.83364027011</v>
      </c>
      <c r="N45" s="107">
        <f t="shared" si="12"/>
        <v>14659.73235113567</v>
      </c>
      <c r="O45" s="107">
        <f t="shared" si="13"/>
        <v>114.52915899324742</v>
      </c>
      <c r="P45" s="254"/>
      <c r="Q45" s="107">
        <f t="shared" si="17"/>
        <v>11374.325966850831</v>
      </c>
      <c r="R45" s="107">
        <f t="shared" si="18"/>
        <v>18755.73235113567</v>
      </c>
      <c r="S45" s="107">
        <f t="shared" si="19"/>
        <v>146.52915899324742</v>
      </c>
      <c r="T45" s="254"/>
      <c r="U45" s="245">
        <f t="shared" si="2"/>
        <v>0.11969930609097919</v>
      </c>
      <c r="V45" s="245">
        <f t="shared" si="3"/>
        <v>0.19737856592135697</v>
      </c>
      <c r="W45" s="245">
        <f t="shared" si="4"/>
        <v>0.31861989205859675</v>
      </c>
      <c r="X45" s="245">
        <f t="shared" si="5"/>
        <v>1.5420200462606013E-3</v>
      </c>
      <c r="Y45" s="247">
        <f t="shared" si="7"/>
        <v>0.12124132613723979</v>
      </c>
      <c r="Z45" s="246">
        <f t="shared" si="6"/>
        <v>0.68292212798766383</v>
      </c>
      <c r="AA45" s="270">
        <v>0.12229897505851282</v>
      </c>
      <c r="AB45" s="270">
        <v>0.22371672330927631</v>
      </c>
      <c r="AC45" s="270">
        <v>0.34601569836778912</v>
      </c>
      <c r="AD45" s="351"/>
      <c r="AE45" s="246">
        <f t="shared" si="14"/>
        <v>0.2242172104225969</v>
      </c>
      <c r="AF45" s="246">
        <f t="shared" si="15"/>
        <v>1.7516969564265383E-3</v>
      </c>
      <c r="AG45" s="246">
        <f t="shared" si="21"/>
        <v>0.22596890737902345</v>
      </c>
      <c r="AH45" s="107"/>
      <c r="AI45" s="11">
        <v>61389</v>
      </c>
      <c r="AJ45" s="11">
        <v>17944</v>
      </c>
      <c r="AK45" s="107"/>
      <c r="AL45" s="107">
        <v>80494</v>
      </c>
      <c r="AM45" s="276">
        <f t="shared" si="20"/>
        <v>73690</v>
      </c>
      <c r="AO45" s="280">
        <v>46642</v>
      </c>
      <c r="AP45" s="280">
        <v>10077</v>
      </c>
      <c r="AQ45" s="271">
        <v>13032</v>
      </c>
      <c r="AR45" s="280">
        <v>3939</v>
      </c>
      <c r="AS45" s="371">
        <f t="shared" si="16"/>
        <v>0.78161343298589003</v>
      </c>
      <c r="AT45" s="280"/>
      <c r="AU45" s="279">
        <v>39847.495692627199</v>
      </c>
      <c r="AV45" s="279">
        <v>8705.2136477850727</v>
      </c>
      <c r="AW45" s="279">
        <v>13141.18908653407</v>
      </c>
      <c r="AX45" s="279">
        <v>3677.7289919319437</v>
      </c>
      <c r="AY45" s="279">
        <v>65371.627418878285</v>
      </c>
      <c r="AZ45" s="278">
        <v>0.75200008942848739</v>
      </c>
      <c r="BA45" s="358">
        <v>0.742718381925903</v>
      </c>
      <c r="BB45" s="248" t="s">
        <v>240</v>
      </c>
      <c r="BC45" s="279">
        <v>1213.7840375586854</v>
      </c>
      <c r="BD45" s="279">
        <v>687.21596244131456</v>
      </c>
      <c r="BE45" s="279">
        <v>558.73606644536619</v>
      </c>
      <c r="BF45" s="279">
        <v>184.26393355463387</v>
      </c>
      <c r="BG45" s="248">
        <v>51</v>
      </c>
      <c r="BH45" s="342">
        <f t="shared" si="22"/>
        <v>3.1222307379589156E-2</v>
      </c>
      <c r="BI45" s="342"/>
      <c r="BJ45" s="248">
        <v>4</v>
      </c>
      <c r="BK45" s="248">
        <v>1</v>
      </c>
      <c r="BL45" s="248">
        <v>3</v>
      </c>
      <c r="BM45" s="248">
        <v>0</v>
      </c>
      <c r="BN45" s="248"/>
      <c r="BO45" s="279">
        <v>37971.933064503646</v>
      </c>
      <c r="BP45" s="279">
        <v>7966.9976853437583</v>
      </c>
      <c r="BQ45" s="279">
        <v>13055.967677098939</v>
      </c>
      <c r="BR45" s="279">
        <v>3677.7289919319437</v>
      </c>
      <c r="BS45" s="279">
        <v>51027.900741602585</v>
      </c>
      <c r="BT45" s="279">
        <v>62672.627418878292</v>
      </c>
    </row>
    <row r="46" spans="2:72" x14ac:dyDescent="0.3">
      <c r="B46" s="106">
        <v>2015</v>
      </c>
      <c r="C46" s="107">
        <f t="shared" si="8"/>
        <v>88953.897166043243</v>
      </c>
      <c r="D46" s="107">
        <v>24054</v>
      </c>
      <c r="E46" s="107">
        <v>2530</v>
      </c>
      <c r="F46" s="107">
        <v>21523</v>
      </c>
      <c r="G46" s="107">
        <v>4319</v>
      </c>
      <c r="H46" s="108">
        <v>87</v>
      </c>
      <c r="I46" s="439">
        <v>16212</v>
      </c>
      <c r="J46" s="254"/>
      <c r="K46" s="107">
        <f t="shared" si="9"/>
        <v>64899.897166043243</v>
      </c>
      <c r="L46" s="107">
        <f t="shared" si="10"/>
        <v>6826.1719393900967</v>
      </c>
      <c r="M46" s="107">
        <f t="shared" si="11"/>
        <v>58071.027134977499</v>
      </c>
      <c r="N46" s="107">
        <f t="shared" si="12"/>
        <v>11653.057947124833</v>
      </c>
      <c r="O46" s="107">
        <f t="shared" si="13"/>
        <v>234.73397578139861</v>
      </c>
      <c r="P46" s="254"/>
      <c r="Q46" s="107">
        <f t="shared" si="17"/>
        <v>9356.1719393900967</v>
      </c>
      <c r="R46" s="107">
        <f t="shared" si="18"/>
        <v>15972.057947124833</v>
      </c>
      <c r="S46" s="107">
        <f t="shared" si="19"/>
        <v>321.73397578139861</v>
      </c>
      <c r="T46" s="254"/>
      <c r="U46" s="245">
        <f t="shared" si="2"/>
        <v>0.10518001164047559</v>
      </c>
      <c r="V46" s="245">
        <f t="shared" si="3"/>
        <v>0.17955433607715973</v>
      </c>
      <c r="W46" s="245">
        <f t="shared" si="4"/>
        <v>0.2883512097779995</v>
      </c>
      <c r="X46" s="245">
        <f t="shared" si="5"/>
        <v>3.6168620603641804E-3</v>
      </c>
      <c r="Y46" s="247">
        <f t="shared" si="7"/>
        <v>0.10879687370083978</v>
      </c>
      <c r="Z46" s="246">
        <f t="shared" si="6"/>
        <v>0.67398353704165626</v>
      </c>
      <c r="AA46" s="270">
        <v>0.11210000000000001</v>
      </c>
      <c r="AB46" s="270">
        <v>0.20119999999999999</v>
      </c>
      <c r="AC46" s="270">
        <v>0.31330000000000002</v>
      </c>
      <c r="AD46" s="351"/>
      <c r="AE46" s="246">
        <f t="shared" si="14"/>
        <v>0.2006690517121219</v>
      </c>
      <c r="AF46" s="246">
        <f t="shared" si="15"/>
        <v>4.042187427403243E-3</v>
      </c>
      <c r="AG46" s="246">
        <f t="shared" si="21"/>
        <v>0.20471123913952516</v>
      </c>
      <c r="AH46" s="107"/>
      <c r="AI46" s="11">
        <v>62978</v>
      </c>
      <c r="AJ46" s="11">
        <v>10008</v>
      </c>
      <c r="AK46" s="107"/>
      <c r="AL46" s="107">
        <v>70827</v>
      </c>
      <c r="AM46" s="276">
        <f t="shared" si="20"/>
        <v>65726</v>
      </c>
      <c r="AO46" s="280">
        <v>42557</v>
      </c>
      <c r="AP46" s="280">
        <v>5557</v>
      </c>
      <c r="AQ46" s="271">
        <v>15773</v>
      </c>
      <c r="AR46" s="280">
        <v>1839</v>
      </c>
      <c r="AS46" s="371">
        <f t="shared" si="16"/>
        <v>0.7295902623007029</v>
      </c>
      <c r="AT46" s="280"/>
      <c r="AU46" s="279">
        <v>37250.753836542055</v>
      </c>
      <c r="AV46" s="279">
        <v>5047.0842698823199</v>
      </c>
      <c r="AW46" s="279">
        <v>15034.00200268757</v>
      </c>
      <c r="AX46" s="279">
        <v>1838.5377472994862</v>
      </c>
      <c r="AY46" s="279">
        <v>59170.377856411433</v>
      </c>
      <c r="AZ46" s="278">
        <v>0.71245917167681494</v>
      </c>
      <c r="BA46" s="358">
        <v>0.71484820004138561</v>
      </c>
      <c r="BB46" s="248" t="s">
        <v>240</v>
      </c>
      <c r="BC46" s="279">
        <v>1270.7927199191104</v>
      </c>
      <c r="BD46" s="279">
        <v>328.2072800808898</v>
      </c>
      <c r="BE46" s="279">
        <v>645.48800953919431</v>
      </c>
      <c r="BF46" s="279">
        <v>260.51199046080569</v>
      </c>
      <c r="BG46" s="248">
        <v>13</v>
      </c>
      <c r="BH46" s="342">
        <f t="shared" si="22"/>
        <v>3.8448109934546136E-2</v>
      </c>
      <c r="BI46" s="342"/>
      <c r="BJ46" s="248">
        <v>63</v>
      </c>
      <c r="BK46" s="248">
        <v>29</v>
      </c>
      <c r="BL46" s="248">
        <v>34</v>
      </c>
      <c r="BM46" s="248">
        <v>27</v>
      </c>
      <c r="BN46" s="248"/>
      <c r="BO46" s="279">
        <v>35176.078780233991</v>
      </c>
      <c r="BP46" s="279">
        <v>4705.8769898014298</v>
      </c>
      <c r="BQ46" s="279">
        <v>14895.884339076521</v>
      </c>
      <c r="BR46" s="279">
        <v>1838.5377472994862</v>
      </c>
      <c r="BS46" s="279">
        <v>50071.963119310516</v>
      </c>
      <c r="BT46" s="279">
        <v>56616.377856411433</v>
      </c>
    </row>
    <row r="47" spans="2:72" x14ac:dyDescent="0.3">
      <c r="B47" s="106">
        <v>2016</v>
      </c>
      <c r="C47" s="107">
        <f t="shared" si="8"/>
        <v>55670.319371727739</v>
      </c>
      <c r="D47" s="107">
        <v>14493</v>
      </c>
      <c r="E47" s="107">
        <v>2023</v>
      </c>
      <c r="F47" s="107">
        <v>12568</v>
      </c>
      <c r="G47" s="107">
        <v>2907</v>
      </c>
      <c r="H47" s="108">
        <v>96</v>
      </c>
      <c r="I47" s="439">
        <v>9772</v>
      </c>
      <c r="J47" s="254"/>
      <c r="K47" s="107">
        <f t="shared" si="9"/>
        <v>41177.319371727739</v>
      </c>
      <c r="L47" s="107">
        <f t="shared" si="10"/>
        <v>5747.720767888306</v>
      </c>
      <c r="M47" s="107">
        <f t="shared" si="11"/>
        <v>35708.034904013955</v>
      </c>
      <c r="N47" s="107">
        <f t="shared" si="12"/>
        <v>8259.3298429319348</v>
      </c>
      <c r="O47" s="107">
        <f t="shared" si="13"/>
        <v>272.75392670157061</v>
      </c>
      <c r="P47" s="254"/>
      <c r="Q47" s="107">
        <f t="shared" si="17"/>
        <v>7770.720767888306</v>
      </c>
      <c r="R47" s="107">
        <f t="shared" si="18"/>
        <v>11166.329842931935</v>
      </c>
      <c r="S47" s="107">
        <f t="shared" si="19"/>
        <v>368.75392670157061</v>
      </c>
      <c r="T47" s="254"/>
      <c r="U47" s="245">
        <f t="shared" si="2"/>
        <v>0.13958462706133995</v>
      </c>
      <c r="V47" s="245">
        <f t="shared" si="3"/>
        <v>0.2005795901469675</v>
      </c>
      <c r="W47" s="245">
        <f t="shared" si="4"/>
        <v>0.34678810460222176</v>
      </c>
      <c r="X47" s="245">
        <f t="shared" si="5"/>
        <v>6.6238873939143033E-3</v>
      </c>
      <c r="Y47" s="247">
        <f t="shared" si="7"/>
        <v>0.14620851445525426</v>
      </c>
      <c r="Z47" s="246">
        <f t="shared" si="6"/>
        <v>0.67425653763886018</v>
      </c>
      <c r="AA47" s="239"/>
      <c r="AB47" s="239"/>
      <c r="AC47" s="239"/>
      <c r="AD47" s="350"/>
      <c r="AE47" s="246">
        <f t="shared" si="14"/>
        <v>0.23130171865054105</v>
      </c>
      <c r="AF47" s="246">
        <f t="shared" si="15"/>
        <v>7.6384468491406746E-3</v>
      </c>
      <c r="AG47" s="246">
        <f t="shared" si="21"/>
        <v>0.23894016549968172</v>
      </c>
      <c r="AH47" s="107"/>
      <c r="AI47" s="11">
        <v>36713</v>
      </c>
      <c r="AJ47" s="11">
        <v>13066</v>
      </c>
      <c r="AK47" s="107"/>
      <c r="AL47" s="107">
        <v>47080</v>
      </c>
      <c r="AM47" s="276">
        <f t="shared" si="20"/>
        <v>45062</v>
      </c>
      <c r="AO47" s="280">
        <v>27676</v>
      </c>
      <c r="AP47" s="280">
        <v>6451</v>
      </c>
      <c r="AQ47" s="271">
        <v>9741</v>
      </c>
      <c r="AR47" s="280">
        <v>1194</v>
      </c>
      <c r="AS47" s="371">
        <f t="shared" si="16"/>
        <v>0.73966378918673326</v>
      </c>
      <c r="AT47" s="280"/>
      <c r="AU47" s="279">
        <v>23383.915032691388</v>
      </c>
      <c r="AV47" s="279">
        <v>5872.0337940565196</v>
      </c>
      <c r="AW47" s="279">
        <v>8761.5399431877358</v>
      </c>
      <c r="AX47" s="279">
        <v>1193.0279166842124</v>
      </c>
      <c r="AY47" s="279">
        <v>39210.516686619856</v>
      </c>
      <c r="AZ47" s="278">
        <v>0.72744078595987816</v>
      </c>
      <c r="BA47" s="358">
        <v>0.7461250526375024</v>
      </c>
      <c r="BB47" s="248" t="s">
        <v>240</v>
      </c>
      <c r="BC47" s="279">
        <v>466</v>
      </c>
      <c r="BD47" s="279">
        <v>231</v>
      </c>
      <c r="BE47" s="279">
        <v>557.21964204526671</v>
      </c>
      <c r="BF47" s="279">
        <v>208.78035795473335</v>
      </c>
      <c r="BG47" s="248">
        <v>0</v>
      </c>
      <c r="BH47" s="342">
        <f>(BC47+BE47+BF47)/BT47</f>
        <v>3.2637908613381707E-2</v>
      </c>
      <c r="BI47" s="342"/>
      <c r="BJ47" s="248">
        <v>0</v>
      </c>
      <c r="BK47" s="248">
        <v>0</v>
      </c>
      <c r="BL47" s="248">
        <v>0</v>
      </c>
      <c r="BM47" s="248">
        <v>0</v>
      </c>
      <c r="BN47" s="248"/>
      <c r="BO47" s="279">
        <v>22262.568622407394</v>
      </c>
      <c r="BP47" s="279">
        <v>5641.0337940565196</v>
      </c>
      <c r="BQ47" s="279">
        <v>8650.8863534717275</v>
      </c>
      <c r="BR47" s="279">
        <v>1193.0279166842124</v>
      </c>
      <c r="BS47" s="279">
        <v>30913.454975879122</v>
      </c>
      <c r="BT47" s="279">
        <v>37747.516686619856</v>
      </c>
    </row>
    <row r="48" spans="2:72" x14ac:dyDescent="0.3">
      <c r="B48" s="106">
        <v>2017</v>
      </c>
      <c r="C48" s="107">
        <f>D48+K48</f>
        <v>41798.018949181736</v>
      </c>
      <c r="D48" s="107">
        <v>11750</v>
      </c>
      <c r="E48" s="107">
        <v>1403</v>
      </c>
      <c r="F48" s="107">
        <v>10997</v>
      </c>
      <c r="G48" s="107">
        <v>3308</v>
      </c>
      <c r="H48" s="108">
        <v>86</v>
      </c>
      <c r="I48" s="107">
        <v>6966</v>
      </c>
      <c r="J48" s="107"/>
      <c r="K48" s="107">
        <f t="shared" si="9"/>
        <v>30048.018949181736</v>
      </c>
      <c r="L48" s="107">
        <f t="shared" si="10"/>
        <v>3587.8613264427213</v>
      </c>
      <c r="M48" s="107">
        <f t="shared" si="11"/>
        <v>28122.388458225665</v>
      </c>
      <c r="N48" s="107">
        <f t="shared" si="12"/>
        <v>8459.4763135228241</v>
      </c>
      <c r="O48" s="107">
        <f t="shared" si="13"/>
        <v>219.92592592592592</v>
      </c>
      <c r="P48" s="107"/>
      <c r="Q48" s="107">
        <f t="shared" si="17"/>
        <v>4990.8613264427213</v>
      </c>
      <c r="R48" s="107">
        <f t="shared" si="18"/>
        <v>11767.476313522824</v>
      </c>
      <c r="S48" s="107">
        <f t="shared" si="19"/>
        <v>305.92592592592592</v>
      </c>
      <c r="T48" s="107"/>
      <c r="U48" s="245">
        <f t="shared" si="2"/>
        <v>0.11940425531914893</v>
      </c>
      <c r="V48" s="245">
        <f t="shared" si="3"/>
        <v>0.28153191489361701</v>
      </c>
      <c r="W48" s="245">
        <f t="shared" si="4"/>
        <v>0.40825531914893615</v>
      </c>
      <c r="X48" s="245">
        <f t="shared" si="5"/>
        <v>7.3191489361702127E-3</v>
      </c>
      <c r="Y48" s="245">
        <f t="shared" si="7"/>
        <v>0.12672340425531914</v>
      </c>
      <c r="Z48" s="246">
        <f t="shared" si="6"/>
        <v>0.59285106382978725</v>
      </c>
      <c r="AA48" s="240"/>
      <c r="AB48" s="240"/>
      <c r="AC48" s="240"/>
      <c r="AD48" s="107"/>
      <c r="AE48" s="246">
        <f t="shared" si="14"/>
        <v>0.30080931163044466</v>
      </c>
      <c r="AF48" s="246">
        <f t="shared" si="15"/>
        <v>7.8203146312630714E-3</v>
      </c>
      <c r="AG48" s="246">
        <f t="shared" si="21"/>
        <v>0.30862962626170776</v>
      </c>
      <c r="AH48" s="107"/>
      <c r="AI48" s="11">
        <v>26393</v>
      </c>
      <c r="AJ48" s="11">
        <v>5057</v>
      </c>
      <c r="AK48" s="107"/>
      <c r="AL48" s="107">
        <v>33127</v>
      </c>
      <c r="AM48" s="276">
        <f t="shared" si="20"/>
        <v>28624</v>
      </c>
      <c r="AO48" s="280">
        <v>17814</v>
      </c>
      <c r="AP48" s="280">
        <v>3200</v>
      </c>
      <c r="AQ48" s="271">
        <v>6966</v>
      </c>
      <c r="AR48" s="280">
        <v>644</v>
      </c>
      <c r="AS48" s="371">
        <f>AO48/(AO48+AQ48)</f>
        <v>0.71888619854721547</v>
      </c>
      <c r="AT48" s="280"/>
      <c r="AU48">
        <v>11155</v>
      </c>
      <c r="AV48">
        <v>2109</v>
      </c>
      <c r="AW48" s="11">
        <v>6158</v>
      </c>
      <c r="AX48">
        <v>641</v>
      </c>
      <c r="AY48">
        <v>20063</v>
      </c>
      <c r="AZ48" s="272">
        <v>0.64431352163114419</v>
      </c>
      <c r="BA48" s="359">
        <v>0.6611174799381947</v>
      </c>
      <c r="BB48" s="248" t="s">
        <v>240</v>
      </c>
      <c r="BC48" s="8" t="s">
        <v>262</v>
      </c>
      <c r="BD48" s="8" t="s">
        <v>262</v>
      </c>
      <c r="BE48" s="8" t="s">
        <v>262</v>
      </c>
      <c r="BF48" s="8" t="s">
        <v>262</v>
      </c>
      <c r="BG48" s="8" t="s">
        <v>262</v>
      </c>
      <c r="BH48" s="8"/>
      <c r="BI48" s="8"/>
      <c r="BJ48" s="8" t="s">
        <v>262</v>
      </c>
      <c r="BK48" s="8" t="s">
        <v>262</v>
      </c>
      <c r="BL48" s="8" t="s">
        <v>262</v>
      </c>
      <c r="BM48" s="8" t="s">
        <v>262</v>
      </c>
      <c r="BN48" s="8"/>
      <c r="BO48" s="281">
        <v>11155</v>
      </c>
      <c r="BP48" s="281">
        <v>2109</v>
      </c>
      <c r="BQ48" s="281">
        <v>6158</v>
      </c>
      <c r="BR48" s="281">
        <v>641</v>
      </c>
      <c r="BS48" s="281">
        <v>17313</v>
      </c>
      <c r="BT48" s="281">
        <v>20063</v>
      </c>
    </row>
    <row r="49" spans="2:72" x14ac:dyDescent="0.3">
      <c r="B49" s="106">
        <v>2018</v>
      </c>
      <c r="C49" s="106"/>
      <c r="D49" s="107">
        <v>10642</v>
      </c>
      <c r="E49" s="107">
        <v>990</v>
      </c>
      <c r="F49" s="107">
        <v>9652</v>
      </c>
      <c r="G49" s="107">
        <v>2152</v>
      </c>
      <c r="H49" s="108">
        <v>6</v>
      </c>
      <c r="I49" s="107">
        <v>7547</v>
      </c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245">
        <f t="shared" si="2"/>
        <v>9.3027626386017664E-2</v>
      </c>
      <c r="V49" s="245">
        <f t="shared" si="3"/>
        <v>0.20221762826536366</v>
      </c>
      <c r="W49" s="245">
        <f t="shared" si="4"/>
        <v>0.2958090584476602</v>
      </c>
      <c r="X49" s="245">
        <f t="shared" si="5"/>
        <v>5.6380379627889491E-4</v>
      </c>
      <c r="Y49" s="245">
        <f t="shared" si="7"/>
        <v>9.3591430182296556E-2</v>
      </c>
      <c r="Z49" s="246">
        <f t="shared" si="6"/>
        <v>0.70917120841947001</v>
      </c>
      <c r="AA49" s="240"/>
      <c r="AB49" s="240"/>
      <c r="AC49" s="240"/>
      <c r="AD49" s="107"/>
      <c r="AE49" s="246">
        <f t="shared" ref="AE49" si="23">G49/$F49</f>
        <v>0.22295897223373395</v>
      </c>
      <c r="AF49" s="246">
        <f t="shared" ref="AF49" si="24">H49/$F49</f>
        <v>6.2163282221301284E-4</v>
      </c>
      <c r="AG49" s="246">
        <f t="shared" ref="AG49" si="25">AF49+AE49</f>
        <v>0.22358060505594696</v>
      </c>
      <c r="AH49" s="107"/>
      <c r="AI49" s="107"/>
      <c r="AJ49" s="107"/>
      <c r="AK49" s="107"/>
      <c r="AL49" s="107"/>
      <c r="AM49" s="373"/>
      <c r="AX49" s="11"/>
    </row>
    <row r="50" spans="2:72" s="446" customFormat="1" x14ac:dyDescent="0.3">
      <c r="B50" s="440"/>
      <c r="C50" s="440"/>
      <c r="D50" s="441"/>
      <c r="E50" s="441"/>
      <c r="F50" s="441"/>
      <c r="G50" s="441"/>
      <c r="H50" s="442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3"/>
      <c r="V50" s="443"/>
      <c r="W50" s="443"/>
      <c r="X50" s="443"/>
      <c r="Y50" s="443"/>
      <c r="Z50" s="444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5"/>
      <c r="AX50" s="447"/>
      <c r="BA50" s="448"/>
    </row>
    <row r="51" spans="2:72" x14ac:dyDescent="0.3">
      <c r="B51" s="106"/>
      <c r="C51" s="106"/>
      <c r="D51" s="107">
        <f t="shared" ref="D51:U51" si="26">AVERAGE(D39:D48)</f>
        <v>17940.3</v>
      </c>
      <c r="E51" s="107">
        <f t="shared" si="26"/>
        <v>1993.2</v>
      </c>
      <c r="F51" s="107">
        <f t="shared" si="26"/>
        <v>16021.8</v>
      </c>
      <c r="G51" s="107">
        <f t="shared" si="26"/>
        <v>3499.7</v>
      </c>
      <c r="H51" s="107">
        <f t="shared" si="26"/>
        <v>67.3</v>
      </c>
      <c r="I51" s="107">
        <f t="shared" si="26"/>
        <v>10672.3</v>
      </c>
      <c r="J51" s="107"/>
      <c r="K51" s="107">
        <f t="shared" si="26"/>
        <v>49176.137858690738</v>
      </c>
      <c r="L51" s="107">
        <f t="shared" si="26"/>
        <v>5337.1280216352843</v>
      </c>
      <c r="M51" s="107">
        <f t="shared" si="26"/>
        <v>44032.661500203823</v>
      </c>
      <c r="N51" s="107">
        <f t="shared" si="26"/>
        <v>9704.0968854103739</v>
      </c>
      <c r="O51" s="107">
        <f t="shared" si="26"/>
        <v>177.25587238249869</v>
      </c>
      <c r="P51" s="107"/>
      <c r="Q51" s="107">
        <f t="shared" si="26"/>
        <v>7330.328021635285</v>
      </c>
      <c r="R51" s="107">
        <f t="shared" si="26"/>
        <v>13203.796885410373</v>
      </c>
      <c r="S51" s="107">
        <f t="shared" si="26"/>
        <v>244.55587238249868</v>
      </c>
      <c r="T51" s="107"/>
      <c r="U51" s="374">
        <f t="shared" si="26"/>
        <v>0.10973950970094615</v>
      </c>
      <c r="V51" s="374">
        <f t="shared" ref="V51:Z51" si="27">AVERAGE(V39:V48)</f>
        <v>0.19892246951222087</v>
      </c>
      <c r="W51" s="374">
        <f t="shared" si="27"/>
        <v>0.31255097051299707</v>
      </c>
      <c r="X51" s="374">
        <f t="shared" si="27"/>
        <v>3.8889912998301066E-3</v>
      </c>
      <c r="Y51" s="374">
        <f t="shared" si="27"/>
        <v>0.11362850100077622</v>
      </c>
      <c r="Z51" s="374">
        <f t="shared" si="27"/>
        <v>0.57972049107394574</v>
      </c>
      <c r="AA51" s="239"/>
      <c r="AB51" s="239"/>
      <c r="AC51" s="304">
        <f>AVERAGE(AC37:AC46)</f>
        <v>0.30594344369350968</v>
      </c>
      <c r="AD51" s="352"/>
      <c r="AE51" s="354">
        <f>AVERAGE(AE40:AE49)</f>
        <v>0.22404127545090818</v>
      </c>
      <c r="AF51" s="354">
        <f t="shared" ref="AF51:AG51" si="28">AVERAGE(AF40:AF49)</f>
        <v>4.0235811504416349E-3</v>
      </c>
      <c r="AG51" s="354">
        <f t="shared" si="28"/>
        <v>0.22806485660134981</v>
      </c>
      <c r="AH51" s="107"/>
      <c r="AI51" s="11">
        <f t="shared" ref="AI51:AJ51" si="29">AVERAGE(AI39:AI48)</f>
        <v>40879.5</v>
      </c>
      <c r="AJ51" s="11">
        <f t="shared" si="29"/>
        <v>16875.2</v>
      </c>
      <c r="AK51" s="107"/>
      <c r="AL51" s="11">
        <f t="shared" ref="AL51:AM51" si="30">AVERAGE(AL39:AL48)</f>
        <v>55004.4</v>
      </c>
      <c r="AM51" s="11">
        <f t="shared" si="30"/>
        <v>51802.229316189929</v>
      </c>
      <c r="AO51" s="11">
        <f t="shared" ref="AO51" si="31">AVERAGE(AO39:AO48)</f>
        <v>28185.5</v>
      </c>
      <c r="AP51" s="11">
        <f>AVERAGE(AP39:AP48)</f>
        <v>10765.729316189932</v>
      </c>
      <c r="AQ51" s="11">
        <f t="shared" ref="AQ51:AR51" si="32">AVERAGE(AQ39:AQ48)</f>
        <v>10480.9</v>
      </c>
      <c r="AR51" s="11">
        <f t="shared" si="32"/>
        <v>2370.1</v>
      </c>
      <c r="AS51" s="372">
        <f>AVERAGE(AS39:AS48)</f>
        <v>0.73106189165417368</v>
      </c>
      <c r="AU51" s="11">
        <f t="shared" ref="AU51:AY51" si="33">AVERAGE(AU39:AU48)</f>
        <v>23476.005204061839</v>
      </c>
      <c r="AV51" s="11">
        <f t="shared" si="33"/>
        <v>9242.1078938486444</v>
      </c>
      <c r="AW51" s="11">
        <f t="shared" si="33"/>
        <v>9752.2338604549768</v>
      </c>
      <c r="AX51" s="11">
        <f t="shared" si="33"/>
        <v>2387.4639865502495</v>
      </c>
      <c r="AY51" s="11">
        <f t="shared" si="33"/>
        <v>44857.81094491572</v>
      </c>
      <c r="AZ51" s="372">
        <f>AVERAGE(AZ39:AZ48)</f>
        <v>0.70799847536187721</v>
      </c>
      <c r="BC51" s="325">
        <f t="shared" ref="BC51:BM51" si="34">AVERAGE(BC39:BC48)</f>
        <v>875.16095382223727</v>
      </c>
      <c r="BD51" s="11">
        <f t="shared" si="34"/>
        <v>722.61682395554055</v>
      </c>
      <c r="BE51" s="325">
        <f t="shared" si="34"/>
        <v>405.41591899529197</v>
      </c>
      <c r="BF51" s="11">
        <f t="shared" si="34"/>
        <v>180.47296989359694</v>
      </c>
      <c r="BG51" s="11">
        <f t="shared" si="34"/>
        <v>11.333333333333334</v>
      </c>
      <c r="BH51" s="343">
        <f>AVERAGE(BH39:BH48)</f>
        <v>2.8759277765184561E-2</v>
      </c>
      <c r="BI51" s="11"/>
      <c r="BJ51" s="11">
        <f t="shared" si="34"/>
        <v>145.77777777777777</v>
      </c>
      <c r="BK51" s="11">
        <f t="shared" si="34"/>
        <v>50.444444444444443</v>
      </c>
      <c r="BL51" s="11">
        <f t="shared" si="34"/>
        <v>95.333333333333329</v>
      </c>
      <c r="BM51" s="11">
        <f t="shared" si="34"/>
        <v>12.444444444444445</v>
      </c>
      <c r="BN51" s="11"/>
      <c r="BO51" s="11">
        <f t="shared" ref="BO51:BT51" si="35">AVERAGE(BO39:BO48)</f>
        <v>22164.86980260702</v>
      </c>
      <c r="BP51" s="11">
        <f t="shared" si="35"/>
        <v>8581.5527522886568</v>
      </c>
      <c r="BQ51" s="11">
        <f t="shared" si="35"/>
        <v>9625.8244034697873</v>
      </c>
      <c r="BR51" s="11">
        <f t="shared" si="35"/>
        <v>2387.4639865502495</v>
      </c>
      <c r="BS51" s="11">
        <f t="shared" si="35"/>
        <v>31790.694206076809</v>
      </c>
      <c r="BT51" s="11">
        <f t="shared" si="35"/>
        <v>42759.710944915714</v>
      </c>
    </row>
    <row r="52" spans="2:72" x14ac:dyDescent="0.3">
      <c r="B52" s="364" t="s">
        <v>120</v>
      </c>
      <c r="C52" s="364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61"/>
      <c r="V52" s="365"/>
      <c r="W52" s="365"/>
      <c r="X52" s="361"/>
      <c r="Y52" s="361"/>
      <c r="Z52" s="349"/>
      <c r="AA52" s="349"/>
      <c r="AB52" s="349"/>
      <c r="AC52" s="349"/>
      <c r="AD52" s="349"/>
      <c r="AE52" s="349"/>
      <c r="AF52" s="349"/>
      <c r="AG52" s="349"/>
      <c r="AH52" s="349"/>
      <c r="AI52" s="349"/>
      <c r="AJ52" s="349"/>
      <c r="AK52" s="349"/>
      <c r="AL52" s="349"/>
      <c r="AM52" s="349"/>
      <c r="AX52" s="11"/>
      <c r="BO52" s="11">
        <f t="shared" ref="BO52" si="36">GEOMEAN(BO39:BO48)</f>
        <v>19937.843123161769</v>
      </c>
      <c r="BP52" s="11">
        <f>GEOMEAN(BP39:BP48)</f>
        <v>7276.6309096587238</v>
      </c>
      <c r="BQ52" s="327">
        <f>GEOMEAN(BQ39:BQ48)</f>
        <v>8356.7528361635614</v>
      </c>
      <c r="BR52" s="11">
        <f t="shared" ref="BR52:BT52" si="37">GEOMEAN(BR39:BR48)</f>
        <v>1638.5092945554009</v>
      </c>
      <c r="BS52" s="11">
        <f t="shared" si="37"/>
        <v>28661.431328113627</v>
      </c>
      <c r="BT52" s="11">
        <f t="shared" si="37"/>
        <v>39763.85291484341</v>
      </c>
    </row>
    <row r="53" spans="2:72" x14ac:dyDescent="0.3">
      <c r="B53" s="364" t="s">
        <v>121</v>
      </c>
      <c r="C53" s="364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61"/>
      <c r="V53" s="361"/>
      <c r="W53" s="361"/>
      <c r="X53" s="361"/>
      <c r="Y53" s="361"/>
      <c r="Z53" s="349"/>
      <c r="AA53" s="349"/>
      <c r="AB53" s="349"/>
      <c r="AC53" s="349"/>
      <c r="AD53" s="349"/>
      <c r="AE53" s="449">
        <v>0.22164679535630868</v>
      </c>
      <c r="AF53" s="449">
        <v>4.3311036353183016E-3</v>
      </c>
      <c r="AG53" s="449">
        <v>0.22597789899162696</v>
      </c>
      <c r="AH53" s="349"/>
      <c r="AI53" s="349"/>
      <c r="AJ53" s="349"/>
      <c r="AK53" s="349"/>
      <c r="AL53" s="349"/>
      <c r="AM53" s="349"/>
      <c r="AQ53" s="11">
        <f>AQ51+AO51</f>
        <v>38666.400000000001</v>
      </c>
      <c r="AX53" s="11"/>
    </row>
    <row r="54" spans="2:72" x14ac:dyDescent="0.3">
      <c r="AX54" s="11"/>
      <c r="BC54" t="s">
        <v>261</v>
      </c>
    </row>
    <row r="55" spans="2:72" ht="16.2" x14ac:dyDescent="0.3">
      <c r="E55" s="7" t="s">
        <v>233</v>
      </c>
      <c r="U55" s="118" t="s">
        <v>140</v>
      </c>
      <c r="V55" s="110"/>
      <c r="W55" s="110"/>
      <c r="X55" s="110"/>
      <c r="Y55" s="110"/>
      <c r="Z55" s="110"/>
      <c r="AA55" s="111"/>
      <c r="AR55" s="11"/>
      <c r="AS55" s="11"/>
      <c r="BC55" t="s">
        <v>270</v>
      </c>
    </row>
    <row r="56" spans="2:72" x14ac:dyDescent="0.3">
      <c r="E56" s="7" t="s">
        <v>234</v>
      </c>
      <c r="U56" s="112">
        <f>GEOMEAN(U43:U47)</f>
        <v>0.11907545425030822</v>
      </c>
      <c r="V56" s="114"/>
      <c r="W56" s="113">
        <f>GEOMEAN(W43:W47)</f>
        <v>0.31125967219274381</v>
      </c>
      <c r="X56" s="113"/>
      <c r="Y56" s="113"/>
      <c r="Z56" s="113">
        <f>GEOMEAN(Z43:Z47)</f>
        <v>0.65974583936659181</v>
      </c>
      <c r="AA56" s="115"/>
    </row>
    <row r="57" spans="2:72" x14ac:dyDescent="0.3">
      <c r="U57" s="249" t="s">
        <v>134</v>
      </c>
      <c r="V57" s="114"/>
      <c r="W57" s="114"/>
      <c r="X57" s="114"/>
      <c r="Y57" s="114"/>
      <c r="Z57" s="114"/>
      <c r="AA57" s="115"/>
    </row>
    <row r="58" spans="2:72" x14ac:dyDescent="0.3">
      <c r="U58" s="249"/>
      <c r="V58" s="114"/>
      <c r="W58" s="114"/>
      <c r="X58" s="114"/>
      <c r="Y58" s="114"/>
      <c r="Z58" s="114"/>
      <c r="AA58" s="115"/>
    </row>
    <row r="59" spans="2:72" ht="45" customHeight="1" x14ac:dyDescent="0.3">
      <c r="U59" s="249" t="s">
        <v>136</v>
      </c>
      <c r="V59" s="114"/>
      <c r="W59" s="114"/>
      <c r="X59" s="114"/>
      <c r="Y59" s="114"/>
      <c r="Z59" s="114"/>
      <c r="AA59" s="115"/>
    </row>
    <row r="60" spans="2:72" x14ac:dyDescent="0.3">
      <c r="U60" s="249" t="s">
        <v>135</v>
      </c>
      <c r="V60" s="114"/>
      <c r="W60" s="114"/>
      <c r="X60" s="114"/>
      <c r="Y60" s="114"/>
      <c r="Z60" s="114"/>
      <c r="AA60" s="115"/>
    </row>
    <row r="61" spans="2:72" x14ac:dyDescent="0.3">
      <c r="U61" s="214" t="s">
        <v>138</v>
      </c>
      <c r="V61" s="113">
        <f>0.59*(1-U56)</f>
        <v>0.51974548199231818</v>
      </c>
      <c r="W61" s="114"/>
      <c r="X61" s="324" t="s">
        <v>337</v>
      </c>
      <c r="Y61" s="113"/>
      <c r="Z61" s="114"/>
      <c r="AA61" s="115"/>
    </row>
    <row r="62" spans="2:72" x14ac:dyDescent="0.3">
      <c r="U62" s="215" t="s">
        <v>139</v>
      </c>
      <c r="V62" s="250">
        <f>0.91*(1-W56)</f>
        <v>0.62675369830460315</v>
      </c>
      <c r="W62" s="116"/>
      <c r="X62" s="116" t="s">
        <v>141</v>
      </c>
      <c r="Y62" s="119"/>
      <c r="Z62" s="116"/>
      <c r="AA62" s="117"/>
    </row>
    <row r="65" spans="29:53" s="248" customFormat="1" x14ac:dyDescent="0.3">
      <c r="AC65" t="s">
        <v>260</v>
      </c>
      <c r="AD65"/>
      <c r="AE65"/>
      <c r="AF65"/>
      <c r="AG65"/>
      <c r="BA65" s="356"/>
    </row>
    <row r="66" spans="29:53" x14ac:dyDescent="0.3">
      <c r="AC66" t="s">
        <v>259</v>
      </c>
    </row>
  </sheetData>
  <pageMargins left="0.7" right="0.7" top="0.75" bottom="0.75" header="0.3" footer="0.3"/>
  <pageSetup orientation="portrait" r:id="rId1"/>
  <ignoredErrors>
    <ignoredError sqref="D51:I51 AC51 AO51:AR51 AU51:AY51 BO51:BT52" formulaRange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DBA5B-A037-46F3-A12B-E6F0220CE014}">
  <dimension ref="A1:AA6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29" sqref="F29"/>
    </sheetView>
  </sheetViews>
  <sheetFormatPr defaultRowHeight="14.4" x14ac:dyDescent="0.3"/>
  <cols>
    <col min="1" max="1" width="8.88671875" customWidth="1"/>
    <col min="2" max="2" width="32.6640625" customWidth="1"/>
    <col min="3" max="3" width="10.6640625" style="52" customWidth="1"/>
    <col min="4" max="4" width="8.88671875" style="52"/>
    <col min="7" max="7" width="2.109375" style="52" customWidth="1"/>
    <col min="8" max="8" width="10.44140625" style="52" customWidth="1"/>
    <col min="9" max="9" width="9.6640625" style="52" customWidth="1"/>
    <col min="10" max="10" width="2.6640625" style="52" customWidth="1"/>
    <col min="11" max="11" width="7.33203125" style="52" customWidth="1"/>
    <col min="12" max="12" width="8.88671875" style="52" customWidth="1"/>
    <col min="13" max="13" width="11" style="52" bestFit="1" customWidth="1"/>
    <col min="14" max="14" width="2.33203125" style="52" customWidth="1"/>
    <col min="15" max="15" width="5.5546875" style="52" bestFit="1" customWidth="1"/>
    <col min="16" max="17" width="8.88671875" style="52"/>
    <col min="18" max="18" width="3.33203125" style="52" customWidth="1"/>
    <col min="19" max="19" width="6.5546875" style="328" customWidth="1"/>
    <col min="20" max="20" width="8.88671875" style="52"/>
    <col min="21" max="21" width="9.33203125" style="52" customWidth="1"/>
    <col min="22" max="22" width="2.88671875" style="52" customWidth="1"/>
    <col min="23" max="23" width="5.5546875" style="52" bestFit="1" customWidth="1"/>
    <col min="24" max="24" width="8.88671875" style="52"/>
    <col min="25" max="25" width="10.33203125" style="52" customWidth="1"/>
  </cols>
  <sheetData>
    <row r="1" spans="1:25" x14ac:dyDescent="0.3">
      <c r="C1"/>
      <c r="D1"/>
      <c r="G1"/>
      <c r="H1" t="s">
        <v>342</v>
      </c>
      <c r="I1"/>
      <c r="J1"/>
      <c r="K1"/>
      <c r="L1" t="s">
        <v>342</v>
      </c>
      <c r="M1"/>
      <c r="N1"/>
      <c r="O1"/>
      <c r="P1"/>
      <c r="Q1"/>
      <c r="R1"/>
      <c r="S1" s="331"/>
      <c r="T1"/>
      <c r="U1"/>
      <c r="V1"/>
      <c r="W1"/>
      <c r="X1"/>
      <c r="Y1"/>
    </row>
    <row r="2" spans="1:25" x14ac:dyDescent="0.3">
      <c r="C2"/>
      <c r="D2" s="251"/>
      <c r="G2"/>
      <c r="H2" t="s">
        <v>341</v>
      </c>
      <c r="I2"/>
      <c r="J2"/>
      <c r="K2"/>
      <c r="L2" t="s">
        <v>340</v>
      </c>
      <c r="M2"/>
      <c r="N2"/>
      <c r="O2"/>
      <c r="P2" t="s">
        <v>16</v>
      </c>
      <c r="Q2"/>
      <c r="R2"/>
      <c r="S2" s="331"/>
      <c r="T2" t="s">
        <v>343</v>
      </c>
      <c r="U2"/>
      <c r="V2"/>
      <c r="W2"/>
      <c r="X2" t="s">
        <v>18</v>
      </c>
      <c r="Y2"/>
    </row>
    <row r="3" spans="1:25" x14ac:dyDescent="0.3">
      <c r="C3"/>
      <c r="D3"/>
      <c r="G3"/>
      <c r="H3" s="8"/>
      <c r="I3"/>
      <c r="J3"/>
      <c r="K3"/>
      <c r="L3"/>
      <c r="M3"/>
      <c r="N3"/>
      <c r="O3"/>
      <c r="P3"/>
      <c r="Q3"/>
      <c r="R3"/>
      <c r="S3" s="331"/>
      <c r="T3"/>
      <c r="U3"/>
      <c r="V3"/>
      <c r="W3"/>
      <c r="X3"/>
      <c r="Y3"/>
    </row>
    <row r="4" spans="1:25" x14ac:dyDescent="0.3">
      <c r="C4" t="s">
        <v>344</v>
      </c>
      <c r="D4" s="8" t="s">
        <v>345</v>
      </c>
      <c r="E4" s="8" t="s">
        <v>346</v>
      </c>
      <c r="F4" s="8" t="s">
        <v>347</v>
      </c>
      <c r="G4"/>
      <c r="H4" s="8" t="s">
        <v>348</v>
      </c>
      <c r="I4" s="8" t="s">
        <v>349</v>
      </c>
      <c r="J4"/>
      <c r="K4"/>
      <c r="L4" s="271" t="s">
        <v>348</v>
      </c>
      <c r="M4" t="s">
        <v>349</v>
      </c>
      <c r="N4"/>
      <c r="O4"/>
      <c r="P4" s="271" t="s">
        <v>348</v>
      </c>
      <c r="Q4" t="s">
        <v>349</v>
      </c>
      <c r="R4"/>
      <c r="S4" s="331"/>
      <c r="T4" s="271" t="s">
        <v>348</v>
      </c>
      <c r="U4" t="s">
        <v>349</v>
      </c>
      <c r="V4"/>
      <c r="W4"/>
      <c r="X4" s="271" t="s">
        <v>348</v>
      </c>
      <c r="Y4" t="s">
        <v>349</v>
      </c>
    </row>
    <row r="5" spans="1:25" x14ac:dyDescent="0.3">
      <c r="A5" t="s">
        <v>126</v>
      </c>
      <c r="B5" t="s">
        <v>350</v>
      </c>
      <c r="C5" s="11">
        <f>Summary!W42</f>
        <v>9600</v>
      </c>
      <c r="D5" s="23"/>
      <c r="E5" s="8"/>
      <c r="F5" s="8"/>
      <c r="H5" s="327">
        <f t="shared" ref="H5" si="0">E6*H6</f>
        <v>9603.2453990717931</v>
      </c>
      <c r="I5" s="8"/>
      <c r="L5" s="325">
        <f>Summary!W42</f>
        <v>9600</v>
      </c>
      <c r="M5"/>
      <c r="P5" s="325">
        <f>$L5*Summary!Y5/Summary!$W$5</f>
        <v>4822.9665071770332</v>
      </c>
      <c r="Q5"/>
      <c r="T5" s="325">
        <f>$L5*Summary!Z5/Summary!$W$5</f>
        <v>10656.45933014354</v>
      </c>
      <c r="U5"/>
      <c r="V5"/>
      <c r="W5"/>
      <c r="X5" s="325">
        <f>$L5*Summary!AA5/Summary!$W$5</f>
        <v>16489.952153110047</v>
      </c>
      <c r="Y5"/>
    </row>
    <row r="6" spans="1:25" x14ac:dyDescent="0.3">
      <c r="B6" t="s">
        <v>351</v>
      </c>
      <c r="C6"/>
      <c r="D6" s="331">
        <v>0.11533146089698754</v>
      </c>
      <c r="E6" s="272">
        <f t="shared" ref="E6:E16" si="1">1-D6</f>
        <v>0.88466853910301246</v>
      </c>
      <c r="F6" s="272">
        <f t="shared" ref="F6:F15" si="2">E6*F7</f>
        <v>0.53649415637272591</v>
      </c>
      <c r="H6" s="11">
        <f>E7*H8</f>
        <v>10855.190361814792</v>
      </c>
      <c r="I6" s="11">
        <f t="shared" ref="I6" si="3">H6-H5</f>
        <v>1251.9449627429985</v>
      </c>
      <c r="J6" s="321"/>
      <c r="K6" s="337">
        <v>5.5489114529378165E-2</v>
      </c>
      <c r="L6" s="11">
        <f>L5/(1-K6)</f>
        <v>10163.990852489333</v>
      </c>
      <c r="M6" s="11">
        <f>L6-L5</f>
        <v>563.99085248933261</v>
      </c>
      <c r="O6" s="331">
        <f>$K6</f>
        <v>5.5489114529378165E-2</v>
      </c>
      <c r="P6" s="11">
        <f>P5/(1-O6)</f>
        <v>5106.3111938343536</v>
      </c>
      <c r="Q6" s="11">
        <f>P6-P5</f>
        <v>283.34468665732038</v>
      </c>
      <c r="S6" s="331">
        <f>$K6</f>
        <v>5.5489114529378165E-2</v>
      </c>
      <c r="T6" s="11">
        <f>T5/(1-S6)</f>
        <v>11282.516161614953</v>
      </c>
      <c r="U6" s="11">
        <f>T6-T5</f>
        <v>626.05683147141281</v>
      </c>
      <c r="V6"/>
      <c r="W6" s="331">
        <f>$K6</f>
        <v>5.5489114529378165E-2</v>
      </c>
      <c r="X6" s="11">
        <f>X5/(1-W6)</f>
        <v>17458.721129395552</v>
      </c>
      <c r="Y6" s="11">
        <f>X6-X5</f>
        <v>968.76897628550432</v>
      </c>
    </row>
    <row r="7" spans="1:25" x14ac:dyDescent="0.3">
      <c r="B7" t="s">
        <v>352</v>
      </c>
      <c r="C7"/>
      <c r="D7" s="329">
        <v>3.2000000000000001E-2</v>
      </c>
      <c r="E7" s="272">
        <f t="shared" si="1"/>
        <v>0.96799999999999997</v>
      </c>
      <c r="F7" s="272">
        <f>E7*F9</f>
        <v>0.60643521574384318</v>
      </c>
      <c r="H7"/>
      <c r="I7" s="11">
        <f>H8-H6</f>
        <v>358.84926815916697</v>
      </c>
      <c r="J7" s="321"/>
      <c r="K7" s="331">
        <f>$D7</f>
        <v>3.2000000000000001E-2</v>
      </c>
      <c r="L7"/>
      <c r="M7" s="330">
        <f>L8-L6</f>
        <v>335.99969760295426</v>
      </c>
      <c r="O7" s="331">
        <f>$K7</f>
        <v>3.2000000000000001E-2</v>
      </c>
      <c r="P7"/>
      <c r="Q7" s="11">
        <f>P8-P6</f>
        <v>168.80367582923463</v>
      </c>
      <c r="S7" s="331">
        <f>$K7*S$28</f>
        <v>3.5630954479867485E-2</v>
      </c>
      <c r="T7"/>
      <c r="U7" s="11">
        <f>T8-T6</f>
        <v>416.85993722045532</v>
      </c>
      <c r="V7"/>
      <c r="W7" s="331">
        <f>$K7*W$28</f>
        <v>3.9341028419277141E-2</v>
      </c>
      <c r="X7"/>
      <c r="Y7" s="11">
        <f>X8-X6</f>
        <v>714.97176879076142</v>
      </c>
    </row>
    <row r="8" spans="1:25" x14ac:dyDescent="0.3">
      <c r="B8" s="274" t="s">
        <v>353</v>
      </c>
      <c r="C8" s="11">
        <f>Summary!W38</f>
        <v>10500</v>
      </c>
      <c r="D8" s="328"/>
      <c r="E8" s="272"/>
      <c r="F8" s="272"/>
      <c r="H8" s="327">
        <f>E9*H9</f>
        <v>11214.039629973959</v>
      </c>
      <c r="I8" s="11"/>
      <c r="J8" s="321"/>
      <c r="K8" s="331"/>
      <c r="L8" s="327">
        <f>L6/(1-K7)</f>
        <v>10499.990550092287</v>
      </c>
      <c r="M8" s="11"/>
      <c r="O8" s="331"/>
      <c r="P8" s="327">
        <f>P6/(1-O7)</f>
        <v>5275.1148696635883</v>
      </c>
      <c r="Q8" s="11"/>
      <c r="S8" s="331"/>
      <c r="T8" s="327">
        <f>T6/(1-S7)</f>
        <v>11699.376098835408</v>
      </c>
      <c r="U8" s="11"/>
      <c r="V8"/>
      <c r="W8" s="331"/>
      <c r="X8" s="327">
        <f>X6/(1-W7)</f>
        <v>18173.692898186313</v>
      </c>
      <c r="Y8" s="11"/>
    </row>
    <row r="9" spans="1:25" x14ac:dyDescent="0.3">
      <c r="B9" t="s">
        <v>354</v>
      </c>
      <c r="C9"/>
      <c r="D9" s="328">
        <f>1-0.949</f>
        <v>5.1000000000000045E-2</v>
      </c>
      <c r="E9" s="272">
        <f t="shared" si="1"/>
        <v>0.94899999999999995</v>
      </c>
      <c r="F9" s="272">
        <f t="shared" si="2"/>
        <v>0.62648266089240001</v>
      </c>
      <c r="H9" s="11">
        <f>E10*H11</f>
        <v>11816.69086404</v>
      </c>
      <c r="I9" s="11">
        <f>H9-H8</f>
        <v>602.65123406604107</v>
      </c>
      <c r="J9" s="321"/>
      <c r="K9" s="337">
        <f>$D9*K28</f>
        <v>8.7525804112975877E-2</v>
      </c>
      <c r="L9" s="11">
        <f>L8/(1-K9)</f>
        <v>11507.164364122269</v>
      </c>
      <c r="M9" s="11">
        <f>L9-L8</f>
        <v>1007.1738140299822</v>
      </c>
      <c r="O9" s="331">
        <f>$K9</f>
        <v>8.7525804112975877E-2</v>
      </c>
      <c r="P9" s="11">
        <f>P8/(1-O9)</f>
        <v>5781.111283410708</v>
      </c>
      <c r="Q9" s="11">
        <f>P9-P8</f>
        <v>505.99641374711973</v>
      </c>
      <c r="S9" s="331">
        <f>$K9</f>
        <v>8.7525804112975877E-2</v>
      </c>
      <c r="T9" s="11">
        <f>T8/(1-S9)</f>
        <v>12821.596656179785</v>
      </c>
      <c r="U9" s="11">
        <f>T9-T8</f>
        <v>1122.2205573443771</v>
      </c>
      <c r="V9"/>
      <c r="W9" s="331">
        <f>$K9</f>
        <v>8.7525804112975877E-2</v>
      </c>
      <c r="X9" s="11">
        <f>X8/(1-W9)</f>
        <v>19916.93899959495</v>
      </c>
      <c r="Y9" s="11">
        <f>X9-X8</f>
        <v>1743.2461014086366</v>
      </c>
    </row>
    <row r="10" spans="1:25" x14ac:dyDescent="0.3">
      <c r="B10" t="s">
        <v>355</v>
      </c>
      <c r="C10"/>
      <c r="D10" s="329">
        <v>0</v>
      </c>
      <c r="E10" s="272">
        <f t="shared" si="1"/>
        <v>1</v>
      </c>
      <c r="F10" s="272">
        <f>E10*F12</f>
        <v>0.66015032760000003</v>
      </c>
      <c r="I10" s="11">
        <f>H11-H9</f>
        <v>0</v>
      </c>
      <c r="J10" s="321"/>
      <c r="K10" s="331">
        <f>$D10</f>
        <v>0</v>
      </c>
      <c r="M10" s="330">
        <f>L11-L9</f>
        <v>0</v>
      </c>
      <c r="O10" s="331">
        <f>$K10</f>
        <v>0</v>
      </c>
      <c r="Q10" s="11">
        <f>P11-P9</f>
        <v>0</v>
      </c>
      <c r="S10" s="331">
        <f>$K10*S$28</f>
        <v>0</v>
      </c>
      <c r="U10" s="11">
        <f>T11-T9</f>
        <v>0</v>
      </c>
      <c r="V10"/>
      <c r="W10" s="331">
        <f>$K10*W$28</f>
        <v>0</v>
      </c>
      <c r="Y10" s="11">
        <f>X11-X9</f>
        <v>0</v>
      </c>
    </row>
    <row r="11" spans="1:25" x14ac:dyDescent="0.3">
      <c r="B11" s="274" t="s">
        <v>386</v>
      </c>
      <c r="C11"/>
      <c r="D11" s="331"/>
      <c r="E11" s="272"/>
      <c r="F11" s="272"/>
      <c r="H11" s="11">
        <f>E12*H12</f>
        <v>11816.69086404</v>
      </c>
      <c r="I11" s="11"/>
      <c r="J11" s="321"/>
      <c r="K11" s="331"/>
      <c r="L11" s="11">
        <f>L9/(1-K10)</f>
        <v>11507.164364122269</v>
      </c>
      <c r="M11" s="11"/>
      <c r="O11" s="331"/>
      <c r="P11" s="11">
        <f>P9/(1-O10)</f>
        <v>5781.111283410708</v>
      </c>
      <c r="Q11" s="11"/>
      <c r="S11" s="331"/>
      <c r="T11" s="11">
        <f>T9/(1-S10)</f>
        <v>12821.596656179785</v>
      </c>
      <c r="U11" s="11"/>
      <c r="V11"/>
      <c r="W11" s="331"/>
      <c r="X11" s="11">
        <f>X9/(1-W10)</f>
        <v>19916.93899959495</v>
      </c>
      <c r="Y11" s="11"/>
    </row>
    <row r="12" spans="1:25" x14ac:dyDescent="0.3">
      <c r="B12" t="s">
        <v>356</v>
      </c>
      <c r="C12"/>
      <c r="D12" s="328">
        <f>1-0.958</f>
        <v>4.2000000000000037E-2</v>
      </c>
      <c r="E12" s="272">
        <f t="shared" si="1"/>
        <v>0.95799999999999996</v>
      </c>
      <c r="F12" s="272">
        <f t="shared" si="2"/>
        <v>0.66015032760000003</v>
      </c>
      <c r="H12" s="11">
        <f>E13*H14</f>
        <v>12334.750379999999</v>
      </c>
      <c r="I12" s="11">
        <f>H12-H11</f>
        <v>518.05951595999977</v>
      </c>
      <c r="J12" s="321"/>
      <c r="K12" s="331">
        <f>$D12*K28</f>
        <v>7.2080073975391901E-2</v>
      </c>
      <c r="L12" s="11">
        <f>L11/(1-K12)</f>
        <v>12401.031642268132</v>
      </c>
      <c r="M12" s="11">
        <f>L12-L11</f>
        <v>893.86727814586266</v>
      </c>
      <c r="O12" s="331">
        <f>$K12</f>
        <v>7.2080073975391901E-2</v>
      </c>
      <c r="P12" s="11">
        <f>P11/(1-O12)</f>
        <v>6230.1833609481037</v>
      </c>
      <c r="Q12" s="11">
        <f>P12-P11</f>
        <v>449.07207753739567</v>
      </c>
      <c r="S12" s="331">
        <f>$K12</f>
        <v>7.2080073975391901E-2</v>
      </c>
      <c r="T12" s="11">
        <f>T11/(1-S12)</f>
        <v>13817.567978209105</v>
      </c>
      <c r="U12" s="11">
        <f>T12-T11</f>
        <v>995.97132202931971</v>
      </c>
      <c r="V12"/>
      <c r="W12" s="331">
        <f>$K12</f>
        <v>7.2080073975391901E-2</v>
      </c>
      <c r="X12" s="11">
        <f>X11/(1-W12)</f>
        <v>21464.070811500991</v>
      </c>
      <c r="Y12" s="11">
        <f>X12-X11</f>
        <v>1547.1318119060415</v>
      </c>
    </row>
    <row r="13" spans="1:25" x14ac:dyDescent="0.3">
      <c r="B13" t="s">
        <v>357</v>
      </c>
      <c r="C13"/>
      <c r="D13" s="329">
        <v>0.22600000000000001</v>
      </c>
      <c r="E13" s="272">
        <f t="shared" si="1"/>
        <v>0.77400000000000002</v>
      </c>
      <c r="F13" s="272">
        <f>E13*F15</f>
        <v>0.68909220000000004</v>
      </c>
      <c r="H13"/>
      <c r="I13" s="11">
        <f>H14-H12</f>
        <v>3601.6196199999995</v>
      </c>
      <c r="J13" s="321"/>
      <c r="K13" s="331">
        <f>$D13</f>
        <v>0.22600000000000001</v>
      </c>
      <c r="L13"/>
      <c r="M13" s="330">
        <f>L14-L12</f>
        <v>3620.9730635046471</v>
      </c>
      <c r="O13" s="331">
        <f>$K13</f>
        <v>0.22600000000000001</v>
      </c>
      <c r="P13"/>
      <c r="Q13" s="11">
        <f>P14-P12</f>
        <v>1819.1491467367841</v>
      </c>
      <c r="S13" s="331">
        <f>$K13*S$28</f>
        <v>0.2516436160140641</v>
      </c>
      <c r="T13"/>
      <c r="U13" s="11">
        <f>T14-T12</f>
        <v>4646.3193806629224</v>
      </c>
      <c r="V13"/>
      <c r="W13" s="331">
        <f>$K13*W$28</f>
        <v>0.27784601321114477</v>
      </c>
      <c r="X13"/>
      <c r="Y13" s="11">
        <f>X14-X12</f>
        <v>8258.2200075853507</v>
      </c>
    </row>
    <row r="14" spans="1:25" x14ac:dyDescent="0.3">
      <c r="B14" s="274" t="s">
        <v>358</v>
      </c>
      <c r="C14" s="11">
        <f>Summary!W34</f>
        <v>16000</v>
      </c>
      <c r="D14" s="328"/>
      <c r="E14" s="272"/>
      <c r="F14" s="272"/>
      <c r="H14" s="327">
        <f>E15*H15</f>
        <v>15936.369999999999</v>
      </c>
      <c r="I14" s="11"/>
      <c r="J14" s="321"/>
      <c r="K14" s="328"/>
      <c r="L14" s="327">
        <f>L12/(1-K13)</f>
        <v>16022.004705772779</v>
      </c>
      <c r="M14" s="11"/>
      <c r="O14" s="331"/>
      <c r="P14" s="327">
        <f>P12/(1-O13)</f>
        <v>8049.3325076848878</v>
      </c>
      <c r="Q14" s="11"/>
      <c r="S14" s="331"/>
      <c r="T14" s="327">
        <f>T12/(1-S13)</f>
        <v>18463.887358872027</v>
      </c>
      <c r="U14" s="11"/>
      <c r="V14"/>
      <c r="W14" s="331"/>
      <c r="X14" s="11">
        <f>X12/(1-W13)</f>
        <v>29722.290819086342</v>
      </c>
      <c r="Y14" s="11"/>
    </row>
    <row r="15" spans="1:25" x14ac:dyDescent="0.3">
      <c r="B15" t="s">
        <v>359</v>
      </c>
      <c r="C15"/>
      <c r="D15" s="331">
        <v>0</v>
      </c>
      <c r="E15" s="272">
        <f t="shared" si="1"/>
        <v>1</v>
      </c>
      <c r="F15" s="272">
        <f t="shared" si="2"/>
        <v>0.89029999999999998</v>
      </c>
      <c r="H15" s="11">
        <f>E16*H17</f>
        <v>15936.369999999999</v>
      </c>
      <c r="I15" s="11">
        <f>H15-H14</f>
        <v>0</v>
      </c>
      <c r="J15" s="321"/>
      <c r="K15" s="331">
        <f>$D15</f>
        <v>0</v>
      </c>
      <c r="L15" s="11">
        <f>L14/(1-K15)</f>
        <v>16022.004705772779</v>
      </c>
      <c r="M15" s="11">
        <f>L15-L14</f>
        <v>0</v>
      </c>
      <c r="O15" s="331">
        <f>$K15</f>
        <v>0</v>
      </c>
      <c r="P15" s="11">
        <f>P14/(1-O15)</f>
        <v>8049.3325076848878</v>
      </c>
      <c r="Q15" s="11">
        <f>P15-P14</f>
        <v>0</v>
      </c>
      <c r="S15" s="331">
        <f>$K15</f>
        <v>0</v>
      </c>
      <c r="T15" s="11">
        <f>T14/(1-S15)</f>
        <v>18463.887358872027</v>
      </c>
      <c r="U15" s="11">
        <f>T15-T14</f>
        <v>0</v>
      </c>
      <c r="V15"/>
      <c r="W15" s="331">
        <f>$K15</f>
        <v>0</v>
      </c>
      <c r="X15" s="11">
        <f>X14/(1-W15)</f>
        <v>29722.290819086342</v>
      </c>
      <c r="Y15" s="11">
        <f>X15-X14</f>
        <v>0</v>
      </c>
    </row>
    <row r="16" spans="1:25" x14ac:dyDescent="0.3">
      <c r="B16" t="s">
        <v>360</v>
      </c>
      <c r="C16"/>
      <c r="D16" s="329">
        <v>0.10970000000000001</v>
      </c>
      <c r="E16" s="272">
        <f t="shared" si="1"/>
        <v>0.89029999999999998</v>
      </c>
      <c r="F16" s="272">
        <f>E16</f>
        <v>0.89029999999999998</v>
      </c>
      <c r="H16"/>
      <c r="I16" s="11">
        <f>H17-H15</f>
        <v>1963.630000000001</v>
      </c>
      <c r="J16" s="321"/>
      <c r="K16" s="337">
        <f>1-(C14/C17)</f>
        <v>0.1061452513966481</v>
      </c>
      <c r="L16"/>
      <c r="M16" s="330">
        <f>L17-L15</f>
        <v>1902.6130588105189</v>
      </c>
      <c r="O16" s="331">
        <f>$K16</f>
        <v>0.1061452513966481</v>
      </c>
      <c r="P16"/>
      <c r="Q16" s="11">
        <f>P17-P15</f>
        <v>955.85823528758101</v>
      </c>
      <c r="S16" s="331">
        <f>$K16*S$28</f>
        <v>0.11818926939900185</v>
      </c>
      <c r="T16"/>
      <c r="U16" s="11">
        <f>T17-T15</f>
        <v>2474.7185325395731</v>
      </c>
      <c r="V16"/>
      <c r="W16" s="331">
        <f>$K16*W$28</f>
        <v>0.13049572974271403</v>
      </c>
      <c r="X16"/>
      <c r="Y16" s="11">
        <f>X17-X15</f>
        <v>4460.739484251364</v>
      </c>
    </row>
    <row r="17" spans="2:27" x14ac:dyDescent="0.3">
      <c r="B17" t="s">
        <v>361</v>
      </c>
      <c r="C17" s="379">
        <f>Summary!W30</f>
        <v>17900</v>
      </c>
      <c r="D17" s="380"/>
      <c r="E17" s="381"/>
      <c r="F17" s="381"/>
      <c r="G17" s="256"/>
      <c r="H17" s="327">
        <f>C17</f>
        <v>17900</v>
      </c>
      <c r="I17" s="379"/>
      <c r="J17" s="382"/>
      <c r="K17" s="383"/>
      <c r="L17" s="327">
        <f>L15/(1-K16)</f>
        <v>17924.617764583298</v>
      </c>
      <c r="M17" s="379"/>
      <c r="N17" s="256"/>
      <c r="O17" s="380"/>
      <c r="P17" s="327">
        <f>P15/(1-O16)</f>
        <v>9005.1907429724688</v>
      </c>
      <c r="Q17" s="379"/>
      <c r="R17" s="256"/>
      <c r="S17" s="380"/>
      <c r="T17" s="327">
        <f>T15/(1-S16)</f>
        <v>20938.6058914116</v>
      </c>
      <c r="U17" s="379"/>
      <c r="V17" s="61"/>
      <c r="W17" s="384"/>
      <c r="X17" s="327">
        <f>X15/(1-W16)</f>
        <v>34183.030303337706</v>
      </c>
      <c r="Y17" s="379"/>
    </row>
    <row r="18" spans="2:27" x14ac:dyDescent="0.3">
      <c r="B18" t="s">
        <v>403</v>
      </c>
      <c r="C18" s="11"/>
      <c r="D18" s="385">
        <f>Summary!W18+Summary!W19</f>
        <v>0.19489999999999996</v>
      </c>
      <c r="E18" s="272"/>
      <c r="F18" s="272"/>
      <c r="H18" s="11"/>
      <c r="I18" s="11"/>
      <c r="J18" s="11"/>
      <c r="K18" s="331">
        <f>$D18</f>
        <v>0.19489999999999996</v>
      </c>
      <c r="L18" s="11"/>
      <c r="M18" s="11">
        <f>K18*L19</f>
        <v>4339.2224597159156</v>
      </c>
      <c r="N18"/>
      <c r="O18" s="331">
        <f>$D18</f>
        <v>0.19489999999999996</v>
      </c>
      <c r="P18" s="11"/>
      <c r="Q18" s="11">
        <f>O18*P19</f>
        <v>2179.9921448333548</v>
      </c>
      <c r="R18"/>
      <c r="S18" s="331">
        <f>$D18</f>
        <v>0.19489999999999996</v>
      </c>
      <c r="T18" s="11"/>
      <c r="U18" s="11">
        <f>S18*T19</f>
        <v>5068.8539165769716</v>
      </c>
      <c r="V18"/>
      <c r="W18" s="331">
        <f>$D18</f>
        <v>0.19489999999999996</v>
      </c>
      <c r="X18" s="11"/>
      <c r="Y18" s="11">
        <f>W18*X19</f>
        <v>8275.0870775313833</v>
      </c>
    </row>
    <row r="19" spans="2:27" x14ac:dyDescent="0.3">
      <c r="B19" t="s">
        <v>404</v>
      </c>
      <c r="C19" s="11"/>
      <c r="D19" s="328"/>
      <c r="E19" s="272"/>
      <c r="F19" s="272"/>
      <c r="H19" s="11"/>
      <c r="I19"/>
      <c r="J19" s="11"/>
      <c r="K19" s="272"/>
      <c r="L19" s="11">
        <f>L17/(1-K18)</f>
        <v>22263.840224299212</v>
      </c>
      <c r="M19" s="11"/>
      <c r="N19"/>
      <c r="O19" s="331"/>
      <c r="P19" s="11">
        <f>P17/(1-O18)</f>
        <v>11185.182887805824</v>
      </c>
      <c r="Q19" s="11"/>
      <c r="R19"/>
      <c r="S19" s="331"/>
      <c r="T19" s="11">
        <f>T17/(1-S18)</f>
        <v>26007.459807988573</v>
      </c>
      <c r="U19" s="11"/>
      <c r="V19"/>
      <c r="W19" s="272"/>
      <c r="X19" s="11">
        <f>X17/(1-W18)</f>
        <v>42458.117380869087</v>
      </c>
      <c r="Y19" s="11"/>
    </row>
    <row r="20" spans="2:27" x14ac:dyDescent="0.3">
      <c r="C20"/>
      <c r="D20" s="23"/>
      <c r="E20" s="8"/>
      <c r="F20" s="8"/>
      <c r="H20"/>
      <c r="I20"/>
      <c r="L20" s="11"/>
      <c r="M20"/>
      <c r="P20" s="11"/>
      <c r="Q20"/>
      <c r="T20" s="11"/>
      <c r="U20"/>
      <c r="V20"/>
      <c r="W20"/>
      <c r="X20" s="11"/>
      <c r="Y20"/>
    </row>
    <row r="21" spans="2:27" x14ac:dyDescent="0.3">
      <c r="B21" s="40" t="s">
        <v>405</v>
      </c>
      <c r="C21" s="41">
        <f>Summary!W46</f>
        <v>6000</v>
      </c>
      <c r="H21"/>
      <c r="I21" s="41">
        <f>I7+I10+I13+I16</f>
        <v>5924.0988881591675</v>
      </c>
      <c r="L21" s="11"/>
      <c r="M21" s="11">
        <f>M7+M10+M13+M16</f>
        <v>5859.5858199181203</v>
      </c>
      <c r="P21" s="11"/>
      <c r="Q21" s="11">
        <f>Q7+Q10+Q13+Q16</f>
        <v>2943.8110578535998</v>
      </c>
      <c r="T21" s="11"/>
      <c r="U21" s="11">
        <f>U7+U10+U13+U16</f>
        <v>7537.8978504229508</v>
      </c>
      <c r="V21"/>
      <c r="W21"/>
      <c r="X21" s="11"/>
      <c r="Y21" s="11">
        <f>Y7+Y10+Y13+Y16</f>
        <v>13433.931260627476</v>
      </c>
    </row>
    <row r="22" spans="2:27" x14ac:dyDescent="0.3">
      <c r="B22" s="40" t="s">
        <v>362</v>
      </c>
      <c r="C22" s="332">
        <f>Summary!X20+Summary!X22+Summary!X23</f>
        <v>0.33255097051299709</v>
      </c>
      <c r="H22"/>
      <c r="I22" s="332">
        <f>I21/H17</f>
        <v>0.33095524514855684</v>
      </c>
      <c r="K22" s="328"/>
      <c r="L22" s="11"/>
      <c r="M22" s="226">
        <f>M21/L17</f>
        <v>0.32690157730983227</v>
      </c>
      <c r="P22" s="11"/>
      <c r="Q22" s="226">
        <f>Q21/P17</f>
        <v>0.32690157730983221</v>
      </c>
      <c r="R22" s="333"/>
      <c r="S22" s="344"/>
      <c r="T22" s="226"/>
      <c r="U22" s="226">
        <f>U21/T17</f>
        <v>0.359999987081985</v>
      </c>
      <c r="V22" s="226"/>
      <c r="W22" s="226"/>
      <c r="X22" s="226"/>
      <c r="Y22" s="226">
        <f>Y21/X17</f>
        <v>0.39300001028041559</v>
      </c>
      <c r="AA22" t="s">
        <v>408</v>
      </c>
    </row>
    <row r="23" spans="2:27" x14ac:dyDescent="0.3">
      <c r="B23" s="40" t="s">
        <v>363</v>
      </c>
      <c r="C23" s="322"/>
      <c r="H23"/>
      <c r="I23" s="41">
        <f>I6+I9+I12+I15</f>
        <v>2372.6557127690394</v>
      </c>
      <c r="L23" s="11"/>
      <c r="M23" s="41">
        <f>M6+M9+M12+M15</f>
        <v>2465.0319446651774</v>
      </c>
      <c r="P23" s="11"/>
      <c r="Q23" s="41">
        <f>Q6+Q9+Q12+Q15</f>
        <v>1238.4131779418358</v>
      </c>
      <c r="T23" s="11"/>
      <c r="U23" s="41">
        <f>U6+U9+U12+U15</f>
        <v>2744.2487108451096</v>
      </c>
      <c r="V23"/>
      <c r="W23"/>
      <c r="X23" s="11"/>
      <c r="Y23" s="41">
        <f>Y6+Y9+Y12+Y15</f>
        <v>4259.1468896001825</v>
      </c>
    </row>
    <row r="24" spans="2:27" x14ac:dyDescent="0.3">
      <c r="B24" s="40" t="s">
        <v>364</v>
      </c>
      <c r="C24" s="322"/>
      <c r="H24"/>
      <c r="I24" s="332">
        <f>I23/H17</f>
        <v>0.13255059847871728</v>
      </c>
      <c r="L24" s="11"/>
      <c r="M24" s="332">
        <f>M23/L17</f>
        <v>0.13752214842403829</v>
      </c>
      <c r="P24" s="11"/>
      <c r="Q24" s="332">
        <f>Q23/P17</f>
        <v>0.13752214842403832</v>
      </c>
      <c r="T24" s="11"/>
      <c r="U24" s="332">
        <f>U23/T17</f>
        <v>0.13106167263842144</v>
      </c>
      <c r="V24"/>
      <c r="W24"/>
      <c r="X24" s="11"/>
      <c r="Y24" s="332">
        <f>Y23/X17</f>
        <v>0.12459828317749554</v>
      </c>
    </row>
    <row r="25" spans="2:27" x14ac:dyDescent="0.3">
      <c r="T25"/>
      <c r="U25"/>
      <c r="V25"/>
      <c r="W25"/>
      <c r="X25"/>
      <c r="Y25"/>
    </row>
    <row r="26" spans="2:27" s="334" customFormat="1" x14ac:dyDescent="0.3">
      <c r="B26" s="335" t="s">
        <v>365</v>
      </c>
      <c r="C26" s="338"/>
      <c r="D26" s="333"/>
      <c r="E26" s="226"/>
      <c r="F26" s="226"/>
      <c r="G26" s="333"/>
      <c r="H26" s="333"/>
      <c r="I26" s="333"/>
      <c r="J26" s="333"/>
      <c r="K26" s="333"/>
      <c r="L26" s="333"/>
      <c r="M26" s="334">
        <f>M22</f>
        <v>0.32690157730983227</v>
      </c>
      <c r="N26" s="333"/>
      <c r="O26" s="333"/>
      <c r="P26" s="333"/>
      <c r="Q26" s="334">
        <f>M26</f>
        <v>0.32690157730983227</v>
      </c>
      <c r="R26" s="333"/>
      <c r="S26" s="344"/>
      <c r="T26" s="226"/>
      <c r="U26" s="226">
        <f>AVERAGE(Q26,Y26)</f>
        <v>0.35999379365491618</v>
      </c>
      <c r="V26" s="226"/>
      <c r="W26" s="226"/>
      <c r="X26" s="226"/>
      <c r="Y26" s="226">
        <f>0.55-D18*(1-D18)</f>
        <v>0.3930860100000001</v>
      </c>
    </row>
    <row r="27" spans="2:27" s="334" customFormat="1" x14ac:dyDescent="0.3">
      <c r="B27" s="335"/>
      <c r="C27" s="338"/>
      <c r="D27" s="333"/>
      <c r="E27" s="226"/>
      <c r="F27" s="226"/>
      <c r="G27" s="333"/>
      <c r="H27" s="333"/>
      <c r="I27" s="333"/>
      <c r="J27" s="333"/>
      <c r="K27" s="333"/>
      <c r="L27" s="338"/>
      <c r="M27" s="333"/>
      <c r="N27" s="333"/>
      <c r="O27" s="333"/>
      <c r="P27" s="333"/>
      <c r="Q27" s="333"/>
      <c r="R27" s="333"/>
      <c r="S27" s="344"/>
      <c r="T27" s="226"/>
      <c r="U27" s="226"/>
      <c r="V27" s="226"/>
      <c r="W27" s="226"/>
      <c r="X27" s="226"/>
      <c r="Y27" s="226"/>
      <c r="AA27" s="226"/>
    </row>
    <row r="28" spans="2:27" s="334" customFormat="1" x14ac:dyDescent="0.3">
      <c r="B28" s="336" t="s">
        <v>377</v>
      </c>
      <c r="C28" s="338"/>
      <c r="D28" s="333"/>
      <c r="E28" s="226"/>
      <c r="F28" s="226"/>
      <c r="G28" s="333"/>
      <c r="H28" s="333"/>
      <c r="I28" s="333"/>
      <c r="J28" s="333"/>
      <c r="K28" s="347">
        <v>1.7161922375093295</v>
      </c>
      <c r="L28" s="338"/>
      <c r="M28" s="333"/>
      <c r="N28" s="333"/>
      <c r="O28" s="333"/>
      <c r="P28" s="333"/>
      <c r="Q28" s="333"/>
      <c r="R28" s="333"/>
      <c r="S28" s="346">
        <v>1.1134673274958589</v>
      </c>
      <c r="T28" s="226"/>
      <c r="U28" s="226"/>
      <c r="V28" s="226"/>
      <c r="W28" s="345">
        <v>1.2294071381024105</v>
      </c>
      <c r="X28" s="226"/>
      <c r="Y28" s="226"/>
    </row>
    <row r="29" spans="2:27" s="334" customFormat="1" x14ac:dyDescent="0.3">
      <c r="B29" s="336"/>
      <c r="C29" s="338"/>
      <c r="D29" s="333"/>
      <c r="E29" s="226"/>
      <c r="F29" s="226"/>
      <c r="G29" s="333"/>
      <c r="H29" s="333"/>
      <c r="I29" s="333"/>
      <c r="J29" s="333"/>
      <c r="K29" s="386"/>
      <c r="L29" s="338"/>
      <c r="M29" s="333"/>
      <c r="N29" s="333"/>
      <c r="O29" s="333"/>
      <c r="P29" s="333"/>
      <c r="Q29" s="333"/>
      <c r="R29" s="333"/>
      <c r="S29" s="387"/>
      <c r="T29" s="226"/>
      <c r="U29" s="226"/>
      <c r="V29" s="226"/>
      <c r="W29" s="388"/>
      <c r="X29" s="226"/>
      <c r="Y29" s="226"/>
    </row>
    <row r="30" spans="2:27" s="334" customFormat="1" x14ac:dyDescent="0.3">
      <c r="B30" s="40" t="s">
        <v>406</v>
      </c>
      <c r="C30" s="338"/>
      <c r="D30" s="333"/>
      <c r="E30" s="226"/>
      <c r="F30" s="226"/>
      <c r="G30" s="333"/>
      <c r="H30" s="333"/>
      <c r="I30" s="333"/>
      <c r="J30" s="333"/>
      <c r="K30" s="386"/>
      <c r="L30" s="338"/>
      <c r="M30" s="396">
        <f>M21+M18</f>
        <v>10198.808279634035</v>
      </c>
      <c r="N30" s="333"/>
      <c r="O30" s="333"/>
      <c r="P30" s="333"/>
      <c r="Q30" s="396">
        <f>Q21+Q18</f>
        <v>5123.803202686955</v>
      </c>
      <c r="R30" s="333"/>
      <c r="S30" s="387"/>
      <c r="T30" s="226"/>
      <c r="U30" s="396">
        <f>U21+U18</f>
        <v>12606.751766999922</v>
      </c>
      <c r="V30" s="226"/>
      <c r="W30" s="388"/>
      <c r="X30" s="226"/>
      <c r="Y30" s="396">
        <f>Y21+Y18</f>
        <v>21709.018338158858</v>
      </c>
    </row>
    <row r="31" spans="2:27" s="334" customFormat="1" x14ac:dyDescent="0.3">
      <c r="B31" s="394" t="s">
        <v>407</v>
      </c>
      <c r="C31" s="335">
        <f>Summary!W25</f>
        <v>0.4624520461724535</v>
      </c>
      <c r="K31" s="386"/>
      <c r="L31" s="335"/>
      <c r="M31" s="334">
        <f>M30/L19</f>
        <v>0.45808845989214592</v>
      </c>
      <c r="Q31" s="334">
        <f>Q30/P19</f>
        <v>0.45808845989214592</v>
      </c>
      <c r="S31" s="387"/>
      <c r="U31" s="334">
        <f>U30/T19</f>
        <v>0.48473598959970604</v>
      </c>
      <c r="W31" s="395"/>
      <c r="Y31" s="334">
        <f>Y30/X19</f>
        <v>0.51130430827676254</v>
      </c>
    </row>
    <row r="32" spans="2:27" s="334" customFormat="1" x14ac:dyDescent="0.3">
      <c r="B32" s="335"/>
      <c r="C32" s="338"/>
      <c r="D32" s="333"/>
      <c r="E32" s="226"/>
      <c r="F32" s="226"/>
      <c r="G32" s="333"/>
      <c r="H32" s="333"/>
      <c r="I32" s="333"/>
      <c r="J32" s="333"/>
      <c r="K32" s="333"/>
      <c r="L32" s="338"/>
      <c r="M32" s="333"/>
      <c r="N32" s="333"/>
      <c r="O32" s="333"/>
      <c r="P32" s="333"/>
      <c r="Q32" s="333"/>
      <c r="R32" s="333"/>
      <c r="S32" s="344"/>
      <c r="T32" s="333"/>
      <c r="U32" s="333"/>
      <c r="V32" s="333"/>
      <c r="W32" s="333"/>
      <c r="X32" s="333"/>
      <c r="Y32" s="333"/>
    </row>
    <row r="33" spans="1:25" x14ac:dyDescent="0.3">
      <c r="B33" s="40"/>
      <c r="C33" s="322"/>
      <c r="H33" t="s">
        <v>341</v>
      </c>
      <c r="I33"/>
      <c r="J33"/>
      <c r="K33"/>
      <c r="L33"/>
      <c r="M33"/>
      <c r="N33"/>
      <c r="O33"/>
      <c r="P33"/>
      <c r="Q33"/>
      <c r="R33"/>
      <c r="S33" s="331"/>
      <c r="T33"/>
      <c r="U33"/>
      <c r="V33"/>
      <c r="W33"/>
      <c r="X33"/>
      <c r="Y33"/>
    </row>
    <row r="34" spans="1:25" x14ac:dyDescent="0.3">
      <c r="A34" t="s">
        <v>366</v>
      </c>
      <c r="B34" s="251" t="s">
        <v>350</v>
      </c>
      <c r="C34" s="41">
        <f>Summary!W43</f>
        <v>22200</v>
      </c>
      <c r="H34" s="327">
        <f t="shared" ref="H34" si="4">E35*H35</f>
        <v>22707.692307692316</v>
      </c>
      <c r="I34" s="8"/>
      <c r="J34"/>
      <c r="K34"/>
      <c r="L34" s="327">
        <f>L35-M35</f>
        <v>22707.692307692312</v>
      </c>
      <c r="M34"/>
      <c r="N34"/>
      <c r="O34"/>
      <c r="P34" s="327">
        <f>P35-Q35</f>
        <v>22707.692307692312</v>
      </c>
      <c r="Q34"/>
      <c r="R34"/>
      <c r="S34" s="331"/>
      <c r="T34" s="327">
        <f>T35-U35</f>
        <v>21873.003002018078</v>
      </c>
      <c r="U34"/>
      <c r="V34"/>
      <c r="W34"/>
      <c r="X34" s="327">
        <f>X35-Y35</f>
        <v>21025.955408219765</v>
      </c>
      <c r="Y34"/>
    </row>
    <row r="35" spans="1:25" x14ac:dyDescent="0.3">
      <c r="B35" t="s">
        <v>351</v>
      </c>
      <c r="D35" s="337">
        <v>0.18605785593514362</v>
      </c>
      <c r="E35" s="272">
        <f t="shared" ref="E35:E36" si="5">1-D35</f>
        <v>0.81394214406485643</v>
      </c>
      <c r="F35" s="272">
        <f t="shared" ref="F35" si="6">E35*F36</f>
        <v>0.46153846153846168</v>
      </c>
      <c r="H35" s="11">
        <f>E36*H37</f>
        <v>27898.410806312695</v>
      </c>
      <c r="I35" s="11">
        <f t="shared" ref="I35" si="7">H35-H34</f>
        <v>5190.7184986203793</v>
      </c>
      <c r="J35"/>
      <c r="K35" s="331">
        <f>D35</f>
        <v>0.18605785593514362</v>
      </c>
      <c r="L35" s="11">
        <f>L37-M36</f>
        <v>27898.410806312691</v>
      </c>
      <c r="M35" s="11">
        <f>L35*K35</f>
        <v>5190.7184986203811</v>
      </c>
      <c r="N35"/>
      <c r="O35" s="331">
        <f>D35</f>
        <v>0.18605785593514362</v>
      </c>
      <c r="P35" s="11">
        <f>P37-Q36</f>
        <v>27898.410806312691</v>
      </c>
      <c r="Q35" s="11">
        <f>P35*O35</f>
        <v>5190.7184986203811</v>
      </c>
      <c r="R35"/>
      <c r="S35" s="331">
        <f>D35</f>
        <v>0.18605785593514362</v>
      </c>
      <c r="T35" s="11">
        <f>T37-U36</f>
        <v>26872.921081077719</v>
      </c>
      <c r="U35" s="11">
        <f>T35*S35</f>
        <v>4999.918079059642</v>
      </c>
      <c r="V35"/>
      <c r="W35" s="331">
        <f>D35</f>
        <v>0.18605785593514362</v>
      </c>
      <c r="X35" s="11">
        <f>X37-Y36</f>
        <v>25832.248104534046</v>
      </c>
      <c r="Y35" s="11">
        <f>X35*W35</f>
        <v>4806.2926963142827</v>
      </c>
    </row>
    <row r="36" spans="1:25" x14ac:dyDescent="0.3">
      <c r="B36" t="s">
        <v>352</v>
      </c>
      <c r="D36" s="329">
        <f>K7</f>
        <v>3.2000000000000001E-2</v>
      </c>
      <c r="E36" s="272">
        <f t="shared" si="5"/>
        <v>0.96799999999999997</v>
      </c>
      <c r="F36" s="272">
        <f>E36*F38</f>
        <v>0.56704087004700598</v>
      </c>
      <c r="H36"/>
      <c r="I36" s="11">
        <f>H37-H35</f>
        <v>922.26151425827265</v>
      </c>
      <c r="J36"/>
      <c r="K36" s="331">
        <f>K7</f>
        <v>3.2000000000000001E-2</v>
      </c>
      <c r="L36"/>
      <c r="M36" s="330">
        <f>L37*K36</f>
        <v>922.26151425827084</v>
      </c>
      <c r="N36"/>
      <c r="O36" s="331">
        <f>O7</f>
        <v>3.2000000000000001E-2</v>
      </c>
      <c r="P36"/>
      <c r="Q36" s="330">
        <f>P37*O36</f>
        <v>922.26151425827084</v>
      </c>
      <c r="R36"/>
      <c r="S36" s="331">
        <f>S7</f>
        <v>3.5630954479867485E-2</v>
      </c>
      <c r="T36"/>
      <c r="U36" s="330">
        <f>T37*S36</f>
        <v>992.88527792233276</v>
      </c>
      <c r="V36"/>
      <c r="W36" s="331">
        <f>W7</f>
        <v>3.9341028419277141E-2</v>
      </c>
      <c r="X36"/>
      <c r="Y36" s="330">
        <f>X37*W36</f>
        <v>1057.8855107573379</v>
      </c>
    </row>
    <row r="37" spans="1:25" x14ac:dyDescent="0.3">
      <c r="B37" s="274" t="s">
        <v>353</v>
      </c>
      <c r="C37" s="11">
        <f>Summary!W39</f>
        <v>28200</v>
      </c>
      <c r="D37" s="331"/>
      <c r="E37" s="272"/>
      <c r="F37" s="272"/>
      <c r="H37" s="327">
        <f>E38*H38</f>
        <v>28820.672320570968</v>
      </c>
      <c r="I37" s="11"/>
      <c r="J37"/>
      <c r="K37" s="331"/>
      <c r="L37" s="327">
        <f>L38-M38</f>
        <v>28820.672320570964</v>
      </c>
      <c r="M37" s="11"/>
      <c r="N37"/>
      <c r="O37" s="331"/>
      <c r="P37" s="327">
        <f>P38-Q38</f>
        <v>28820.672320570964</v>
      </c>
      <c r="Q37" s="11"/>
      <c r="R37"/>
      <c r="S37" s="331"/>
      <c r="T37" s="327">
        <f>T38-U38</f>
        <v>27865.806359000053</v>
      </c>
      <c r="U37" s="11"/>
      <c r="V37"/>
      <c r="W37" s="331"/>
      <c r="X37" s="327">
        <f>X38-Y38</f>
        <v>26890.133615291383</v>
      </c>
      <c r="Y37" s="11"/>
    </row>
    <row r="38" spans="1:25" x14ac:dyDescent="0.3">
      <c r="B38" t="s">
        <v>354</v>
      </c>
      <c r="D38" s="331">
        <f>K9</f>
        <v>8.7525804112975877E-2</v>
      </c>
      <c r="E38" s="272">
        <f t="shared" ref="E38:E41" si="8">1-D38</f>
        <v>0.91247419588702416</v>
      </c>
      <c r="F38" s="272">
        <f t="shared" ref="F38:F40" si="9">E38*F39</f>
        <v>0.58578602277583269</v>
      </c>
      <c r="H38" s="11">
        <f t="shared" ref="H38:H39" si="10">E39*H39</f>
        <v>31585.191614710966</v>
      </c>
      <c r="I38" s="11">
        <f>H38-H37</f>
        <v>2764.5192941399982</v>
      </c>
      <c r="J38"/>
      <c r="K38" s="331">
        <f>K9</f>
        <v>8.7525804112975877E-2</v>
      </c>
      <c r="L38" s="11">
        <f>L39-M39</f>
        <v>31585.191614710966</v>
      </c>
      <c r="M38" s="11">
        <f>L38*K38</f>
        <v>2764.5192941400001</v>
      </c>
      <c r="N38"/>
      <c r="O38" s="331">
        <f>O9</f>
        <v>8.7525804112975877E-2</v>
      </c>
      <c r="P38" s="11">
        <f>P39-Q39</f>
        <v>31585.191614710966</v>
      </c>
      <c r="Q38" s="11">
        <f>P38*O38</f>
        <v>2764.5192941400001</v>
      </c>
      <c r="R38"/>
      <c r="S38" s="331">
        <f>S9</f>
        <v>8.7525804112975877E-2</v>
      </c>
      <c r="T38" s="11">
        <f>T39-U39</f>
        <v>30538.73357143153</v>
      </c>
      <c r="U38" s="11">
        <f>T38*S38</f>
        <v>2672.9272124314762</v>
      </c>
      <c r="V38"/>
      <c r="W38" s="331">
        <f>W9</f>
        <v>8.7525804112975877E-2</v>
      </c>
      <c r="X38" s="11">
        <f>X39-Y39</f>
        <v>29469.472930301607</v>
      </c>
      <c r="Y38" s="11">
        <f>X38*W38</f>
        <v>2579.3393150102238</v>
      </c>
    </row>
    <row r="39" spans="1:25" x14ac:dyDescent="0.3">
      <c r="B39" t="s">
        <v>355</v>
      </c>
      <c r="D39" s="329">
        <f>K10</f>
        <v>0</v>
      </c>
      <c r="E39" s="272">
        <f t="shared" si="8"/>
        <v>1</v>
      </c>
      <c r="F39" s="272">
        <f t="shared" si="9"/>
        <v>0.64197543932339363</v>
      </c>
      <c r="H39" s="11">
        <f t="shared" si="10"/>
        <v>31585.191614710966</v>
      </c>
      <c r="I39" s="11">
        <f t="shared" ref="I39:I40" si="11">H39-H38</f>
        <v>0</v>
      </c>
      <c r="J39"/>
      <c r="K39" s="331">
        <f>K10</f>
        <v>0</v>
      </c>
      <c r="L39" s="11">
        <f>L40-M40</f>
        <v>31585.191614710966</v>
      </c>
      <c r="M39" s="330">
        <f>L39*K39</f>
        <v>0</v>
      </c>
      <c r="N39"/>
      <c r="O39" s="331">
        <f>O10</f>
        <v>0</v>
      </c>
      <c r="P39" s="11">
        <f>P40-Q40</f>
        <v>31585.191614710966</v>
      </c>
      <c r="Q39" s="330">
        <f>P39*O39</f>
        <v>0</v>
      </c>
      <c r="R39"/>
      <c r="S39" s="331">
        <f>S10</f>
        <v>0</v>
      </c>
      <c r="T39" s="11">
        <f>T40-U40</f>
        <v>30538.73357143153</v>
      </c>
      <c r="U39" s="330">
        <f>T39*S39</f>
        <v>0</v>
      </c>
      <c r="V39"/>
      <c r="W39" s="331">
        <f>W10</f>
        <v>0</v>
      </c>
      <c r="X39" s="11">
        <f>X40-Y40</f>
        <v>29469.472930301607</v>
      </c>
      <c r="Y39" s="330">
        <f>X39*W39</f>
        <v>0</v>
      </c>
    </row>
    <row r="40" spans="1:25" x14ac:dyDescent="0.3">
      <c r="B40" t="s">
        <v>356</v>
      </c>
      <c r="D40" s="331">
        <f>K12</f>
        <v>7.2080073975391901E-2</v>
      </c>
      <c r="E40" s="272">
        <f t="shared" si="8"/>
        <v>0.92791992602460804</v>
      </c>
      <c r="F40" s="272">
        <f t="shared" si="9"/>
        <v>0.64197543932339363</v>
      </c>
      <c r="H40" s="11">
        <f>E41*H42</f>
        <v>34038.703910614524</v>
      </c>
      <c r="I40" s="11">
        <f t="shared" si="11"/>
        <v>2453.512295903558</v>
      </c>
      <c r="J40"/>
      <c r="K40" s="331">
        <f>K12</f>
        <v>7.2080073975391901E-2</v>
      </c>
      <c r="L40" s="11">
        <f>L42-M41</f>
        <v>34038.703910614524</v>
      </c>
      <c r="M40" s="11">
        <f>L40*K40</f>
        <v>2453.5122959035566</v>
      </c>
      <c r="N40"/>
      <c r="O40" s="331">
        <f>O12</f>
        <v>7.2080073975391901E-2</v>
      </c>
      <c r="P40" s="11">
        <f>P42-Q41</f>
        <v>34038.703910614524</v>
      </c>
      <c r="Q40" s="11">
        <f>P40*O40</f>
        <v>2453.5122959035566</v>
      </c>
      <c r="R40"/>
      <c r="S40" s="331">
        <f>S12</f>
        <v>7.2080073975391901E-2</v>
      </c>
      <c r="T40" s="11">
        <f>T42-U41</f>
        <v>32910.957847694342</v>
      </c>
      <c r="U40" s="11">
        <f>T40*S40</f>
        <v>2372.224276262813</v>
      </c>
      <c r="V40"/>
      <c r="W40" s="331">
        <f>W12</f>
        <v>7.2080073975391901E-2</v>
      </c>
      <c r="X40" s="11">
        <f>X42-Y41</f>
        <v>31758.637899451776</v>
      </c>
      <c r="Y40" s="11">
        <f>X40*W40</f>
        <v>2289.1649691501689</v>
      </c>
    </row>
    <row r="41" spans="1:25" x14ac:dyDescent="0.3">
      <c r="B41" t="s">
        <v>357</v>
      </c>
      <c r="D41" s="329">
        <f>K13</f>
        <v>0.22600000000000001</v>
      </c>
      <c r="E41" s="272">
        <f t="shared" si="8"/>
        <v>0.77400000000000002</v>
      </c>
      <c r="F41" s="272">
        <f>E41*F43</f>
        <v>0.69184357541899444</v>
      </c>
      <c r="H41"/>
      <c r="I41" s="11">
        <f>H42-H40</f>
        <v>9938.9497206703891</v>
      </c>
      <c r="J41"/>
      <c r="K41" s="331">
        <f>K13</f>
        <v>0.22600000000000001</v>
      </c>
      <c r="L41"/>
      <c r="M41" s="330">
        <f>L42*K41</f>
        <v>9938.9497206703909</v>
      </c>
      <c r="N41"/>
      <c r="O41" s="331">
        <f>O13</f>
        <v>0.22600000000000001</v>
      </c>
      <c r="P41"/>
      <c r="Q41" s="330">
        <f>P42*O41</f>
        <v>9938.9497206703909</v>
      </c>
      <c r="R41"/>
      <c r="S41" s="331">
        <f>S13</f>
        <v>0.2516436160140641</v>
      </c>
      <c r="T41"/>
      <c r="U41" s="330">
        <f>T42*S41</f>
        <v>11066.695783590572</v>
      </c>
      <c r="V41"/>
      <c r="W41" s="331">
        <f>W13</f>
        <v>0.27784601321114477</v>
      </c>
      <c r="X41"/>
      <c r="Y41" s="330">
        <f>X42*W41</f>
        <v>12219.015731833137</v>
      </c>
    </row>
    <row r="42" spans="1:25" x14ac:dyDescent="0.3">
      <c r="B42" s="274" t="s">
        <v>358</v>
      </c>
      <c r="C42" s="11">
        <f>Summary!W35</f>
        <v>44000</v>
      </c>
      <c r="D42" s="331"/>
      <c r="E42" s="272"/>
      <c r="F42" s="272"/>
      <c r="H42" s="327">
        <f>E43*H43</f>
        <v>43977.653631284913</v>
      </c>
      <c r="I42" s="11"/>
      <c r="J42"/>
      <c r="K42" s="331"/>
      <c r="L42" s="327">
        <f>L43-M43</f>
        <v>43977.653631284913</v>
      </c>
      <c r="M42" s="11"/>
      <c r="N42"/>
      <c r="O42" s="331"/>
      <c r="P42" s="327">
        <f>P43-Q43</f>
        <v>43977.653631284913</v>
      </c>
      <c r="Q42" s="11"/>
      <c r="R42"/>
      <c r="S42" s="331"/>
      <c r="T42" s="327">
        <f>T43-U43</f>
        <v>43977.653631284913</v>
      </c>
      <c r="U42" s="11"/>
      <c r="V42"/>
      <c r="W42" s="331"/>
      <c r="X42" s="327">
        <f>X43-Y43</f>
        <v>43977.653631284913</v>
      </c>
      <c r="Y42" s="11"/>
    </row>
    <row r="43" spans="1:25" x14ac:dyDescent="0.3">
      <c r="B43" t="s">
        <v>359</v>
      </c>
      <c r="C43"/>
      <c r="D43" s="331">
        <f>K15</f>
        <v>0</v>
      </c>
      <c r="E43" s="272">
        <f t="shared" ref="E43:E44" si="12">1-D43</f>
        <v>1</v>
      </c>
      <c r="F43" s="272">
        <f t="shared" ref="F43" si="13">E43*F44</f>
        <v>0.8938547486033519</v>
      </c>
      <c r="H43" s="11">
        <f>E44*H45</f>
        <v>43977.653631284913</v>
      </c>
      <c r="I43" s="11">
        <f>H43-H42</f>
        <v>0</v>
      </c>
      <c r="J43"/>
      <c r="K43" s="331">
        <f>K15</f>
        <v>0</v>
      </c>
      <c r="L43" s="11">
        <f>L45-M44</f>
        <v>43977.653631284913</v>
      </c>
      <c r="M43" s="11">
        <f>L43*K43</f>
        <v>0</v>
      </c>
      <c r="N43"/>
      <c r="O43" s="331">
        <f>O15</f>
        <v>0</v>
      </c>
      <c r="P43" s="11">
        <f>P45-Q44</f>
        <v>43977.653631284913</v>
      </c>
      <c r="Q43" s="11">
        <f>P43*O43</f>
        <v>0</v>
      </c>
      <c r="R43"/>
      <c r="S43" s="331">
        <f>S15</f>
        <v>0</v>
      </c>
      <c r="T43" s="11">
        <f>T45-U44</f>
        <v>43977.653631284913</v>
      </c>
      <c r="U43" s="11">
        <f>T43*S43</f>
        <v>0</v>
      </c>
      <c r="V43"/>
      <c r="W43" s="331">
        <f>W15</f>
        <v>0</v>
      </c>
      <c r="X43" s="11">
        <f>X45-Y44</f>
        <v>43977.653631284913</v>
      </c>
      <c r="Y43" s="11">
        <f>X43*W43</f>
        <v>0</v>
      </c>
    </row>
    <row r="44" spans="1:25" x14ac:dyDescent="0.3">
      <c r="B44" t="s">
        <v>360</v>
      </c>
      <c r="C44"/>
      <c r="D44" s="329">
        <f>K16</f>
        <v>0.1061452513966481</v>
      </c>
      <c r="E44" s="272">
        <f t="shared" si="12"/>
        <v>0.8938547486033519</v>
      </c>
      <c r="F44" s="272">
        <f>E44</f>
        <v>0.8938547486033519</v>
      </c>
      <c r="H44"/>
      <c r="I44" s="11">
        <f>H45-H43</f>
        <v>5222.346368715087</v>
      </c>
      <c r="J44"/>
      <c r="K44" s="331">
        <f>$D44</f>
        <v>0.1061452513966481</v>
      </c>
      <c r="L44"/>
      <c r="M44" s="330">
        <f>L45*K44</f>
        <v>5222.3463687150861</v>
      </c>
      <c r="N44"/>
      <c r="O44" s="331">
        <f>$D44</f>
        <v>0.1061452513966481</v>
      </c>
      <c r="P44"/>
      <c r="Q44" s="330">
        <f>P45*O44</f>
        <v>5222.3463687150861</v>
      </c>
      <c r="R44"/>
      <c r="S44" s="331">
        <f>$D44</f>
        <v>0.1061452513966481</v>
      </c>
      <c r="T44"/>
      <c r="U44" s="330">
        <f>T45*S44</f>
        <v>5222.3463687150861</v>
      </c>
      <c r="V44"/>
      <c r="W44" s="331">
        <f>$D44</f>
        <v>0.1061452513966481</v>
      </c>
      <c r="X44"/>
      <c r="Y44" s="330">
        <f>X45*W44</f>
        <v>5222.3463687150861</v>
      </c>
    </row>
    <row r="45" spans="1:25" x14ac:dyDescent="0.3">
      <c r="B45" t="s">
        <v>361</v>
      </c>
      <c r="C45" s="379">
        <f>Summary!W31</f>
        <v>49200</v>
      </c>
      <c r="D45" s="256"/>
      <c r="E45" s="61"/>
      <c r="F45" s="61"/>
      <c r="G45" s="256"/>
      <c r="H45" s="325">
        <f>H47*H46</f>
        <v>49200</v>
      </c>
      <c r="I45" s="379"/>
      <c r="J45" s="61"/>
      <c r="K45" s="381"/>
      <c r="L45" s="327">
        <f>L46*L47</f>
        <v>49200</v>
      </c>
      <c r="M45" s="379"/>
      <c r="N45" s="61"/>
      <c r="O45" s="381"/>
      <c r="P45" s="327">
        <f>P46*P47</f>
        <v>49200</v>
      </c>
      <c r="Q45" s="379"/>
      <c r="R45" s="61"/>
      <c r="S45" s="384"/>
      <c r="T45" s="327">
        <f>T46*T47</f>
        <v>49200</v>
      </c>
      <c r="U45" s="379"/>
      <c r="V45" s="61"/>
      <c r="W45" s="381"/>
      <c r="X45" s="327">
        <f>X46*X47</f>
        <v>49200</v>
      </c>
      <c r="Y45" s="379"/>
    </row>
    <row r="46" spans="1:25" x14ac:dyDescent="0.3">
      <c r="B46" t="s">
        <v>48</v>
      </c>
      <c r="C46" s="226">
        <f>C45/C47</f>
        <v>9.4615384615384622E-3</v>
      </c>
      <c r="H46" s="226">
        <f>$C46</f>
        <v>9.4615384615384622E-3</v>
      </c>
      <c r="I46" s="11"/>
      <c r="J46"/>
      <c r="K46" s="272"/>
      <c r="L46" s="226">
        <f>$C46</f>
        <v>9.4615384615384622E-3</v>
      </c>
      <c r="M46" s="11"/>
      <c r="N46"/>
      <c r="O46" s="272"/>
      <c r="P46" s="226">
        <f>$C46</f>
        <v>9.4615384615384622E-3</v>
      </c>
      <c r="Q46" s="11"/>
      <c r="R46"/>
      <c r="S46" s="331"/>
      <c r="T46" s="226">
        <f>$C46</f>
        <v>9.4615384615384622E-3</v>
      </c>
      <c r="U46" s="11"/>
      <c r="V46"/>
      <c r="W46" s="272"/>
      <c r="X46" s="226">
        <f>$C46</f>
        <v>9.4615384615384622E-3</v>
      </c>
      <c r="Y46" s="11"/>
    </row>
    <row r="47" spans="1:25" x14ac:dyDescent="0.3">
      <c r="B47" t="s">
        <v>409</v>
      </c>
      <c r="C47" s="11">
        <f>Summary!X14</f>
        <v>5200000</v>
      </c>
      <c r="H47" s="11">
        <f>$C47</f>
        <v>5200000</v>
      </c>
      <c r="I47" s="11"/>
      <c r="J47"/>
      <c r="K47" s="272"/>
      <c r="L47" s="11">
        <f>$C47</f>
        <v>5200000</v>
      </c>
      <c r="M47" s="11"/>
      <c r="N47"/>
      <c r="O47" s="272"/>
      <c r="P47" s="11">
        <f>$C47</f>
        <v>5200000</v>
      </c>
      <c r="Q47" s="11"/>
      <c r="R47"/>
      <c r="S47" s="331"/>
      <c r="T47" s="11">
        <f>$C47</f>
        <v>5200000</v>
      </c>
      <c r="U47" s="11"/>
      <c r="V47"/>
      <c r="W47" s="272"/>
      <c r="X47" s="11">
        <f>$C47</f>
        <v>5200000</v>
      </c>
      <c r="Y47" s="11"/>
    </row>
    <row r="48" spans="1:25" x14ac:dyDescent="0.3">
      <c r="B48" t="s">
        <v>403</v>
      </c>
      <c r="C48" s="11"/>
      <c r="D48" s="385">
        <f>D18</f>
        <v>0.19489999999999996</v>
      </c>
      <c r="E48" s="272"/>
      <c r="F48" s="272"/>
      <c r="H48" s="11"/>
      <c r="I48" s="11"/>
      <c r="J48" s="11"/>
      <c r="K48" s="331">
        <f>$D48</f>
        <v>0.19489999999999996</v>
      </c>
      <c r="L48" s="11"/>
      <c r="M48" s="11">
        <f>K48*L49</f>
        <v>11910.421065706121</v>
      </c>
      <c r="N48"/>
      <c r="O48" s="331">
        <f>$D48</f>
        <v>0.19489999999999996</v>
      </c>
      <c r="P48" s="11"/>
      <c r="Q48" s="11">
        <f>O48*P49</f>
        <v>11910.421065706121</v>
      </c>
      <c r="R48"/>
      <c r="S48" s="331">
        <f>$D48</f>
        <v>0.19489999999999996</v>
      </c>
      <c r="T48" s="11"/>
      <c r="U48" s="11">
        <f>S48*T49</f>
        <v>11910.421065706121</v>
      </c>
      <c r="V48"/>
      <c r="W48" s="331">
        <f>$D48</f>
        <v>0.19489999999999996</v>
      </c>
      <c r="X48" s="11"/>
      <c r="Y48" s="11">
        <f>W48*X49</f>
        <v>11910.421065706121</v>
      </c>
    </row>
    <row r="49" spans="2:27" x14ac:dyDescent="0.3">
      <c r="B49" t="s">
        <v>404</v>
      </c>
      <c r="C49" s="11"/>
      <c r="D49" s="328"/>
      <c r="E49" s="272"/>
      <c r="F49" s="272"/>
      <c r="H49" s="11"/>
      <c r="I49"/>
      <c r="J49" s="11"/>
      <c r="K49" s="272"/>
      <c r="L49" s="11">
        <f>L45/(1-K48)</f>
        <v>61110.421065706119</v>
      </c>
      <c r="M49" s="11"/>
      <c r="N49"/>
      <c r="O49" s="331"/>
      <c r="P49" s="11">
        <f>P45/(1-O48)</f>
        <v>61110.421065706119</v>
      </c>
      <c r="Q49" s="11"/>
      <c r="R49"/>
      <c r="S49" s="331"/>
      <c r="T49" s="11">
        <f>T45/(1-S48)</f>
        <v>61110.421065706119</v>
      </c>
      <c r="U49" s="11"/>
      <c r="V49"/>
      <c r="W49" s="272"/>
      <c r="X49" s="11">
        <f>X45/(1-W48)</f>
        <v>61110.421065706119</v>
      </c>
      <c r="Y49" s="11"/>
    </row>
    <row r="50" spans="2:27" x14ac:dyDescent="0.3">
      <c r="C50"/>
      <c r="H50"/>
      <c r="I50"/>
      <c r="J50"/>
      <c r="K50"/>
      <c r="L50" s="11"/>
      <c r="M50"/>
      <c r="N50"/>
      <c r="O50"/>
      <c r="P50" s="11"/>
      <c r="Q50"/>
      <c r="R50"/>
      <c r="S50" s="331"/>
      <c r="T50" s="11"/>
      <c r="U50"/>
      <c r="V50"/>
      <c r="W50"/>
      <c r="X50" s="11"/>
      <c r="Y50"/>
    </row>
    <row r="51" spans="2:27" x14ac:dyDescent="0.3">
      <c r="B51" s="40" t="s">
        <v>405</v>
      </c>
      <c r="C51" s="41">
        <f>Summary!W47</f>
        <v>16200</v>
      </c>
      <c r="H51"/>
      <c r="I51" s="41">
        <f>I36+I39+I41+I44</f>
        <v>16083.557603643749</v>
      </c>
      <c r="J51"/>
      <c r="K51"/>
      <c r="L51" s="11"/>
      <c r="M51" s="397">
        <f>M36+M39+M41+M44</f>
        <v>16083.557603643749</v>
      </c>
      <c r="N51"/>
      <c r="O51"/>
      <c r="P51" s="11"/>
      <c r="Q51" s="11">
        <f>Q36+Q39+Q41+Q44</f>
        <v>16083.557603643749</v>
      </c>
      <c r="R51"/>
      <c r="S51" s="331"/>
      <c r="T51" s="11"/>
      <c r="U51" s="11">
        <f>U36+U39+U41+U44</f>
        <v>17281.927430227992</v>
      </c>
      <c r="V51"/>
      <c r="W51"/>
      <c r="X51" s="11"/>
      <c r="Y51" s="11">
        <f>Y36+Y39+Y41+Y44</f>
        <v>18499.24761130556</v>
      </c>
    </row>
    <row r="52" spans="2:27" x14ac:dyDescent="0.3">
      <c r="B52" s="40" t="s">
        <v>362</v>
      </c>
      <c r="C52" s="322"/>
      <c r="H52"/>
      <c r="I52" s="332">
        <f>I51/H45</f>
        <v>0.32690157730983227</v>
      </c>
      <c r="J52"/>
      <c r="K52"/>
      <c r="L52" s="11"/>
      <c r="M52" s="343">
        <f>M51/L45</f>
        <v>0.32690157730983227</v>
      </c>
      <c r="N52"/>
      <c r="O52"/>
      <c r="P52" s="11"/>
      <c r="Q52" s="343">
        <f>Q51/P45</f>
        <v>0.32690157730983227</v>
      </c>
      <c r="R52" s="226"/>
      <c r="S52" s="331"/>
      <c r="T52" s="11"/>
      <c r="U52" s="343">
        <f>U51/T45</f>
        <v>0.35125868760626</v>
      </c>
      <c r="V52" s="226"/>
      <c r="W52"/>
      <c r="X52" s="11"/>
      <c r="Y52" s="343">
        <f>Y51/X45</f>
        <v>0.37600096770946262</v>
      </c>
      <c r="AA52" t="s">
        <v>367</v>
      </c>
    </row>
    <row r="53" spans="2:27" x14ac:dyDescent="0.3">
      <c r="B53" s="40" t="s">
        <v>363</v>
      </c>
      <c r="C53" s="322"/>
      <c r="E53" s="226">
        <f>E40*E38</f>
        <v>0.8467029883468512</v>
      </c>
      <c r="H53"/>
      <c r="I53" s="41">
        <f>I35+I38+I40+I43</f>
        <v>10408.750088663935</v>
      </c>
      <c r="J53"/>
      <c r="K53"/>
      <c r="L53" s="11"/>
      <c r="M53" s="41">
        <f>M35+M38+M40+M43</f>
        <v>10408.750088663937</v>
      </c>
      <c r="N53"/>
      <c r="O53"/>
      <c r="P53" s="11"/>
      <c r="Q53" s="41">
        <f>Q35+Q38+Q40+Q43</f>
        <v>10408.750088663937</v>
      </c>
      <c r="R53"/>
      <c r="S53" s="331"/>
      <c r="T53" s="11"/>
      <c r="U53" s="41">
        <f>U35+U38+U40+U43</f>
        <v>10045.06956775393</v>
      </c>
      <c r="V53"/>
      <c r="W53"/>
      <c r="X53" s="11"/>
      <c r="Y53" s="41">
        <f>Y35+Y38+Y40+Y43</f>
        <v>9674.7969804746754</v>
      </c>
    </row>
    <row r="54" spans="2:27" x14ac:dyDescent="0.3">
      <c r="B54" s="40" t="s">
        <v>364</v>
      </c>
      <c r="C54" s="322"/>
      <c r="H54"/>
      <c r="I54" s="332">
        <f>I53/H45</f>
        <v>0.211559961151706</v>
      </c>
      <c r="J54"/>
      <c r="K54"/>
      <c r="L54" s="11"/>
      <c r="M54" s="332">
        <f>M53/L45</f>
        <v>0.21155996115170606</v>
      </c>
      <c r="N54"/>
      <c r="O54"/>
      <c r="P54" s="11"/>
      <c r="Q54" s="332">
        <f>Q53/P45</f>
        <v>0.21155996115170606</v>
      </c>
      <c r="R54"/>
      <c r="S54" s="331"/>
      <c r="T54" s="11"/>
      <c r="U54" s="332">
        <f>U53/T45</f>
        <v>0.20416808064540506</v>
      </c>
      <c r="V54"/>
      <c r="W54"/>
      <c r="X54" s="11"/>
      <c r="Y54" s="332">
        <f>Y53/X45</f>
        <v>0.19664221505029827</v>
      </c>
    </row>
    <row r="55" spans="2:27" x14ac:dyDescent="0.3">
      <c r="H55"/>
      <c r="I55"/>
      <c r="J55"/>
      <c r="K55"/>
      <c r="L55"/>
      <c r="M55"/>
      <c r="N55"/>
      <c r="O55"/>
      <c r="P55"/>
      <c r="Q55"/>
      <c r="R55"/>
      <c r="S55" s="331"/>
      <c r="T55"/>
      <c r="U55"/>
      <c r="V55"/>
      <c r="W55"/>
      <c r="X55"/>
      <c r="Y55"/>
    </row>
    <row r="56" spans="2:27" x14ac:dyDescent="0.3">
      <c r="B56" s="335"/>
      <c r="C56" s="322"/>
      <c r="H56"/>
      <c r="I56" s="343"/>
      <c r="J56"/>
      <c r="K56"/>
      <c r="L56"/>
      <c r="M56" s="343"/>
      <c r="N56"/>
      <c r="O56"/>
      <c r="P56"/>
      <c r="Q56" s="343"/>
      <c r="R56" s="343"/>
      <c r="S56" s="348"/>
      <c r="T56" s="343"/>
      <c r="U56" s="343"/>
      <c r="V56" s="343"/>
      <c r="W56" s="343"/>
      <c r="X56" s="343"/>
      <c r="Y56" s="343"/>
    </row>
    <row r="57" spans="2:27" x14ac:dyDescent="0.3">
      <c r="B57" s="335"/>
      <c r="H57"/>
      <c r="I57"/>
      <c r="J57"/>
      <c r="K57"/>
      <c r="L57"/>
      <c r="M57"/>
      <c r="N57"/>
      <c r="O57"/>
      <c r="P57"/>
      <c r="Q57"/>
      <c r="R57"/>
      <c r="S57" s="331"/>
      <c r="T57"/>
      <c r="U57"/>
      <c r="V57"/>
      <c r="W57"/>
      <c r="X57"/>
      <c r="Y57"/>
    </row>
    <row r="58" spans="2:27" x14ac:dyDescent="0.3">
      <c r="B58" s="336"/>
      <c r="H58"/>
      <c r="I58"/>
      <c r="J58"/>
      <c r="K58"/>
      <c r="L58"/>
      <c r="M58"/>
      <c r="N58"/>
      <c r="O58"/>
      <c r="P58"/>
      <c r="Q58"/>
      <c r="R58"/>
      <c r="S58" s="331"/>
      <c r="T58"/>
      <c r="U58"/>
      <c r="V58"/>
      <c r="W58"/>
      <c r="X58"/>
      <c r="Y58"/>
    </row>
    <row r="60" spans="2:27" x14ac:dyDescent="0.3">
      <c r="B60" s="40" t="s">
        <v>406</v>
      </c>
      <c r="C60" s="338"/>
      <c r="D60" s="333"/>
      <c r="E60" s="226"/>
      <c r="F60" s="226"/>
      <c r="G60" s="333"/>
      <c r="H60" s="333"/>
      <c r="I60" s="333"/>
      <c r="J60" s="333"/>
      <c r="K60" s="386"/>
      <c r="L60" s="338"/>
      <c r="M60" s="389">
        <f>M51+M48</f>
        <v>27993.978669349868</v>
      </c>
      <c r="N60" s="333"/>
      <c r="O60" s="333"/>
      <c r="P60" s="333"/>
      <c r="Q60" s="389">
        <f>Q51+Q48</f>
        <v>27993.978669349868</v>
      </c>
      <c r="R60" s="333"/>
      <c r="S60" s="387"/>
      <c r="T60" s="226"/>
      <c r="U60" s="389">
        <f>U51+U48</f>
        <v>29192.348495934115</v>
      </c>
      <c r="V60" s="226"/>
      <c r="W60" s="388"/>
      <c r="X60" s="226"/>
      <c r="Y60" s="389">
        <f>Y51+Y48</f>
        <v>30409.668677011679</v>
      </c>
    </row>
    <row r="61" spans="2:27" x14ac:dyDescent="0.3">
      <c r="B61" s="394" t="s">
        <v>407</v>
      </c>
      <c r="C61" s="335" t="e">
        <f>Summary!#REF!</f>
        <v>#REF!</v>
      </c>
      <c r="D61" s="334"/>
      <c r="E61" s="334"/>
      <c r="F61" s="334"/>
      <c r="G61" s="334"/>
      <c r="H61" s="334"/>
      <c r="I61" s="334"/>
      <c r="J61" s="334"/>
      <c r="K61" s="386"/>
      <c r="L61" s="335"/>
      <c r="M61" s="334">
        <f>M60/L49</f>
        <v>0.45808845989214592</v>
      </c>
      <c r="N61" s="334"/>
      <c r="O61" s="334"/>
      <c r="P61" s="334"/>
      <c r="Q61" s="334">
        <f>Q60/P49</f>
        <v>0.45808845989214592</v>
      </c>
      <c r="R61" s="334"/>
      <c r="S61" s="387"/>
      <c r="T61" s="334"/>
      <c r="U61" s="334">
        <f>U60/T49</f>
        <v>0.47769836939179994</v>
      </c>
      <c r="V61" s="334"/>
      <c r="W61" s="395"/>
      <c r="X61" s="334"/>
      <c r="Y61" s="334">
        <f>Y60/X49</f>
        <v>0.49761837910288831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26"/>
  <sheetViews>
    <sheetView workbookViewId="0">
      <pane xSplit="3" ySplit="5" topLeftCell="F6" activePane="bottomRight" state="frozen"/>
      <selection pane="topRight" activeCell="D1" sqref="D1"/>
      <selection pane="bottomLeft" activeCell="A5" sqref="A5"/>
      <selection pane="bottomRight" activeCell="G26" sqref="G26"/>
    </sheetView>
  </sheetViews>
  <sheetFormatPr defaultColWidth="9.109375" defaultRowHeight="14.4" x14ac:dyDescent="0.3"/>
  <cols>
    <col min="2" max="2" width="24.88671875" customWidth="1"/>
    <col min="3" max="3" width="21.33203125" customWidth="1"/>
    <col min="4" max="4" width="8.88671875" style="11"/>
    <col min="5" max="6" width="9.109375" style="11"/>
    <col min="7" max="7" width="11.109375" customWidth="1"/>
    <col min="8" max="8" width="9.109375" style="11"/>
    <col min="9" max="10" width="8.88671875"/>
    <col min="11" max="11" width="14.33203125" customWidth="1"/>
    <col min="12" max="12" width="16.6640625" customWidth="1"/>
    <col min="13" max="13" width="10.88671875" customWidth="1"/>
    <col min="14" max="14" width="11.33203125" customWidth="1"/>
    <col min="16" max="18" width="8.88671875"/>
    <col min="19" max="19" width="12.33203125" customWidth="1"/>
    <col min="20" max="20" width="9.6640625" customWidth="1"/>
    <col min="21" max="21" width="2.44140625" customWidth="1"/>
    <col min="22" max="22" width="6.44140625" style="11" customWidth="1"/>
    <col min="23" max="23" width="7.5546875" style="11" customWidth="1"/>
    <col min="24" max="24" width="7" style="11" customWidth="1"/>
    <col min="25" max="25" width="2.33203125" customWidth="1"/>
  </cols>
  <sheetData>
    <row r="1" spans="1:30" ht="18" x14ac:dyDescent="0.35">
      <c r="A1" s="3" t="str">
        <f>Summary!B1</f>
        <v>Snake River Fall Chinook</v>
      </c>
      <c r="B1" s="3"/>
      <c r="C1" s="1"/>
      <c r="D1" s="24"/>
      <c r="E1" s="24"/>
      <c r="F1" s="24"/>
      <c r="G1" s="1"/>
      <c r="H1" s="9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30" x14ac:dyDescent="0.3">
      <c r="A2" s="1" t="s">
        <v>0</v>
      </c>
      <c r="B2" s="1"/>
      <c r="C2" s="1"/>
      <c r="D2" s="24"/>
      <c r="E2" s="24"/>
      <c r="F2" s="24"/>
      <c r="G2" s="1"/>
      <c r="H2" s="9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30" x14ac:dyDescent="0.3">
      <c r="A3" s="66"/>
      <c r="B3" s="31"/>
      <c r="C3" s="31"/>
      <c r="D3" s="32" t="s">
        <v>5</v>
      </c>
      <c r="E3" s="49"/>
      <c r="F3" s="31"/>
      <c r="G3" s="31"/>
      <c r="H3" s="31"/>
      <c r="I3" s="31"/>
      <c r="J3" s="31"/>
      <c r="K3" s="31"/>
      <c r="L3" s="31"/>
      <c r="M3" s="33" t="s">
        <v>10</v>
      </c>
      <c r="N3" s="34"/>
      <c r="O3" s="34"/>
      <c r="P3" s="34"/>
      <c r="Q3" s="34"/>
      <c r="R3" s="31"/>
      <c r="S3" s="31"/>
      <c r="T3" s="31"/>
    </row>
    <row r="4" spans="1:30" s="7" customFormat="1" x14ac:dyDescent="0.3">
      <c r="A4" s="31"/>
      <c r="B4" s="31"/>
      <c r="C4" s="31"/>
      <c r="D4" s="32"/>
      <c r="E4" s="49" t="s">
        <v>55</v>
      </c>
      <c r="F4" s="49" t="s">
        <v>4</v>
      </c>
      <c r="G4" s="33"/>
      <c r="H4" s="32" t="s">
        <v>7</v>
      </c>
      <c r="I4" s="34"/>
      <c r="J4" s="35"/>
      <c r="K4" s="36" t="s">
        <v>28</v>
      </c>
      <c r="L4" s="35"/>
      <c r="M4" s="18" t="s">
        <v>35</v>
      </c>
      <c r="N4" s="31" t="s">
        <v>39</v>
      </c>
      <c r="O4" s="31"/>
      <c r="P4" s="31"/>
      <c r="Q4" s="31"/>
      <c r="R4" s="37" t="s">
        <v>15</v>
      </c>
      <c r="S4" s="31"/>
      <c r="T4" s="31"/>
      <c r="V4" s="103" t="s">
        <v>36</v>
      </c>
      <c r="W4" s="103"/>
      <c r="X4" s="103"/>
    </row>
    <row r="5" spans="1:30" s="42" customFormat="1" x14ac:dyDescent="0.3">
      <c r="A5" s="31"/>
      <c r="B5" s="4" t="s">
        <v>2</v>
      </c>
      <c r="C5" s="31" t="s">
        <v>1</v>
      </c>
      <c r="D5" s="25" t="s">
        <v>3</v>
      </c>
      <c r="E5" s="51" t="s">
        <v>56</v>
      </c>
      <c r="F5" s="51" t="s">
        <v>51</v>
      </c>
      <c r="G5" s="4" t="s">
        <v>52</v>
      </c>
      <c r="H5" s="10" t="s">
        <v>11</v>
      </c>
      <c r="I5" s="4" t="s">
        <v>8</v>
      </c>
      <c r="J5" s="20" t="s">
        <v>9</v>
      </c>
      <c r="K5" s="19" t="s">
        <v>62</v>
      </c>
      <c r="L5" s="19" t="s">
        <v>19</v>
      </c>
      <c r="M5" s="6" t="s">
        <v>19</v>
      </c>
      <c r="N5" s="6" t="s">
        <v>40</v>
      </c>
      <c r="O5" s="6" t="s">
        <v>41</v>
      </c>
      <c r="P5" s="6" t="s">
        <v>12</v>
      </c>
      <c r="Q5" s="6" t="s">
        <v>13</v>
      </c>
      <c r="R5" s="5" t="s">
        <v>16</v>
      </c>
      <c r="S5" s="6" t="s">
        <v>17</v>
      </c>
      <c r="T5" s="6" t="s">
        <v>18</v>
      </c>
      <c r="V5" s="104" t="s">
        <v>16</v>
      </c>
      <c r="W5" s="104" t="s">
        <v>17</v>
      </c>
      <c r="X5" s="104" t="s">
        <v>18</v>
      </c>
      <c r="Z5" s="43"/>
      <c r="AA5" s="43"/>
      <c r="AB5" s="43"/>
    </row>
    <row r="6" spans="1:30" x14ac:dyDescent="0.3">
      <c r="A6" s="500" t="s">
        <v>77</v>
      </c>
      <c r="B6" s="64" t="s">
        <v>73</v>
      </c>
      <c r="C6" s="75" t="s">
        <v>74</v>
      </c>
      <c r="D6" s="64">
        <v>6418</v>
      </c>
      <c r="H6" s="11">
        <v>3000</v>
      </c>
      <c r="K6" s="8"/>
      <c r="L6" s="8"/>
      <c r="M6" s="312">
        <v>4200</v>
      </c>
      <c r="R6" s="11"/>
      <c r="S6" s="11"/>
      <c r="T6" s="11"/>
      <c r="V6" s="76">
        <f>M6</f>
        <v>4200</v>
      </c>
      <c r="W6" s="76">
        <v>7500</v>
      </c>
      <c r="X6" s="76">
        <v>14360</v>
      </c>
      <c r="Z6" s="11">
        <f>AVERAGE(V6,X6)</f>
        <v>9280</v>
      </c>
    </row>
    <row r="7" spans="1:30" x14ac:dyDescent="0.3">
      <c r="A7" s="500"/>
      <c r="B7" s="64" t="s">
        <v>73</v>
      </c>
      <c r="C7" t="s">
        <v>75</v>
      </c>
      <c r="D7" s="11">
        <v>0</v>
      </c>
      <c r="K7" s="8"/>
      <c r="L7" s="8"/>
      <c r="M7" s="40"/>
      <c r="R7" s="11"/>
      <c r="S7" s="11"/>
      <c r="T7" s="11"/>
      <c r="V7" s="76"/>
      <c r="W7" s="76"/>
      <c r="X7" s="76"/>
    </row>
    <row r="8" spans="1:30" s="52" customFormat="1" x14ac:dyDescent="0.3">
      <c r="A8" s="500"/>
      <c r="B8" s="320" t="s">
        <v>73</v>
      </c>
      <c r="C8" s="52" t="s">
        <v>76</v>
      </c>
      <c r="D8" s="321">
        <v>0</v>
      </c>
      <c r="E8" s="321"/>
      <c r="F8" s="321"/>
      <c r="H8" s="321"/>
      <c r="K8" s="23"/>
      <c r="L8" s="23"/>
      <c r="M8" s="322"/>
      <c r="R8" s="321"/>
      <c r="S8" s="321"/>
      <c r="T8" s="321"/>
      <c r="V8" s="323"/>
      <c r="W8" s="323"/>
      <c r="X8" s="323"/>
      <c r="AD8" s="52" t="s">
        <v>320</v>
      </c>
    </row>
    <row r="9" spans="1:30" s="26" customFormat="1" x14ac:dyDescent="0.3">
      <c r="A9" s="500"/>
      <c r="B9" s="21" t="s">
        <v>14</v>
      </c>
      <c r="C9" s="21"/>
      <c r="D9" s="22"/>
      <c r="E9" s="22"/>
      <c r="F9" s="22"/>
      <c r="G9" s="21"/>
      <c r="H9" s="22"/>
      <c r="I9" s="21"/>
      <c r="J9" s="21"/>
      <c r="K9" s="21"/>
      <c r="L9" s="21"/>
      <c r="M9" s="22"/>
      <c r="N9" s="21"/>
      <c r="O9" s="21"/>
      <c r="P9" s="21"/>
      <c r="Q9" s="21"/>
      <c r="R9" s="21"/>
      <c r="S9" s="21"/>
      <c r="T9" s="21"/>
      <c r="V9" s="54"/>
      <c r="W9" s="54"/>
      <c r="X9" s="54"/>
    </row>
    <row r="10" spans="1:30" x14ac:dyDescent="0.3">
      <c r="A10" s="500" t="s">
        <v>122</v>
      </c>
      <c r="B10" s="64" t="s">
        <v>73</v>
      </c>
      <c r="C10" s="75" t="s">
        <v>74</v>
      </c>
      <c r="V10" s="11">
        <v>15484</v>
      </c>
      <c r="W10" s="11">
        <v>24750</v>
      </c>
      <c r="X10" s="11">
        <f>W10</f>
        <v>24750</v>
      </c>
    </row>
    <row r="11" spans="1:30" ht="15" customHeight="1" x14ac:dyDescent="0.3">
      <c r="A11" s="501"/>
      <c r="B11" s="64" t="s">
        <v>73</v>
      </c>
      <c r="C11" t="s">
        <v>75</v>
      </c>
      <c r="D11" s="41">
        <v>0</v>
      </c>
      <c r="E11" s="41"/>
      <c r="F11"/>
      <c r="K11" s="52"/>
      <c r="L11" s="53"/>
      <c r="M11" s="53"/>
      <c r="R11" s="11"/>
      <c r="S11" s="11"/>
      <c r="T11" s="11"/>
    </row>
    <row r="12" spans="1:30" s="52" customFormat="1" x14ac:dyDescent="0.3">
      <c r="A12" s="501"/>
      <c r="B12" s="320" t="s">
        <v>73</v>
      </c>
      <c r="C12" s="52" t="s">
        <v>76</v>
      </c>
      <c r="D12" s="323">
        <v>0</v>
      </c>
      <c r="E12" s="323"/>
      <c r="H12" s="321"/>
      <c r="K12" s="23"/>
      <c r="L12" s="23"/>
      <c r="M12" s="321"/>
      <c r="R12" s="321"/>
      <c r="S12" s="321"/>
      <c r="T12" s="321"/>
      <c r="V12" s="321"/>
      <c r="W12" s="321"/>
      <c r="X12" s="321"/>
    </row>
    <row r="13" spans="1:30" x14ac:dyDescent="0.3">
      <c r="A13" s="501"/>
      <c r="B13" s="21" t="s">
        <v>14</v>
      </c>
      <c r="C13" s="21"/>
      <c r="D13" s="22"/>
      <c r="E13" s="22"/>
      <c r="F13" s="22"/>
      <c r="G13" s="21"/>
      <c r="H13" s="22"/>
      <c r="I13" s="21"/>
      <c r="J13" s="21"/>
      <c r="K13" s="21"/>
      <c r="L13" s="21"/>
      <c r="M13" s="22"/>
      <c r="N13" s="21"/>
      <c r="O13" s="21"/>
      <c r="P13" s="21"/>
      <c r="Q13" s="21"/>
      <c r="R13" s="21"/>
      <c r="S13" s="21"/>
      <c r="T13" s="21"/>
    </row>
    <row r="14" spans="1:30" x14ac:dyDescent="0.3">
      <c r="A14" s="502" t="s">
        <v>123</v>
      </c>
      <c r="B14" s="64" t="s">
        <v>73</v>
      </c>
      <c r="C14" s="75" t="s">
        <v>74</v>
      </c>
    </row>
    <row r="15" spans="1:30" x14ac:dyDescent="0.3">
      <c r="A15" s="502"/>
      <c r="B15" s="64" t="s">
        <v>73</v>
      </c>
      <c r="C15" t="s">
        <v>75</v>
      </c>
      <c r="D15" s="41">
        <v>0</v>
      </c>
      <c r="E15" s="41"/>
      <c r="F15"/>
      <c r="K15" s="52"/>
      <c r="L15" s="53"/>
      <c r="M15" s="53"/>
      <c r="R15" s="11"/>
      <c r="S15" s="11"/>
      <c r="T15" s="11"/>
    </row>
    <row r="16" spans="1:30" x14ac:dyDescent="0.3">
      <c r="A16" s="502"/>
      <c r="B16" s="64" t="s">
        <v>73</v>
      </c>
      <c r="C16" t="s">
        <v>76</v>
      </c>
      <c r="D16" s="41">
        <v>0</v>
      </c>
      <c r="E16" s="41"/>
      <c r="F16"/>
      <c r="K16" s="23"/>
      <c r="L16" s="8"/>
      <c r="M16" s="11"/>
      <c r="R16" s="11"/>
      <c r="S16" s="11"/>
      <c r="T16" s="11"/>
    </row>
    <row r="17" spans="1:29" x14ac:dyDescent="0.3">
      <c r="A17" s="502"/>
      <c r="B17" s="21" t="s">
        <v>14</v>
      </c>
      <c r="C17" s="21"/>
      <c r="D17" s="22"/>
      <c r="E17" s="22"/>
      <c r="F17" s="22"/>
      <c r="G17" s="21"/>
      <c r="H17" s="22"/>
      <c r="I17" s="21"/>
      <c r="J17" s="21"/>
      <c r="K17" s="21"/>
      <c r="L17" s="21"/>
      <c r="M17" s="22"/>
      <c r="N17" s="21"/>
      <c r="O17" s="21"/>
      <c r="P17" s="21"/>
      <c r="Q17" s="21"/>
      <c r="R17" s="21"/>
      <c r="S17" s="21"/>
      <c r="T17" s="21"/>
    </row>
    <row r="18" spans="1:29" x14ac:dyDescent="0.3">
      <c r="D18" s="41"/>
      <c r="E18" s="41"/>
      <c r="F18" s="41"/>
      <c r="K18" s="8"/>
      <c r="L18" s="8"/>
      <c r="M18" s="11"/>
      <c r="R18" s="11"/>
      <c r="S18" s="11"/>
      <c r="T18" s="11"/>
    </row>
    <row r="19" spans="1:29" x14ac:dyDescent="0.3">
      <c r="D19" s="41"/>
      <c r="E19" s="41"/>
      <c r="F19" s="41"/>
      <c r="K19" s="8"/>
      <c r="L19" s="8"/>
      <c r="M19" s="11"/>
      <c r="R19" s="11"/>
      <c r="S19" s="11"/>
      <c r="T19" s="11"/>
    </row>
    <row r="20" spans="1:29" x14ac:dyDescent="0.3">
      <c r="G20" s="11"/>
      <c r="I20" s="11"/>
      <c r="J20" s="11"/>
      <c r="K20" s="8"/>
      <c r="L20" s="8"/>
      <c r="M20" s="11"/>
      <c r="R20" s="11"/>
      <c r="S20" s="11"/>
      <c r="T20" s="11"/>
      <c r="Z20" s="39"/>
      <c r="AA20" s="39"/>
      <c r="AB20" s="39"/>
    </row>
    <row r="21" spans="1:29" x14ac:dyDescent="0.3">
      <c r="G21" s="11"/>
      <c r="I21" s="11"/>
      <c r="J21" s="11"/>
      <c r="K21" s="8"/>
      <c r="L21" s="8"/>
      <c r="M21" s="11"/>
      <c r="R21" s="41"/>
      <c r="S21" s="11"/>
      <c r="T21" s="11"/>
      <c r="Z21" s="39"/>
      <c r="AA21" s="39"/>
      <c r="AB21" s="39"/>
    </row>
    <row r="22" spans="1:29" x14ac:dyDescent="0.3">
      <c r="G22" s="11"/>
      <c r="I22" s="11"/>
      <c r="J22" s="11"/>
      <c r="K22" s="8"/>
      <c r="L22" s="8"/>
      <c r="M22" s="11"/>
      <c r="R22" s="41"/>
      <c r="S22" s="11"/>
      <c r="T22" s="11"/>
      <c r="Z22" s="39"/>
      <c r="AA22" s="39"/>
      <c r="AB22" s="39"/>
    </row>
    <row r="23" spans="1:29" x14ac:dyDescent="0.3">
      <c r="F23"/>
      <c r="K23" s="8"/>
      <c r="L23" s="8"/>
      <c r="M23" s="11"/>
      <c r="R23" s="11"/>
    </row>
    <row r="24" spans="1:29" x14ac:dyDescent="0.3">
      <c r="B24" s="26"/>
      <c r="C24" s="26"/>
      <c r="D24" s="54"/>
      <c r="E24" s="54"/>
      <c r="G24" s="26"/>
      <c r="H24" s="54"/>
      <c r="I24" s="26"/>
      <c r="J24" s="26"/>
      <c r="K24" s="55"/>
      <c r="L24" s="55"/>
      <c r="M24" s="54"/>
      <c r="N24" s="26"/>
      <c r="O24" s="26"/>
      <c r="P24" s="26"/>
      <c r="Q24" s="26"/>
      <c r="R24" s="26"/>
      <c r="S24" s="26"/>
      <c r="T24" s="26"/>
      <c r="U24" s="26"/>
      <c r="V24" s="54"/>
      <c r="W24" s="54"/>
      <c r="X24" s="54"/>
      <c r="Y24" s="26"/>
      <c r="Z24" s="26"/>
      <c r="AA24" s="26"/>
      <c r="AB24" s="26"/>
      <c r="AC24" s="26"/>
    </row>
    <row r="25" spans="1:29" x14ac:dyDescent="0.3">
      <c r="B25" s="26"/>
      <c r="C25" s="26"/>
      <c r="D25" s="54"/>
      <c r="E25" s="54"/>
      <c r="F25" s="54"/>
      <c r="G25" s="26"/>
      <c r="H25" s="54"/>
      <c r="I25" s="26"/>
      <c r="J25" s="26"/>
      <c r="K25" s="55"/>
      <c r="L25" s="55"/>
      <c r="M25" s="54"/>
      <c r="N25" s="26"/>
      <c r="O25" s="26"/>
      <c r="P25" s="26"/>
      <c r="Q25" s="26"/>
      <c r="R25" s="26"/>
      <c r="S25" s="26"/>
      <c r="T25" s="26"/>
      <c r="U25" s="26"/>
      <c r="V25" s="54"/>
      <c r="W25" s="54"/>
      <c r="X25" s="54"/>
      <c r="Y25" s="26"/>
      <c r="Z25" s="26"/>
      <c r="AA25" s="26"/>
      <c r="AB25" s="26"/>
      <c r="AC25" s="26"/>
    </row>
    <row r="26" spans="1:29" x14ac:dyDescent="0.3">
      <c r="B26" s="26"/>
      <c r="C26" s="26"/>
      <c r="D26" s="56"/>
      <c r="E26" s="56"/>
      <c r="F26" s="56"/>
      <c r="G26" s="26"/>
      <c r="H26" s="54"/>
      <c r="I26" s="26"/>
      <c r="J26" s="26"/>
      <c r="K26" s="55"/>
      <c r="L26" s="55"/>
      <c r="M26" s="54"/>
      <c r="N26" s="26"/>
      <c r="O26" s="26"/>
      <c r="P26" s="26"/>
      <c r="Q26" s="26"/>
      <c r="R26" s="26"/>
      <c r="S26" s="26"/>
      <c r="T26" s="26"/>
      <c r="U26" s="26"/>
      <c r="V26" s="54"/>
      <c r="W26" s="54"/>
      <c r="X26" s="54"/>
      <c r="Y26" s="26"/>
      <c r="Z26" s="26"/>
      <c r="AA26" s="26"/>
      <c r="AB26" s="26"/>
      <c r="AC26" s="26"/>
    </row>
  </sheetData>
  <mergeCells count="3">
    <mergeCell ref="A6:A9"/>
    <mergeCell ref="A10:A13"/>
    <mergeCell ref="A14:A17"/>
  </mergeCell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BU91"/>
  <sheetViews>
    <sheetView topLeftCell="N30" zoomScale="90" zoomScaleNormal="90" workbookViewId="0">
      <selection activeCell="R67" sqref="R67"/>
    </sheetView>
  </sheetViews>
  <sheetFormatPr defaultColWidth="8.88671875" defaultRowHeight="14.4" x14ac:dyDescent="0.3"/>
  <cols>
    <col min="1" max="1" width="4.33203125" customWidth="1"/>
    <col min="2" max="2" width="21.6640625" customWidth="1"/>
  </cols>
  <sheetData>
    <row r="1" spans="2:52" x14ac:dyDescent="0.3">
      <c r="W1" t="s">
        <v>78</v>
      </c>
    </row>
    <row r="2" spans="2:52" x14ac:dyDescent="0.3">
      <c r="M2" s="269" t="s">
        <v>226</v>
      </c>
      <c r="S2" t="s">
        <v>284</v>
      </c>
      <c r="W2" t="s">
        <v>79</v>
      </c>
      <c r="X2" t="s">
        <v>80</v>
      </c>
    </row>
    <row r="3" spans="2:52" x14ac:dyDescent="0.3">
      <c r="B3" s="44" t="s">
        <v>53</v>
      </c>
      <c r="M3" t="s">
        <v>286</v>
      </c>
      <c r="W3" s="77" t="s">
        <v>81</v>
      </c>
      <c r="X3" s="78" t="s">
        <v>82</v>
      </c>
      <c r="Y3" s="79" t="s">
        <v>83</v>
      </c>
      <c r="Z3" s="80"/>
      <c r="AA3" s="81" t="s">
        <v>84</v>
      </c>
      <c r="AB3" s="82"/>
      <c r="AC3" s="503" t="s">
        <v>85</v>
      </c>
      <c r="AD3" s="504"/>
      <c r="AE3" s="505" t="s">
        <v>86</v>
      </c>
      <c r="AF3" s="506"/>
      <c r="AG3" s="505" t="s">
        <v>87</v>
      </c>
      <c r="AH3" s="506"/>
      <c r="AI3" s="83" t="s">
        <v>88</v>
      </c>
      <c r="AJ3" s="84" t="s">
        <v>89</v>
      </c>
      <c r="AK3" s="85" t="s">
        <v>85</v>
      </c>
      <c r="AL3" s="507" t="s">
        <v>90</v>
      </c>
      <c r="AM3" s="508"/>
      <c r="AN3" s="507" t="s">
        <v>91</v>
      </c>
      <c r="AO3" s="508"/>
      <c r="AP3" s="507" t="s">
        <v>92</v>
      </c>
      <c r="AQ3" s="508"/>
      <c r="AR3" s="80"/>
      <c r="AS3" s="523" t="s">
        <v>54</v>
      </c>
      <c r="AT3" s="523"/>
      <c r="AU3" s="82"/>
      <c r="AV3" s="524" t="s">
        <v>93</v>
      </c>
      <c r="AW3" s="86"/>
      <c r="AX3" s="227" t="s">
        <v>180</v>
      </c>
      <c r="AY3" s="86"/>
    </row>
    <row r="4" spans="2:52" ht="39.6" x14ac:dyDescent="0.3">
      <c r="B4" s="228" t="s">
        <v>184</v>
      </c>
      <c r="C4" s="303" t="s">
        <v>285</v>
      </c>
      <c r="F4" t="s">
        <v>483</v>
      </c>
      <c r="M4" s="259" t="s">
        <v>29</v>
      </c>
      <c r="N4" s="260" t="s">
        <v>222</v>
      </c>
      <c r="O4" s="261" t="s">
        <v>223</v>
      </c>
      <c r="P4" s="259" t="s">
        <v>224</v>
      </c>
      <c r="W4" s="87" t="s">
        <v>29</v>
      </c>
      <c r="X4" s="88" t="s">
        <v>94</v>
      </c>
      <c r="Y4" s="89" t="s">
        <v>95</v>
      </c>
      <c r="Z4" s="90" t="s">
        <v>96</v>
      </c>
      <c r="AA4" s="91" t="s">
        <v>97</v>
      </c>
      <c r="AB4" s="92" t="s">
        <v>98</v>
      </c>
      <c r="AC4" s="90" t="s">
        <v>96</v>
      </c>
      <c r="AD4" s="92" t="s">
        <v>98</v>
      </c>
      <c r="AE4" s="90" t="s">
        <v>96</v>
      </c>
      <c r="AF4" s="92" t="s">
        <v>98</v>
      </c>
      <c r="AG4" s="93" t="s">
        <v>96</v>
      </c>
      <c r="AH4" s="92" t="s">
        <v>98</v>
      </c>
      <c r="AI4" s="93" t="s">
        <v>96</v>
      </c>
      <c r="AJ4" s="91" t="s">
        <v>97</v>
      </c>
      <c r="AK4" s="92" t="s">
        <v>98</v>
      </c>
      <c r="AL4" s="93" t="s">
        <v>96</v>
      </c>
      <c r="AM4" s="92" t="s">
        <v>98</v>
      </c>
      <c r="AN4" s="93" t="s">
        <v>96</v>
      </c>
      <c r="AO4" s="92" t="s">
        <v>98</v>
      </c>
      <c r="AP4" s="90" t="s">
        <v>97</v>
      </c>
      <c r="AQ4" s="92" t="s">
        <v>98</v>
      </c>
      <c r="AR4" s="93" t="s">
        <v>96</v>
      </c>
      <c r="AS4" s="91" t="s">
        <v>97</v>
      </c>
      <c r="AT4" s="94" t="s">
        <v>98</v>
      </c>
      <c r="AU4" s="92" t="s">
        <v>99</v>
      </c>
      <c r="AV4" s="525"/>
      <c r="AW4" s="86" t="s">
        <v>125</v>
      </c>
      <c r="AX4" s="86" t="s">
        <v>100</v>
      </c>
      <c r="AY4" s="86" t="s">
        <v>101</v>
      </c>
      <c r="AZ4" s="86" t="s">
        <v>183</v>
      </c>
    </row>
    <row r="5" spans="2:52" x14ac:dyDescent="0.3">
      <c r="B5" t="s">
        <v>124</v>
      </c>
      <c r="C5" s="343">
        <f>Runs!BH51*(1-SUM(Fishery!C6:C10))</f>
        <v>1.5917259812439574E-2</v>
      </c>
      <c r="F5" s="343"/>
      <c r="W5" s="96">
        <v>1988</v>
      </c>
      <c r="X5" s="98">
        <v>112</v>
      </c>
      <c r="Y5" s="99">
        <v>2</v>
      </c>
      <c r="Z5" s="97" t="s">
        <v>103</v>
      </c>
      <c r="AA5" s="97" t="s">
        <v>104</v>
      </c>
      <c r="AB5" s="97" t="s">
        <v>102</v>
      </c>
      <c r="AC5" s="97" t="s">
        <v>102</v>
      </c>
      <c r="AD5" s="97" t="s">
        <v>102</v>
      </c>
      <c r="AE5" s="97" t="s">
        <v>102</v>
      </c>
      <c r="AF5" s="97" t="s">
        <v>102</v>
      </c>
      <c r="AG5" s="97" t="s">
        <v>102</v>
      </c>
      <c r="AH5" s="97" t="s">
        <v>102</v>
      </c>
      <c r="AI5" s="97" t="s">
        <v>102</v>
      </c>
      <c r="AJ5" s="97" t="s">
        <v>102</v>
      </c>
      <c r="AK5" s="97" t="s">
        <v>102</v>
      </c>
      <c r="AL5" s="97" t="s">
        <v>102</v>
      </c>
      <c r="AM5" s="97" t="s">
        <v>102</v>
      </c>
      <c r="AN5" s="97" t="s">
        <v>102</v>
      </c>
      <c r="AO5" s="97" t="s">
        <v>102</v>
      </c>
      <c r="AP5" s="97" t="s">
        <v>102</v>
      </c>
      <c r="AQ5" s="97" t="s">
        <v>102</v>
      </c>
      <c r="AR5" s="97" t="s">
        <v>102</v>
      </c>
      <c r="AS5" s="97" t="s">
        <v>102</v>
      </c>
      <c r="AT5" s="97" t="s">
        <v>102</v>
      </c>
      <c r="AU5" s="97" t="s">
        <v>102</v>
      </c>
      <c r="AV5" s="97" t="s">
        <v>102</v>
      </c>
      <c r="AW5" s="97"/>
      <c r="AX5" s="97"/>
      <c r="AY5" s="97"/>
    </row>
    <row r="6" spans="2:52" x14ac:dyDescent="0.3">
      <c r="B6" s="14" t="s">
        <v>21</v>
      </c>
      <c r="C6" s="226">
        <f>Runs!V51*(1-SUM(C$8:C$10))</f>
        <v>0.16015248020428902</v>
      </c>
      <c r="W6" s="96">
        <v>1989</v>
      </c>
      <c r="X6" s="98">
        <v>118</v>
      </c>
      <c r="Y6" s="100" t="s">
        <v>105</v>
      </c>
      <c r="Z6" s="97" t="s">
        <v>103</v>
      </c>
      <c r="AA6" s="97" t="s">
        <v>104</v>
      </c>
      <c r="AB6" s="97" t="s">
        <v>102</v>
      </c>
      <c r="AC6" s="97" t="s">
        <v>102</v>
      </c>
      <c r="AD6" s="97" t="s">
        <v>102</v>
      </c>
      <c r="AE6" s="97" t="s">
        <v>102</v>
      </c>
      <c r="AF6" s="97" t="s">
        <v>102</v>
      </c>
      <c r="AG6" s="97" t="s">
        <v>102</v>
      </c>
      <c r="AH6" s="97" t="s">
        <v>102</v>
      </c>
      <c r="AI6" s="97" t="s">
        <v>102</v>
      </c>
      <c r="AJ6" s="97" t="s">
        <v>102</v>
      </c>
      <c r="AK6" s="97" t="s">
        <v>102</v>
      </c>
      <c r="AL6" s="97" t="s">
        <v>102</v>
      </c>
      <c r="AM6" s="97" t="s">
        <v>102</v>
      </c>
      <c r="AN6" s="97" t="s">
        <v>102</v>
      </c>
      <c r="AO6" s="97" t="s">
        <v>102</v>
      </c>
      <c r="AP6" s="97" t="s">
        <v>102</v>
      </c>
      <c r="AQ6" s="97" t="s">
        <v>102</v>
      </c>
      <c r="AR6" s="97" t="s">
        <v>102</v>
      </c>
      <c r="AS6" s="97" t="s">
        <v>102</v>
      </c>
      <c r="AT6" s="97" t="s">
        <v>102</v>
      </c>
      <c r="AU6" s="97" t="s">
        <v>102</v>
      </c>
      <c r="AV6" s="97" t="s">
        <v>102</v>
      </c>
      <c r="AW6" s="97"/>
      <c r="AX6" s="97"/>
      <c r="AY6" s="97"/>
    </row>
    <row r="7" spans="2:52" x14ac:dyDescent="0.3">
      <c r="B7" s="50" t="s">
        <v>70</v>
      </c>
      <c r="C7" s="226">
        <f>Runs!Y51*(1-SUM(C$8:C$10))</f>
        <v>9.1482306155724932E-2</v>
      </c>
      <c r="D7" s="343">
        <f>C7+C6+C5</f>
        <v>0.26755204617245354</v>
      </c>
      <c r="W7" s="96">
        <v>1990</v>
      </c>
      <c r="X7" s="98">
        <v>476</v>
      </c>
      <c r="Y7" s="100" t="s">
        <v>106</v>
      </c>
      <c r="Z7" s="101">
        <v>9.1999999999999998E-2</v>
      </c>
      <c r="AA7" s="101">
        <v>8.0000000000000002E-3</v>
      </c>
      <c r="AB7" s="101">
        <v>2E-3</v>
      </c>
      <c r="AC7" s="101">
        <v>0.05</v>
      </c>
      <c r="AD7" s="101">
        <v>0</v>
      </c>
      <c r="AE7" s="101">
        <v>8.7999999999999995E-2</v>
      </c>
      <c r="AF7" s="101">
        <v>3.5999999999999997E-2</v>
      </c>
      <c r="AG7" s="101">
        <v>0</v>
      </c>
      <c r="AH7" s="101">
        <v>0</v>
      </c>
      <c r="AI7" s="101">
        <v>4.0000000000000001E-3</v>
      </c>
      <c r="AJ7" s="101">
        <v>6.0000000000000001E-3</v>
      </c>
      <c r="AK7" s="101">
        <v>0</v>
      </c>
      <c r="AL7" s="101">
        <v>6.0000000000000001E-3</v>
      </c>
      <c r="AM7" s="101">
        <v>8.0000000000000002E-3</v>
      </c>
      <c r="AN7" s="101">
        <v>0</v>
      </c>
      <c r="AO7" s="101">
        <v>0</v>
      </c>
      <c r="AP7" s="101">
        <v>0</v>
      </c>
      <c r="AQ7" s="101">
        <v>0</v>
      </c>
      <c r="AR7" s="101">
        <v>0</v>
      </c>
      <c r="AS7" s="101">
        <v>0.23300000000000001</v>
      </c>
      <c r="AT7" s="101">
        <v>6.3E-2</v>
      </c>
      <c r="AU7" s="101">
        <v>0</v>
      </c>
      <c r="AV7" s="101">
        <v>0.40100000000000002</v>
      </c>
      <c r="AW7" s="101">
        <f>1-AV7-AU7</f>
        <v>0.59899999999999998</v>
      </c>
      <c r="AX7" s="101">
        <f t="shared" ref="AX7:AX29" si="0">SUM(AR7:AU7)</f>
        <v>0.29600000000000004</v>
      </c>
      <c r="AY7" s="101">
        <f t="shared" ref="AY7:AY29" si="1">AX7/(AX7+AV7)</f>
        <v>0.42467718794835008</v>
      </c>
      <c r="AZ7" s="102">
        <f t="shared" ref="AZ7:AZ29" si="2">SUM(Z7:AQ7)</f>
        <v>0.30000000000000004</v>
      </c>
    </row>
    <row r="8" spans="2:52" x14ac:dyDescent="0.3">
      <c r="B8" s="50" t="s">
        <v>174</v>
      </c>
      <c r="C8" s="226">
        <f>Fishery!AA88/100</f>
        <v>9.7899999999999987E-2</v>
      </c>
      <c r="D8" s="102">
        <f>SUM(C5:C8)</f>
        <v>0.36545204617245353</v>
      </c>
      <c r="W8" s="96">
        <v>1991</v>
      </c>
      <c r="X8" s="98">
        <v>615</v>
      </c>
      <c r="Y8" s="100" t="s">
        <v>107</v>
      </c>
      <c r="Z8" s="101">
        <v>0.107</v>
      </c>
      <c r="AA8" s="101">
        <v>0</v>
      </c>
      <c r="AB8" s="101">
        <v>1.4999999999999999E-2</v>
      </c>
      <c r="AC8" s="101">
        <v>0.106</v>
      </c>
      <c r="AD8" s="101">
        <v>5.0000000000000001E-3</v>
      </c>
      <c r="AE8" s="101">
        <v>5.1999999999999998E-2</v>
      </c>
      <c r="AF8" s="101">
        <v>0</v>
      </c>
      <c r="AG8" s="101">
        <v>0</v>
      </c>
      <c r="AH8" s="101">
        <v>0.01</v>
      </c>
      <c r="AI8" s="101">
        <v>2E-3</v>
      </c>
      <c r="AJ8" s="101">
        <v>0</v>
      </c>
      <c r="AK8" s="101">
        <v>0</v>
      </c>
      <c r="AL8" s="101">
        <v>5.0000000000000001E-3</v>
      </c>
      <c r="AM8" s="101">
        <v>0</v>
      </c>
      <c r="AN8" s="101">
        <v>5.0000000000000001E-3</v>
      </c>
      <c r="AO8" s="101">
        <v>5.0000000000000001E-3</v>
      </c>
      <c r="AP8" s="101">
        <v>0</v>
      </c>
      <c r="AQ8" s="101">
        <v>0</v>
      </c>
      <c r="AR8" s="101">
        <v>0</v>
      </c>
      <c r="AS8" s="101">
        <v>0.22600000000000001</v>
      </c>
      <c r="AT8" s="101">
        <v>3.6999999999999998E-2</v>
      </c>
      <c r="AU8" s="101">
        <v>0</v>
      </c>
      <c r="AV8" s="101">
        <v>0.42599999999999999</v>
      </c>
      <c r="AW8" s="101">
        <f t="shared" ref="AW8:AW29" si="3">1-AV8-AU8</f>
        <v>0.57400000000000007</v>
      </c>
      <c r="AX8" s="101">
        <f t="shared" si="0"/>
        <v>0.26300000000000001</v>
      </c>
      <c r="AY8" s="101">
        <f t="shared" si="1"/>
        <v>0.38171262699564584</v>
      </c>
      <c r="AZ8" s="102">
        <f t="shared" si="2"/>
        <v>0.312</v>
      </c>
    </row>
    <row r="9" spans="2:52" x14ac:dyDescent="0.3">
      <c r="B9" s="50" t="s">
        <v>175</v>
      </c>
      <c r="C9" s="226">
        <f>Fishery!AA87/100</f>
        <v>7.4699999999999989E-2</v>
      </c>
      <c r="W9" s="96">
        <v>1992</v>
      </c>
      <c r="X9" s="98">
        <v>367</v>
      </c>
      <c r="Y9" s="100" t="s">
        <v>107</v>
      </c>
      <c r="Z9" s="101">
        <v>0.161</v>
      </c>
      <c r="AA9" s="101">
        <v>0.153</v>
      </c>
      <c r="AB9" s="101">
        <v>1.4E-2</v>
      </c>
      <c r="AC9" s="101">
        <v>0.06</v>
      </c>
      <c r="AD9" s="101">
        <v>0</v>
      </c>
      <c r="AE9" s="101">
        <v>0.155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101">
        <v>0</v>
      </c>
      <c r="AL9" s="101">
        <v>0</v>
      </c>
      <c r="AM9" s="101">
        <v>8.0000000000000002E-3</v>
      </c>
      <c r="AN9" s="101">
        <v>8.0000000000000002E-3</v>
      </c>
      <c r="AO9" s="101">
        <v>0</v>
      </c>
      <c r="AP9" s="101">
        <v>0</v>
      </c>
      <c r="AQ9" s="101">
        <v>0</v>
      </c>
      <c r="AR9" s="101">
        <v>0</v>
      </c>
      <c r="AS9" s="101">
        <v>0.15</v>
      </c>
      <c r="AT9" s="101">
        <v>1.4E-2</v>
      </c>
      <c r="AU9" s="101">
        <v>0</v>
      </c>
      <c r="AV9" s="101">
        <v>0.27800000000000002</v>
      </c>
      <c r="AW9" s="101">
        <f t="shared" si="3"/>
        <v>0.72199999999999998</v>
      </c>
      <c r="AX9" s="101">
        <f t="shared" si="0"/>
        <v>0.16400000000000001</v>
      </c>
      <c r="AY9" s="101">
        <f t="shared" si="1"/>
        <v>0.37104072398190041</v>
      </c>
      <c r="AZ9" s="102">
        <f t="shared" si="2"/>
        <v>0.55900000000000005</v>
      </c>
    </row>
    <row r="10" spans="2:52" x14ac:dyDescent="0.3">
      <c r="B10" s="50" t="s">
        <v>176</v>
      </c>
      <c r="C10" s="226">
        <f>Fishery!AA86/100</f>
        <v>2.2300000000000004E-2</v>
      </c>
      <c r="D10" s="258">
        <f>C10+C9</f>
        <v>9.6999999999999989E-2</v>
      </c>
      <c r="W10" s="96">
        <v>1993</v>
      </c>
      <c r="X10" s="98">
        <v>418</v>
      </c>
      <c r="Y10" s="100" t="s">
        <v>107</v>
      </c>
      <c r="Z10" s="101">
        <v>0.189</v>
      </c>
      <c r="AA10" s="101">
        <v>0</v>
      </c>
      <c r="AB10" s="101">
        <v>2.1999999999999999E-2</v>
      </c>
      <c r="AC10" s="101">
        <v>3.1E-2</v>
      </c>
      <c r="AD10" s="101">
        <v>1.2E-2</v>
      </c>
      <c r="AE10" s="101">
        <v>0.06</v>
      </c>
      <c r="AF10" s="101">
        <v>1.9E-2</v>
      </c>
      <c r="AG10" s="101">
        <v>0</v>
      </c>
      <c r="AH10" s="101">
        <v>0</v>
      </c>
      <c r="AI10" s="101">
        <v>0</v>
      </c>
      <c r="AJ10" s="101">
        <v>2.1999999999999999E-2</v>
      </c>
      <c r="AK10" s="101">
        <v>0</v>
      </c>
      <c r="AL10" s="101">
        <v>3.5999999999999997E-2</v>
      </c>
      <c r="AM10" s="101">
        <v>0</v>
      </c>
      <c r="AN10" s="101">
        <v>0</v>
      </c>
      <c r="AO10" s="101">
        <v>0</v>
      </c>
      <c r="AP10" s="101">
        <v>0</v>
      </c>
      <c r="AQ10" s="101">
        <v>0.01</v>
      </c>
      <c r="AR10" s="101">
        <v>0</v>
      </c>
      <c r="AS10" s="101">
        <v>0.151</v>
      </c>
      <c r="AT10" s="101">
        <v>7.1999999999999995E-2</v>
      </c>
      <c r="AU10" s="101">
        <v>1.2E-2</v>
      </c>
      <c r="AV10" s="101">
        <v>0.36599999999999999</v>
      </c>
      <c r="AW10" s="101">
        <f t="shared" si="3"/>
        <v>0.622</v>
      </c>
      <c r="AX10" s="101">
        <f t="shared" si="0"/>
        <v>0.23499999999999999</v>
      </c>
      <c r="AY10" s="101">
        <f t="shared" si="1"/>
        <v>0.39101497504159732</v>
      </c>
      <c r="AZ10" s="102">
        <f t="shared" si="2"/>
        <v>0.40100000000000002</v>
      </c>
    </row>
    <row r="11" spans="2:52" x14ac:dyDescent="0.3">
      <c r="B11" s="50"/>
      <c r="C11" s="102">
        <f>SUM(C5:C10)</f>
        <v>0.4624520461724535</v>
      </c>
      <c r="W11" s="96">
        <v>1994</v>
      </c>
      <c r="X11" s="98">
        <v>772</v>
      </c>
      <c r="Y11" s="100" t="s">
        <v>107</v>
      </c>
      <c r="Z11" s="101">
        <v>0.17100000000000001</v>
      </c>
      <c r="AA11" s="101">
        <v>3.1E-2</v>
      </c>
      <c r="AB11" s="101">
        <v>0</v>
      </c>
      <c r="AC11" s="101">
        <v>5.3999999999999999E-2</v>
      </c>
      <c r="AD11" s="101">
        <v>0</v>
      </c>
      <c r="AE11" s="101">
        <v>4.7E-2</v>
      </c>
      <c r="AF11" s="101">
        <v>0</v>
      </c>
      <c r="AG11" s="101">
        <v>0</v>
      </c>
      <c r="AH11" s="101">
        <v>0</v>
      </c>
      <c r="AI11" s="101">
        <v>3.0000000000000001E-3</v>
      </c>
      <c r="AJ11" s="101">
        <v>1.2999999999999999E-2</v>
      </c>
      <c r="AK11" s="101">
        <v>0</v>
      </c>
      <c r="AL11" s="101">
        <v>6.0000000000000001E-3</v>
      </c>
      <c r="AM11" s="101">
        <v>0</v>
      </c>
      <c r="AN11" s="101">
        <v>0</v>
      </c>
      <c r="AO11" s="101">
        <v>0</v>
      </c>
      <c r="AP11" s="101">
        <v>0</v>
      </c>
      <c r="AQ11" s="101">
        <v>0</v>
      </c>
      <c r="AR11" s="101">
        <v>0</v>
      </c>
      <c r="AS11" s="101">
        <v>5.3999999999999999E-2</v>
      </c>
      <c r="AT11" s="101">
        <v>0.122</v>
      </c>
      <c r="AU11" s="101">
        <v>0</v>
      </c>
      <c r="AV11" s="101">
        <v>0.499</v>
      </c>
      <c r="AW11" s="101">
        <f t="shared" si="3"/>
        <v>0.501</v>
      </c>
      <c r="AX11" s="101">
        <f t="shared" si="0"/>
        <v>0.17599999999999999</v>
      </c>
      <c r="AY11" s="101">
        <f t="shared" si="1"/>
        <v>0.26074074074074072</v>
      </c>
      <c r="AZ11" s="102">
        <f t="shared" si="2"/>
        <v>0.32500000000000001</v>
      </c>
    </row>
    <row r="12" spans="2:52" x14ac:dyDescent="0.3">
      <c r="B12" s="14"/>
      <c r="W12" s="96">
        <v>1995</v>
      </c>
      <c r="X12" s="98">
        <v>690</v>
      </c>
      <c r="Y12" s="100" t="s">
        <v>107</v>
      </c>
      <c r="Z12" s="101">
        <v>0.13300000000000001</v>
      </c>
      <c r="AA12" s="101">
        <v>0</v>
      </c>
      <c r="AB12" s="101">
        <v>4.2000000000000003E-2</v>
      </c>
      <c r="AC12" s="101">
        <v>5.5E-2</v>
      </c>
      <c r="AD12" s="101">
        <v>0</v>
      </c>
      <c r="AE12" s="101">
        <v>2.9000000000000001E-2</v>
      </c>
      <c r="AF12" s="101">
        <v>0</v>
      </c>
      <c r="AG12" s="101">
        <v>0</v>
      </c>
      <c r="AH12" s="101">
        <v>0</v>
      </c>
      <c r="AI12" s="101">
        <v>0</v>
      </c>
      <c r="AJ12" s="101">
        <v>0</v>
      </c>
      <c r="AK12" s="101">
        <v>0</v>
      </c>
      <c r="AL12" s="101">
        <v>0</v>
      </c>
      <c r="AM12" s="101">
        <v>0</v>
      </c>
      <c r="AN12" s="101">
        <v>0</v>
      </c>
      <c r="AO12" s="101">
        <v>0</v>
      </c>
      <c r="AP12" s="101">
        <v>0</v>
      </c>
      <c r="AQ12" s="101">
        <v>0</v>
      </c>
      <c r="AR12" s="101">
        <v>0</v>
      </c>
      <c r="AS12" s="101">
        <v>9.4E-2</v>
      </c>
      <c r="AT12" s="101">
        <v>7.0000000000000007E-2</v>
      </c>
      <c r="AU12" s="101">
        <v>0</v>
      </c>
      <c r="AV12" s="101">
        <v>0.57699999999999996</v>
      </c>
      <c r="AW12" s="101">
        <f t="shared" si="3"/>
        <v>0.42300000000000004</v>
      </c>
      <c r="AX12" s="101">
        <f t="shared" si="0"/>
        <v>0.16400000000000001</v>
      </c>
      <c r="AY12" s="101">
        <f t="shared" si="1"/>
        <v>0.2213225371120108</v>
      </c>
      <c r="AZ12" s="102">
        <f t="shared" si="2"/>
        <v>0.25900000000000001</v>
      </c>
    </row>
    <row r="13" spans="2:52" x14ac:dyDescent="0.3">
      <c r="B13" s="50" t="s">
        <v>288</v>
      </c>
      <c r="C13">
        <v>21.5</v>
      </c>
      <c r="D13">
        <v>45</v>
      </c>
      <c r="M13" s="262">
        <v>1996</v>
      </c>
      <c r="N13" s="263">
        <v>0.27100000000000002</v>
      </c>
      <c r="O13" s="263">
        <v>0.313</v>
      </c>
      <c r="P13" s="263">
        <v>4.2000000000000003E-2</v>
      </c>
      <c r="W13" s="96">
        <v>1996</v>
      </c>
      <c r="X13" s="98">
        <v>628</v>
      </c>
      <c r="Y13" s="100" t="s">
        <v>107</v>
      </c>
      <c r="Z13" s="101">
        <v>0.13100000000000001</v>
      </c>
      <c r="AA13" s="101">
        <v>0</v>
      </c>
      <c r="AB13" s="101">
        <v>0</v>
      </c>
      <c r="AC13" s="101">
        <v>8.0000000000000002E-3</v>
      </c>
      <c r="AD13" s="101">
        <v>0</v>
      </c>
      <c r="AE13" s="101">
        <v>6.0000000000000001E-3</v>
      </c>
      <c r="AF13" s="101">
        <v>0</v>
      </c>
      <c r="AG13" s="101">
        <v>0</v>
      </c>
      <c r="AH13" s="101">
        <v>0</v>
      </c>
      <c r="AI13" s="101">
        <v>0</v>
      </c>
      <c r="AJ13" s="101">
        <v>6.0000000000000001E-3</v>
      </c>
      <c r="AK13" s="101">
        <v>0</v>
      </c>
      <c r="AL13" s="101">
        <v>0</v>
      </c>
      <c r="AM13" s="101">
        <v>0</v>
      </c>
      <c r="AN13" s="101">
        <v>0</v>
      </c>
      <c r="AO13" s="101">
        <v>0</v>
      </c>
      <c r="AP13" s="101">
        <v>0</v>
      </c>
      <c r="AQ13" s="101">
        <v>0</v>
      </c>
      <c r="AR13" s="101">
        <v>0</v>
      </c>
      <c r="AS13" s="101">
        <v>0.27400000000000002</v>
      </c>
      <c r="AT13" s="101">
        <v>7.8E-2</v>
      </c>
      <c r="AU13" s="101">
        <v>0</v>
      </c>
      <c r="AV13" s="101">
        <v>0.497</v>
      </c>
      <c r="AW13" s="101">
        <f t="shared" si="3"/>
        <v>0.503</v>
      </c>
      <c r="AX13" s="101">
        <f t="shared" si="0"/>
        <v>0.35200000000000004</v>
      </c>
      <c r="AY13" s="101">
        <f t="shared" si="1"/>
        <v>0.4146054181389871</v>
      </c>
      <c r="AZ13" s="102">
        <f t="shared" si="2"/>
        <v>0.15100000000000002</v>
      </c>
    </row>
    <row r="14" spans="2:52" x14ac:dyDescent="0.3">
      <c r="B14" s="305" t="s">
        <v>125</v>
      </c>
      <c r="C14" s="40" t="s">
        <v>66</v>
      </c>
      <c r="D14">
        <v>60</v>
      </c>
      <c r="M14" s="264">
        <v>1997</v>
      </c>
      <c r="N14" s="265">
        <v>0.32200000000000001</v>
      </c>
      <c r="O14" s="265">
        <v>0.313</v>
      </c>
      <c r="P14" s="265">
        <v>-8.9999999999999993E-3</v>
      </c>
      <c r="W14" s="96">
        <v>1997</v>
      </c>
      <c r="X14" s="98">
        <v>649</v>
      </c>
      <c r="Y14" s="100" t="s">
        <v>107</v>
      </c>
      <c r="Z14" s="101">
        <v>0.16800000000000001</v>
      </c>
      <c r="AA14" s="101">
        <v>1.0999999999999999E-2</v>
      </c>
      <c r="AB14" s="101">
        <v>1.0999999999999999E-2</v>
      </c>
      <c r="AC14" s="101">
        <v>3.1E-2</v>
      </c>
      <c r="AD14" s="101">
        <v>3.1E-2</v>
      </c>
      <c r="AE14" s="101">
        <v>8.0000000000000002E-3</v>
      </c>
      <c r="AF14" s="101">
        <v>0</v>
      </c>
      <c r="AG14" s="101">
        <v>0</v>
      </c>
      <c r="AH14" s="101">
        <v>0</v>
      </c>
      <c r="AI14" s="101">
        <v>0</v>
      </c>
      <c r="AJ14" s="101">
        <v>0</v>
      </c>
      <c r="AK14" s="101">
        <v>0</v>
      </c>
      <c r="AL14" s="101">
        <v>0</v>
      </c>
      <c r="AM14" s="101">
        <v>0</v>
      </c>
      <c r="AN14" s="101">
        <v>8.9999999999999993E-3</v>
      </c>
      <c r="AO14" s="101">
        <v>0</v>
      </c>
      <c r="AP14" s="101">
        <v>0</v>
      </c>
      <c r="AQ14" s="101">
        <v>0</v>
      </c>
      <c r="AR14" s="101">
        <v>0</v>
      </c>
      <c r="AS14" s="101">
        <v>0.13900000000000001</v>
      </c>
      <c r="AT14" s="101">
        <v>7.0999999999999994E-2</v>
      </c>
      <c r="AU14" s="101">
        <v>0</v>
      </c>
      <c r="AV14" s="101">
        <v>0.52200000000000002</v>
      </c>
      <c r="AW14" s="101">
        <f t="shared" si="3"/>
        <v>0.47799999999999998</v>
      </c>
      <c r="AX14" s="101">
        <f t="shared" si="0"/>
        <v>0.21000000000000002</v>
      </c>
      <c r="AY14" s="101">
        <f t="shared" si="1"/>
        <v>0.28688524590163939</v>
      </c>
      <c r="AZ14" s="102">
        <f t="shared" si="2"/>
        <v>0.26900000000000002</v>
      </c>
    </row>
    <row r="15" spans="2:52" x14ac:dyDescent="0.3">
      <c r="B15" s="40" t="s">
        <v>287</v>
      </c>
      <c r="C15">
        <v>5</v>
      </c>
      <c r="D15">
        <v>30</v>
      </c>
      <c r="M15" s="262">
        <v>1998</v>
      </c>
      <c r="N15" s="263">
        <v>0.26700000000000002</v>
      </c>
      <c r="O15" s="263">
        <v>0.313</v>
      </c>
      <c r="P15" s="263">
        <v>4.5999999999999999E-2</v>
      </c>
      <c r="W15" s="96">
        <v>1998</v>
      </c>
      <c r="X15" s="98">
        <v>335</v>
      </c>
      <c r="Y15" s="100" t="s">
        <v>107</v>
      </c>
      <c r="Z15" s="101">
        <v>0.13700000000000001</v>
      </c>
      <c r="AA15" s="101">
        <v>0</v>
      </c>
      <c r="AB15" s="101">
        <v>0</v>
      </c>
      <c r="AC15" s="101">
        <v>0.113</v>
      </c>
      <c r="AD15" s="101">
        <v>6.0000000000000001E-3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0</v>
      </c>
      <c r="AP15" s="101">
        <v>0</v>
      </c>
      <c r="AQ15" s="101">
        <v>0</v>
      </c>
      <c r="AR15" s="101">
        <v>0</v>
      </c>
      <c r="AS15" s="101">
        <v>0.17299999999999999</v>
      </c>
      <c r="AT15" s="101">
        <v>6.9000000000000006E-2</v>
      </c>
      <c r="AU15" s="101">
        <v>0</v>
      </c>
      <c r="AV15" s="101">
        <v>0.501</v>
      </c>
      <c r="AW15" s="101">
        <f t="shared" si="3"/>
        <v>0.499</v>
      </c>
      <c r="AX15" s="101">
        <f t="shared" si="0"/>
        <v>0.24199999999999999</v>
      </c>
      <c r="AY15" s="101">
        <f t="shared" si="1"/>
        <v>0.32570659488559894</v>
      </c>
      <c r="AZ15" s="102">
        <f t="shared" si="2"/>
        <v>0.25600000000000001</v>
      </c>
    </row>
    <row r="16" spans="2:52" x14ac:dyDescent="0.3">
      <c r="M16" s="264">
        <v>1999</v>
      </c>
      <c r="N16" s="265">
        <v>0.30399999999999999</v>
      </c>
      <c r="O16" s="265">
        <v>0.313</v>
      </c>
      <c r="P16" s="265">
        <v>8.9999999999999993E-3</v>
      </c>
      <c r="W16" s="96">
        <v>1999</v>
      </c>
      <c r="X16" s="98">
        <v>279</v>
      </c>
      <c r="Y16" s="100" t="s">
        <v>107</v>
      </c>
      <c r="Z16" s="101">
        <v>0.13600000000000001</v>
      </c>
      <c r="AA16" s="101">
        <v>4.0000000000000001E-3</v>
      </c>
      <c r="AB16" s="101">
        <v>2.1999999999999999E-2</v>
      </c>
      <c r="AC16" s="101">
        <v>0.129</v>
      </c>
      <c r="AD16" s="101">
        <v>0</v>
      </c>
      <c r="AE16" s="101">
        <v>0</v>
      </c>
      <c r="AF16" s="101">
        <v>0</v>
      </c>
      <c r="AG16" s="101">
        <v>0</v>
      </c>
      <c r="AH16" s="101">
        <v>0</v>
      </c>
      <c r="AI16" s="101">
        <v>0</v>
      </c>
      <c r="AJ16" s="101">
        <v>0</v>
      </c>
      <c r="AK16" s="101">
        <v>0</v>
      </c>
      <c r="AL16" s="101">
        <v>0</v>
      </c>
      <c r="AM16" s="101">
        <v>0</v>
      </c>
      <c r="AN16" s="101">
        <v>0</v>
      </c>
      <c r="AO16" s="101">
        <v>0</v>
      </c>
      <c r="AP16" s="101">
        <v>0</v>
      </c>
      <c r="AQ16" s="101">
        <v>0</v>
      </c>
      <c r="AR16" s="101">
        <v>0</v>
      </c>
      <c r="AS16" s="101">
        <v>0.11799999999999999</v>
      </c>
      <c r="AT16" s="101">
        <v>5.7000000000000002E-2</v>
      </c>
      <c r="AU16" s="101">
        <v>0</v>
      </c>
      <c r="AV16" s="101">
        <v>0.53400000000000003</v>
      </c>
      <c r="AW16" s="101">
        <f t="shared" si="3"/>
        <v>0.46599999999999997</v>
      </c>
      <c r="AX16" s="101">
        <f t="shared" si="0"/>
        <v>0.17499999999999999</v>
      </c>
      <c r="AY16" s="101">
        <f t="shared" si="1"/>
        <v>0.24682651622002816</v>
      </c>
      <c r="AZ16" s="102">
        <f t="shared" si="2"/>
        <v>0.29100000000000004</v>
      </c>
    </row>
    <row r="17" spans="13:73" s="26" customFormat="1" x14ac:dyDescent="0.3">
      <c r="M17" s="262">
        <v>2000</v>
      </c>
      <c r="N17" s="263">
        <v>0.28699999999999998</v>
      </c>
      <c r="O17" s="263">
        <v>0.313</v>
      </c>
      <c r="P17" s="263">
        <v>2.5999999999999999E-2</v>
      </c>
      <c r="W17" s="96">
        <v>2000</v>
      </c>
      <c r="X17" s="98">
        <v>232</v>
      </c>
      <c r="Y17" s="100" t="s">
        <v>107</v>
      </c>
      <c r="Z17" s="101">
        <v>0.20699999999999999</v>
      </c>
      <c r="AA17" s="101">
        <v>4.0000000000000001E-3</v>
      </c>
      <c r="AB17" s="101">
        <v>2.1999999999999999E-2</v>
      </c>
      <c r="AC17" s="101">
        <v>0</v>
      </c>
      <c r="AD17" s="101">
        <v>0</v>
      </c>
      <c r="AE17" s="101">
        <v>0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0</v>
      </c>
      <c r="AL17" s="101">
        <v>0</v>
      </c>
      <c r="AM17" s="101">
        <v>0</v>
      </c>
      <c r="AN17" s="101">
        <v>0</v>
      </c>
      <c r="AO17" s="101">
        <v>0</v>
      </c>
      <c r="AP17" s="101">
        <v>0</v>
      </c>
      <c r="AQ17" s="101">
        <v>0</v>
      </c>
      <c r="AR17" s="101">
        <v>0</v>
      </c>
      <c r="AS17" s="101">
        <v>0.28399999999999997</v>
      </c>
      <c r="AT17" s="101">
        <v>5.1999999999999998E-2</v>
      </c>
      <c r="AU17" s="101">
        <v>0</v>
      </c>
      <c r="AV17" s="101">
        <v>0.43099999999999999</v>
      </c>
      <c r="AW17" s="101">
        <f t="shared" si="3"/>
        <v>0.56899999999999995</v>
      </c>
      <c r="AX17" s="101">
        <f t="shared" si="0"/>
        <v>0.33599999999999997</v>
      </c>
      <c r="AY17" s="101">
        <f t="shared" si="1"/>
        <v>0.43807040417209908</v>
      </c>
      <c r="AZ17" s="102">
        <f t="shared" si="2"/>
        <v>0.23299999999999998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</row>
    <row r="18" spans="13:73" s="45" customFormat="1" x14ac:dyDescent="0.3">
      <c r="M18" s="264">
        <v>2001</v>
      </c>
      <c r="N18" s="265">
        <v>0.21199999999999999</v>
      </c>
      <c r="O18" s="265">
        <v>0.313</v>
      </c>
      <c r="P18" s="265">
        <v>0.10100000000000001</v>
      </c>
      <c r="W18" s="96">
        <v>2001</v>
      </c>
      <c r="X18" s="98">
        <v>361</v>
      </c>
      <c r="Y18" s="100" t="s">
        <v>107</v>
      </c>
      <c r="Z18" s="101">
        <v>5.8000000000000003E-2</v>
      </c>
      <c r="AA18" s="101">
        <v>6.0000000000000001E-3</v>
      </c>
      <c r="AB18" s="101">
        <v>1.0999999999999999E-2</v>
      </c>
      <c r="AC18" s="101">
        <v>0</v>
      </c>
      <c r="AD18" s="101"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0</v>
      </c>
      <c r="AJ18" s="101">
        <v>0</v>
      </c>
      <c r="AK18" s="101">
        <v>0</v>
      </c>
      <c r="AL18" s="101">
        <v>8.0000000000000002E-3</v>
      </c>
      <c r="AM18" s="101">
        <v>0</v>
      </c>
      <c r="AN18" s="101">
        <v>6.0000000000000001E-3</v>
      </c>
      <c r="AO18" s="101">
        <v>0</v>
      </c>
      <c r="AP18" s="101">
        <v>0</v>
      </c>
      <c r="AQ18" s="101">
        <v>0</v>
      </c>
      <c r="AR18" s="101">
        <v>0</v>
      </c>
      <c r="AS18" s="101">
        <v>0.21299999999999999</v>
      </c>
      <c r="AT18" s="101">
        <v>0.15</v>
      </c>
      <c r="AU18" s="101">
        <v>0</v>
      </c>
      <c r="AV18" s="101">
        <v>0.54800000000000004</v>
      </c>
      <c r="AW18" s="101">
        <f t="shared" si="3"/>
        <v>0.45199999999999996</v>
      </c>
      <c r="AX18" s="101">
        <f t="shared" si="0"/>
        <v>0.36299999999999999</v>
      </c>
      <c r="AY18" s="101">
        <f t="shared" si="1"/>
        <v>0.39846322722283201</v>
      </c>
      <c r="AZ18" s="102">
        <f t="shared" si="2"/>
        <v>8.8999999999999996E-2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</row>
    <row r="19" spans="13:73" x14ac:dyDescent="0.3">
      <c r="M19" s="262">
        <v>2002</v>
      </c>
      <c r="N19" s="263">
        <v>0.28000000000000003</v>
      </c>
      <c r="O19" s="263">
        <v>0.313</v>
      </c>
      <c r="P19" s="263">
        <v>3.3000000000000002E-2</v>
      </c>
      <c r="W19" s="96">
        <v>2002</v>
      </c>
      <c r="X19" s="98">
        <v>897</v>
      </c>
      <c r="Y19" s="100" t="s">
        <v>107</v>
      </c>
      <c r="Z19" s="101">
        <v>0.17899999999999999</v>
      </c>
      <c r="AA19" s="101">
        <v>0</v>
      </c>
      <c r="AB19" s="101">
        <v>1.4E-2</v>
      </c>
      <c r="AC19" s="101">
        <v>8.0000000000000002E-3</v>
      </c>
      <c r="AD19" s="101">
        <v>6.0000000000000001E-3</v>
      </c>
      <c r="AE19" s="101">
        <v>2.7E-2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8.9999999999999993E-3</v>
      </c>
      <c r="AM19" s="101">
        <v>0</v>
      </c>
      <c r="AN19" s="101">
        <v>7.0000000000000001E-3</v>
      </c>
      <c r="AO19" s="101">
        <v>2E-3</v>
      </c>
      <c r="AP19" s="101">
        <v>0</v>
      </c>
      <c r="AQ19" s="101">
        <v>0</v>
      </c>
      <c r="AR19" s="101">
        <v>0</v>
      </c>
      <c r="AS19" s="101">
        <v>9.7000000000000003E-2</v>
      </c>
      <c r="AT19" s="101">
        <v>0.108</v>
      </c>
      <c r="AU19" s="101">
        <v>0.02</v>
      </c>
      <c r="AV19" s="101">
        <v>0.52300000000000002</v>
      </c>
      <c r="AW19" s="101">
        <f t="shared" si="3"/>
        <v>0.45699999999999996</v>
      </c>
      <c r="AX19" s="101">
        <f t="shared" si="0"/>
        <v>0.22500000000000001</v>
      </c>
      <c r="AY19" s="101">
        <f t="shared" si="1"/>
        <v>0.30080213903743314</v>
      </c>
      <c r="AZ19" s="102">
        <f t="shared" si="2"/>
        <v>0.252</v>
      </c>
    </row>
    <row r="20" spans="13:73" x14ac:dyDescent="0.3">
      <c r="M20" s="264">
        <v>2003</v>
      </c>
      <c r="N20" s="265">
        <v>0.217</v>
      </c>
      <c r="O20" s="265">
        <v>0.313</v>
      </c>
      <c r="P20" s="265">
        <v>9.6000000000000002E-2</v>
      </c>
      <c r="W20" s="96">
        <v>2003</v>
      </c>
      <c r="X20" s="98">
        <v>1547</v>
      </c>
      <c r="Y20" s="100" t="s">
        <v>107</v>
      </c>
      <c r="Z20" s="101">
        <v>0.13600000000000001</v>
      </c>
      <c r="AA20" s="101">
        <v>0</v>
      </c>
      <c r="AB20" s="101">
        <v>8.9999999999999993E-3</v>
      </c>
      <c r="AC20" s="101">
        <v>4.1000000000000002E-2</v>
      </c>
      <c r="AD20" s="101">
        <v>1.0999999999999999E-2</v>
      </c>
      <c r="AE20" s="101">
        <v>0</v>
      </c>
      <c r="AF20" s="101">
        <v>4.0000000000000001E-3</v>
      </c>
      <c r="AG20" s="101">
        <v>0</v>
      </c>
      <c r="AH20" s="101">
        <v>0</v>
      </c>
      <c r="AI20" s="101">
        <v>0</v>
      </c>
      <c r="AJ20" s="101">
        <v>0</v>
      </c>
      <c r="AK20" s="101">
        <v>0</v>
      </c>
      <c r="AL20" s="101">
        <v>3.0000000000000001E-3</v>
      </c>
      <c r="AM20" s="101">
        <v>3.0000000000000001E-3</v>
      </c>
      <c r="AN20" s="101">
        <v>3.0000000000000001E-3</v>
      </c>
      <c r="AO20" s="101">
        <v>0</v>
      </c>
      <c r="AP20" s="101">
        <v>0</v>
      </c>
      <c r="AQ20" s="101">
        <v>0</v>
      </c>
      <c r="AR20" s="101">
        <v>0</v>
      </c>
      <c r="AS20" s="101">
        <v>0.13900000000000001</v>
      </c>
      <c r="AT20" s="101">
        <v>9.1999999999999998E-2</v>
      </c>
      <c r="AU20" s="101">
        <v>0</v>
      </c>
      <c r="AV20" s="101">
        <v>0.55900000000000005</v>
      </c>
      <c r="AW20" s="101">
        <f t="shared" si="3"/>
        <v>0.44099999999999995</v>
      </c>
      <c r="AX20" s="101">
        <f t="shared" si="0"/>
        <v>0.23100000000000001</v>
      </c>
      <c r="AY20" s="101">
        <f t="shared" si="1"/>
        <v>0.29240506329113924</v>
      </c>
      <c r="AZ20" s="102">
        <f t="shared" si="2"/>
        <v>0.21000000000000005</v>
      </c>
    </row>
    <row r="21" spans="13:73" x14ac:dyDescent="0.3">
      <c r="M21" s="262">
        <v>2004</v>
      </c>
      <c r="N21" s="263">
        <v>0.20699999999999999</v>
      </c>
      <c r="O21" s="263">
        <v>0.313</v>
      </c>
      <c r="P21" s="263">
        <v>0.106</v>
      </c>
      <c r="W21" s="96">
        <v>2004</v>
      </c>
      <c r="X21" s="98">
        <v>1901</v>
      </c>
      <c r="Y21" s="100" t="s">
        <v>107</v>
      </c>
      <c r="Z21" s="101">
        <v>0.187</v>
      </c>
      <c r="AA21" s="101">
        <v>2.1000000000000001E-2</v>
      </c>
      <c r="AB21" s="101">
        <v>0.03</v>
      </c>
      <c r="AC21" s="101">
        <v>6.5000000000000002E-2</v>
      </c>
      <c r="AD21" s="101">
        <v>3.3000000000000002E-2</v>
      </c>
      <c r="AE21" s="101">
        <v>2.8000000000000001E-2</v>
      </c>
      <c r="AF21" s="101">
        <v>0</v>
      </c>
      <c r="AG21" s="101">
        <v>0</v>
      </c>
      <c r="AH21" s="101">
        <v>4.0000000000000001E-3</v>
      </c>
      <c r="AI21" s="101">
        <v>0</v>
      </c>
      <c r="AJ21" s="101">
        <v>0</v>
      </c>
      <c r="AK21" s="101">
        <v>0</v>
      </c>
      <c r="AL21" s="101">
        <v>2E-3</v>
      </c>
      <c r="AM21" s="101">
        <v>3.0000000000000001E-3</v>
      </c>
      <c r="AN21" s="101">
        <v>2E-3</v>
      </c>
      <c r="AO21" s="101">
        <v>0</v>
      </c>
      <c r="AP21" s="101">
        <v>0</v>
      </c>
      <c r="AQ21" s="101">
        <v>0</v>
      </c>
      <c r="AR21" s="101">
        <v>0</v>
      </c>
      <c r="AS21" s="101">
        <v>0.13200000000000001</v>
      </c>
      <c r="AT21" s="101">
        <v>0.04</v>
      </c>
      <c r="AU21" s="101">
        <v>0</v>
      </c>
      <c r="AV21" s="101">
        <v>0.45400000000000001</v>
      </c>
      <c r="AW21" s="101">
        <f t="shared" si="3"/>
        <v>0.54600000000000004</v>
      </c>
      <c r="AX21" s="101">
        <f t="shared" si="0"/>
        <v>0.17200000000000001</v>
      </c>
      <c r="AY21" s="101">
        <f t="shared" si="1"/>
        <v>0.27476038338658149</v>
      </c>
      <c r="AZ21" s="102">
        <f t="shared" si="2"/>
        <v>0.375</v>
      </c>
    </row>
    <row r="22" spans="13:73" x14ac:dyDescent="0.3">
      <c r="M22" s="264">
        <v>2005</v>
      </c>
      <c r="N22" s="265">
        <v>0.253</v>
      </c>
      <c r="O22" s="265">
        <v>0.313</v>
      </c>
      <c r="P22" s="265">
        <v>0.06</v>
      </c>
      <c r="W22" s="96">
        <v>2005</v>
      </c>
      <c r="X22" s="98">
        <v>464</v>
      </c>
      <c r="Y22" s="100" t="s">
        <v>107</v>
      </c>
      <c r="Z22" s="101">
        <v>0.13100000000000001</v>
      </c>
      <c r="AA22" s="101">
        <v>0</v>
      </c>
      <c r="AB22" s="101">
        <v>0</v>
      </c>
      <c r="AC22" s="101">
        <v>8.7999999999999995E-2</v>
      </c>
      <c r="AD22" s="101">
        <v>0.03</v>
      </c>
      <c r="AE22" s="101">
        <v>4.1000000000000002E-2</v>
      </c>
      <c r="AF22" s="101">
        <v>8.9999999999999993E-3</v>
      </c>
      <c r="AG22" s="101">
        <v>0</v>
      </c>
      <c r="AH22" s="101">
        <v>0</v>
      </c>
      <c r="AI22" s="101">
        <v>0</v>
      </c>
      <c r="AJ22" s="101">
        <v>0</v>
      </c>
      <c r="AK22" s="101">
        <v>0</v>
      </c>
      <c r="AL22" s="101">
        <v>2.1999999999999999E-2</v>
      </c>
      <c r="AM22" s="101">
        <v>1.0999999999999999E-2</v>
      </c>
      <c r="AN22" s="101">
        <v>4.0000000000000001E-3</v>
      </c>
      <c r="AO22" s="101">
        <v>0</v>
      </c>
      <c r="AP22" s="101">
        <v>0</v>
      </c>
      <c r="AQ22" s="101">
        <v>0</v>
      </c>
      <c r="AR22" s="101">
        <v>0</v>
      </c>
      <c r="AS22" s="101">
        <v>0.121</v>
      </c>
      <c r="AT22" s="101">
        <v>0.155</v>
      </c>
      <c r="AU22" s="101">
        <v>0</v>
      </c>
      <c r="AV22" s="101">
        <v>0.38800000000000001</v>
      </c>
      <c r="AW22" s="101">
        <f t="shared" si="3"/>
        <v>0.61199999999999999</v>
      </c>
      <c r="AX22" s="101">
        <f t="shared" si="0"/>
        <v>0.27600000000000002</v>
      </c>
      <c r="AY22" s="101">
        <f t="shared" si="1"/>
        <v>0.41566265060240964</v>
      </c>
      <c r="AZ22" s="102">
        <f t="shared" si="2"/>
        <v>0.33600000000000002</v>
      </c>
    </row>
    <row r="23" spans="13:73" x14ac:dyDescent="0.3">
      <c r="M23" s="262">
        <v>2006</v>
      </c>
      <c r="N23" s="263">
        <v>0.27</v>
      </c>
      <c r="O23" s="263">
        <v>0.313</v>
      </c>
      <c r="P23" s="263">
        <v>4.2999999999999997E-2</v>
      </c>
      <c r="W23" s="96">
        <v>2006</v>
      </c>
      <c r="X23" s="98">
        <v>566</v>
      </c>
      <c r="Y23" s="100" t="s">
        <v>107</v>
      </c>
      <c r="Z23" s="101">
        <v>0.191</v>
      </c>
      <c r="AA23" s="101">
        <v>0</v>
      </c>
      <c r="AB23" s="101">
        <v>8.9999999999999993E-3</v>
      </c>
      <c r="AC23" s="101">
        <v>5.0999999999999997E-2</v>
      </c>
      <c r="AD23" s="101">
        <v>0</v>
      </c>
      <c r="AE23" s="101">
        <v>2.7E-2</v>
      </c>
      <c r="AF23" s="101">
        <v>2.5000000000000001E-2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4.0000000000000001E-3</v>
      </c>
      <c r="AM23" s="101">
        <v>0</v>
      </c>
      <c r="AN23" s="101">
        <v>4.0000000000000001E-3</v>
      </c>
      <c r="AO23" s="101">
        <v>0</v>
      </c>
      <c r="AP23" s="101">
        <v>0</v>
      </c>
      <c r="AQ23" s="101">
        <v>0</v>
      </c>
      <c r="AR23" s="101">
        <v>0</v>
      </c>
      <c r="AS23" s="101">
        <v>0.14699999999999999</v>
      </c>
      <c r="AT23" s="101">
        <v>0.19400000000000001</v>
      </c>
      <c r="AU23" s="101">
        <v>0</v>
      </c>
      <c r="AV23" s="101">
        <v>0.35</v>
      </c>
      <c r="AW23" s="101">
        <f t="shared" si="3"/>
        <v>0.65</v>
      </c>
      <c r="AX23" s="101">
        <f t="shared" si="0"/>
        <v>0.34099999999999997</v>
      </c>
      <c r="AY23" s="101">
        <f t="shared" si="1"/>
        <v>0.49348769898697536</v>
      </c>
      <c r="AZ23" s="102">
        <f t="shared" si="2"/>
        <v>0.31100000000000005</v>
      </c>
    </row>
    <row r="24" spans="13:73" x14ac:dyDescent="0.3">
      <c r="M24" s="264">
        <v>2007</v>
      </c>
      <c r="N24" s="265">
        <v>0.22600000000000001</v>
      </c>
      <c r="O24" s="265">
        <v>0.313</v>
      </c>
      <c r="P24" s="265">
        <v>8.6999999999999994E-2</v>
      </c>
      <c r="W24" s="96">
        <v>2007</v>
      </c>
      <c r="X24" s="98">
        <v>314</v>
      </c>
      <c r="Y24" s="100" t="s">
        <v>107</v>
      </c>
      <c r="Z24" s="101">
        <v>0.23200000000000001</v>
      </c>
      <c r="AA24" s="101">
        <v>0</v>
      </c>
      <c r="AB24" s="101">
        <v>0.01</v>
      </c>
      <c r="AC24" s="101">
        <v>7.0000000000000007E-2</v>
      </c>
      <c r="AD24" s="101">
        <v>7.2999999999999995E-2</v>
      </c>
      <c r="AE24" s="101">
        <v>2.5000000000000001E-2</v>
      </c>
      <c r="AF24" s="101">
        <v>0</v>
      </c>
      <c r="AG24" s="101">
        <v>0</v>
      </c>
      <c r="AH24" s="101">
        <v>0</v>
      </c>
      <c r="AI24" s="101">
        <v>0</v>
      </c>
      <c r="AJ24" s="101">
        <v>1.2999999999999999E-2</v>
      </c>
      <c r="AK24" s="101">
        <v>0</v>
      </c>
      <c r="AL24" s="101">
        <v>6.0000000000000001E-3</v>
      </c>
      <c r="AM24" s="101">
        <v>0</v>
      </c>
      <c r="AN24" s="101">
        <v>6.0000000000000001E-3</v>
      </c>
      <c r="AO24" s="101">
        <v>0</v>
      </c>
      <c r="AP24" s="101">
        <v>0</v>
      </c>
      <c r="AQ24" s="101">
        <v>0</v>
      </c>
      <c r="AR24" s="101">
        <v>0</v>
      </c>
      <c r="AS24" s="101">
        <v>6.7000000000000004E-2</v>
      </c>
      <c r="AT24" s="101">
        <v>0.16900000000000001</v>
      </c>
      <c r="AU24" s="101">
        <v>0</v>
      </c>
      <c r="AV24" s="101">
        <v>0.32800000000000001</v>
      </c>
      <c r="AW24" s="101">
        <f t="shared" si="3"/>
        <v>0.67199999999999993</v>
      </c>
      <c r="AX24" s="101">
        <f t="shared" si="0"/>
        <v>0.23600000000000002</v>
      </c>
      <c r="AY24" s="101">
        <f t="shared" si="1"/>
        <v>0.41843971631205673</v>
      </c>
      <c r="AZ24" s="102">
        <f t="shared" si="2"/>
        <v>0.43500000000000011</v>
      </c>
    </row>
    <row r="25" spans="13:73" x14ac:dyDescent="0.3">
      <c r="M25" s="262">
        <v>2008</v>
      </c>
      <c r="N25" s="263">
        <v>0.27600000000000002</v>
      </c>
      <c r="O25" s="263">
        <v>0.313</v>
      </c>
      <c r="P25" s="263">
        <v>3.6999999999999998E-2</v>
      </c>
      <c r="W25" s="96">
        <v>2008</v>
      </c>
      <c r="X25" s="98">
        <v>222</v>
      </c>
      <c r="Y25" s="100" t="s">
        <v>107</v>
      </c>
      <c r="Z25" s="101">
        <v>0.33800000000000002</v>
      </c>
      <c r="AA25" s="101">
        <v>0</v>
      </c>
      <c r="AB25" s="101">
        <v>5.3999999999999999E-2</v>
      </c>
      <c r="AC25" s="101">
        <v>1.4E-2</v>
      </c>
      <c r="AD25" s="101">
        <v>1.7999999999999999E-2</v>
      </c>
      <c r="AE25" s="101">
        <v>3.2000000000000001E-2</v>
      </c>
      <c r="AF25" s="101">
        <v>1.7999999999999999E-2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101">
        <v>0</v>
      </c>
      <c r="AP25" s="101">
        <v>0</v>
      </c>
      <c r="AQ25" s="101">
        <v>0</v>
      </c>
      <c r="AR25" s="101">
        <v>0</v>
      </c>
      <c r="AS25" s="101">
        <v>0.17599999999999999</v>
      </c>
      <c r="AT25" s="101">
        <v>7.1999999999999995E-2</v>
      </c>
      <c r="AU25" s="101">
        <v>8.9999999999999993E-3</v>
      </c>
      <c r="AV25" s="101">
        <v>0.27</v>
      </c>
      <c r="AW25" s="101">
        <f t="shared" si="3"/>
        <v>0.72099999999999997</v>
      </c>
      <c r="AX25" s="101">
        <f t="shared" si="0"/>
        <v>0.25700000000000001</v>
      </c>
      <c r="AY25" s="101">
        <f t="shared" si="1"/>
        <v>0.48766603415559773</v>
      </c>
      <c r="AZ25" s="102">
        <f t="shared" si="2"/>
        <v>0.47400000000000009</v>
      </c>
    </row>
    <row r="26" spans="13:73" x14ac:dyDescent="0.3">
      <c r="M26" s="264">
        <v>2009</v>
      </c>
      <c r="N26" s="265">
        <v>0.38</v>
      </c>
      <c r="O26" s="265">
        <v>0.38</v>
      </c>
      <c r="P26" s="265">
        <v>0</v>
      </c>
      <c r="W26" s="96">
        <v>2009</v>
      </c>
      <c r="X26" s="98">
        <v>231</v>
      </c>
      <c r="Y26" s="100" t="s">
        <v>107</v>
      </c>
      <c r="Z26" s="101">
        <v>0.216</v>
      </c>
      <c r="AA26" s="101">
        <v>0</v>
      </c>
      <c r="AB26" s="101">
        <v>8.9999999999999993E-3</v>
      </c>
      <c r="AC26" s="101">
        <v>3.9E-2</v>
      </c>
      <c r="AD26" s="101">
        <v>2.1999999999999999E-2</v>
      </c>
      <c r="AE26" s="101">
        <v>1.2999999999999999E-2</v>
      </c>
      <c r="AF26" s="101">
        <v>5.6000000000000001E-2</v>
      </c>
      <c r="AG26" s="101">
        <v>0</v>
      </c>
      <c r="AH26" s="101">
        <v>0</v>
      </c>
      <c r="AI26" s="101">
        <v>0</v>
      </c>
      <c r="AJ26" s="101">
        <v>0</v>
      </c>
      <c r="AK26" s="101">
        <v>0</v>
      </c>
      <c r="AL26" s="101">
        <v>0</v>
      </c>
      <c r="AM26" s="101">
        <v>0</v>
      </c>
      <c r="AN26" s="101">
        <v>0</v>
      </c>
      <c r="AO26" s="101">
        <v>0</v>
      </c>
      <c r="AP26" s="101">
        <v>0</v>
      </c>
      <c r="AQ26" s="101">
        <v>0</v>
      </c>
      <c r="AR26" s="101">
        <v>0</v>
      </c>
      <c r="AS26" s="101">
        <v>0.48899999999999999</v>
      </c>
      <c r="AT26" s="101">
        <v>4.2999999999999997E-2</v>
      </c>
      <c r="AU26" s="101">
        <v>0</v>
      </c>
      <c r="AV26" s="101">
        <v>0.113</v>
      </c>
      <c r="AW26" s="101">
        <f t="shared" si="3"/>
        <v>0.88700000000000001</v>
      </c>
      <c r="AX26" s="101">
        <f t="shared" si="0"/>
        <v>0.53200000000000003</v>
      </c>
      <c r="AY26" s="101">
        <f t="shared" si="1"/>
        <v>0.82480620155038764</v>
      </c>
      <c r="AZ26" s="102">
        <f t="shared" si="2"/>
        <v>0.35500000000000004</v>
      </c>
    </row>
    <row r="27" spans="13:73" x14ac:dyDescent="0.3">
      <c r="M27" s="262">
        <v>2010</v>
      </c>
      <c r="N27" s="263">
        <v>0.26</v>
      </c>
      <c r="O27" s="263">
        <v>0.33300000000000002</v>
      </c>
      <c r="P27" s="263">
        <v>7.2999999999999995E-2</v>
      </c>
      <c r="W27" s="96">
        <v>2010</v>
      </c>
      <c r="X27" s="98">
        <v>504</v>
      </c>
      <c r="Y27" s="100" t="s">
        <v>107</v>
      </c>
      <c r="Z27" s="101">
        <v>0.16300000000000001</v>
      </c>
      <c r="AA27" s="101">
        <v>0</v>
      </c>
      <c r="AB27" s="101">
        <v>4.5999999999999999E-2</v>
      </c>
      <c r="AC27" s="101">
        <v>8.3000000000000004E-2</v>
      </c>
      <c r="AD27" s="101">
        <v>3.5999999999999997E-2</v>
      </c>
      <c r="AE27" s="101">
        <v>8.0000000000000002E-3</v>
      </c>
      <c r="AF27" s="101">
        <v>1.4E-2</v>
      </c>
      <c r="AG27" s="101">
        <v>0</v>
      </c>
      <c r="AH27" s="101">
        <v>0</v>
      </c>
      <c r="AI27" s="101">
        <v>0</v>
      </c>
      <c r="AJ27" s="101">
        <v>0</v>
      </c>
      <c r="AK27" s="101">
        <v>0</v>
      </c>
      <c r="AL27" s="101">
        <v>1.4E-2</v>
      </c>
      <c r="AM27" s="101">
        <v>6.0000000000000001E-3</v>
      </c>
      <c r="AN27" s="101">
        <v>4.0000000000000001E-3</v>
      </c>
      <c r="AO27" s="101">
        <v>0</v>
      </c>
      <c r="AP27" s="101">
        <v>0</v>
      </c>
      <c r="AQ27" s="101">
        <v>0</v>
      </c>
      <c r="AR27" s="101">
        <v>0</v>
      </c>
      <c r="AS27" s="101">
        <v>0.111</v>
      </c>
      <c r="AT27" s="101">
        <v>4.5999999999999999E-2</v>
      </c>
      <c r="AU27" s="101">
        <v>4.3999999999999997E-2</v>
      </c>
      <c r="AV27" s="101">
        <v>0.42699999999999999</v>
      </c>
      <c r="AW27" s="101">
        <f t="shared" si="3"/>
        <v>0.52899999999999991</v>
      </c>
      <c r="AX27" s="101">
        <f t="shared" si="0"/>
        <v>0.20100000000000001</v>
      </c>
      <c r="AY27" s="101">
        <f t="shared" si="1"/>
        <v>0.32006369426751596</v>
      </c>
      <c r="AZ27" s="102">
        <f t="shared" si="2"/>
        <v>0.37400000000000005</v>
      </c>
    </row>
    <row r="28" spans="13:73" x14ac:dyDescent="0.3">
      <c r="M28" s="264">
        <v>2011</v>
      </c>
      <c r="N28" s="265">
        <v>0.32800000000000001</v>
      </c>
      <c r="O28" s="265">
        <v>0.45</v>
      </c>
      <c r="P28" s="265">
        <v>0.122</v>
      </c>
      <c r="W28" s="96">
        <v>2011</v>
      </c>
      <c r="X28" s="98">
        <v>566</v>
      </c>
      <c r="Y28" s="100" t="s">
        <v>107</v>
      </c>
      <c r="Z28" s="101">
        <v>0.20699999999999999</v>
      </c>
      <c r="AA28" s="101">
        <v>7.0000000000000001E-3</v>
      </c>
      <c r="AB28" s="101">
        <v>0</v>
      </c>
      <c r="AC28" s="101">
        <v>1.7999999999999999E-2</v>
      </c>
      <c r="AD28" s="101">
        <v>5.2999999999999999E-2</v>
      </c>
      <c r="AE28" s="101">
        <v>2.3E-2</v>
      </c>
      <c r="AF28" s="101">
        <v>0</v>
      </c>
      <c r="AG28" s="101">
        <v>0</v>
      </c>
      <c r="AH28" s="101">
        <v>1.2E-2</v>
      </c>
      <c r="AI28" s="101">
        <v>0</v>
      </c>
      <c r="AJ28" s="101">
        <v>0</v>
      </c>
      <c r="AK28" s="101">
        <v>0</v>
      </c>
      <c r="AL28" s="101">
        <v>0</v>
      </c>
      <c r="AM28" s="101">
        <v>2E-3</v>
      </c>
      <c r="AN28" s="101">
        <v>7.0000000000000001E-3</v>
      </c>
      <c r="AO28" s="101">
        <v>8.9999999999999993E-3</v>
      </c>
      <c r="AP28" s="101">
        <v>0</v>
      </c>
      <c r="AQ28" s="101">
        <v>0</v>
      </c>
      <c r="AR28" s="101">
        <v>0</v>
      </c>
      <c r="AS28" s="101">
        <v>0.221</v>
      </c>
      <c r="AT28" s="101">
        <v>8.3000000000000004E-2</v>
      </c>
      <c r="AU28" s="101">
        <v>0</v>
      </c>
      <c r="AV28" s="101">
        <v>0.35899999999999999</v>
      </c>
      <c r="AW28" s="101">
        <f t="shared" si="3"/>
        <v>0.64100000000000001</v>
      </c>
      <c r="AX28" s="101">
        <f t="shared" si="0"/>
        <v>0.30399999999999999</v>
      </c>
      <c r="AY28" s="101">
        <f t="shared" si="1"/>
        <v>0.45852187028657615</v>
      </c>
      <c r="AZ28" s="102">
        <f t="shared" si="2"/>
        <v>0.33800000000000002</v>
      </c>
    </row>
    <row r="29" spans="13:73" x14ac:dyDescent="0.3">
      <c r="M29" s="262">
        <v>2012</v>
      </c>
      <c r="N29" s="263">
        <v>0.34799999999999998</v>
      </c>
      <c r="O29" s="263">
        <v>0.45</v>
      </c>
      <c r="P29" s="263">
        <v>0.10199999999999999</v>
      </c>
      <c r="W29" s="96">
        <v>2012</v>
      </c>
      <c r="X29" s="98">
        <v>600</v>
      </c>
      <c r="Y29" s="100" t="s">
        <v>108</v>
      </c>
      <c r="Z29" s="101">
        <v>0.14000000000000001</v>
      </c>
      <c r="AA29" s="101">
        <v>8.0000000000000002E-3</v>
      </c>
      <c r="AB29" s="101">
        <v>1.2E-2</v>
      </c>
      <c r="AC29" s="101">
        <v>4.7E-2</v>
      </c>
      <c r="AD29" s="101">
        <v>0.02</v>
      </c>
      <c r="AE29" s="101">
        <v>5.8000000000000003E-2</v>
      </c>
      <c r="AF29" s="101">
        <v>5.2999999999999999E-2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4.7E-2</v>
      </c>
      <c r="AM29" s="101">
        <v>3.0000000000000001E-3</v>
      </c>
      <c r="AN29" s="101">
        <v>5.0000000000000001E-3</v>
      </c>
      <c r="AO29" s="101">
        <v>8.0000000000000002E-3</v>
      </c>
      <c r="AP29" s="101">
        <v>0</v>
      </c>
      <c r="AQ29" s="101">
        <v>5.0000000000000001E-3</v>
      </c>
      <c r="AR29" s="101">
        <v>0</v>
      </c>
      <c r="AS29" s="101">
        <v>0.17499999999999999</v>
      </c>
      <c r="AT29" s="101">
        <v>0.183</v>
      </c>
      <c r="AU29" s="101">
        <v>0</v>
      </c>
      <c r="AV29" s="101">
        <v>0.23499999999999999</v>
      </c>
      <c r="AW29" s="101">
        <f t="shared" si="3"/>
        <v>0.76500000000000001</v>
      </c>
      <c r="AX29" s="101">
        <f t="shared" si="0"/>
        <v>0.35799999999999998</v>
      </c>
      <c r="AY29" s="101">
        <f t="shared" si="1"/>
        <v>0.60370994940978073</v>
      </c>
      <c r="AZ29" s="102">
        <f t="shared" si="2"/>
        <v>0.40600000000000003</v>
      </c>
    </row>
    <row r="30" spans="13:73" x14ac:dyDescent="0.3">
      <c r="M30" s="264">
        <v>2013</v>
      </c>
      <c r="N30" s="265">
        <v>0.312</v>
      </c>
      <c r="O30" s="265">
        <v>0.45</v>
      </c>
      <c r="P30" s="265">
        <v>0.13800000000000001</v>
      </c>
    </row>
    <row r="31" spans="13:73" x14ac:dyDescent="0.3">
      <c r="M31" s="266" t="s">
        <v>225</v>
      </c>
      <c r="N31" s="267">
        <v>0.27900000000000003</v>
      </c>
      <c r="O31" s="268"/>
      <c r="P31" s="267">
        <v>6.2E-2</v>
      </c>
      <c r="Z31" s="102">
        <f t="shared" ref="Z31:AV31" si="4">AVERAGE(Z20:Z29)</f>
        <v>0.19410000000000002</v>
      </c>
      <c r="AA31" s="102">
        <f t="shared" si="4"/>
        <v>3.6000000000000003E-3</v>
      </c>
      <c r="AB31" s="102">
        <f t="shared" si="4"/>
        <v>1.7899999999999999E-2</v>
      </c>
      <c r="AC31" s="102">
        <f t="shared" si="4"/>
        <v>5.16E-2</v>
      </c>
      <c r="AD31" s="102">
        <f t="shared" si="4"/>
        <v>2.9599999999999998E-2</v>
      </c>
      <c r="AE31" s="102">
        <f t="shared" si="4"/>
        <v>2.5500000000000002E-2</v>
      </c>
      <c r="AF31" s="102">
        <f t="shared" si="4"/>
        <v>1.7899999999999999E-2</v>
      </c>
      <c r="AG31" s="102">
        <f t="shared" si="4"/>
        <v>0</v>
      </c>
      <c r="AH31" s="102">
        <f t="shared" si="4"/>
        <v>1.6000000000000001E-3</v>
      </c>
      <c r="AI31" s="102">
        <f t="shared" si="4"/>
        <v>0</v>
      </c>
      <c r="AJ31" s="102">
        <f t="shared" si="4"/>
        <v>1.2999999999999999E-3</v>
      </c>
      <c r="AK31" s="102">
        <f t="shared" si="4"/>
        <v>0</v>
      </c>
      <c r="AL31" s="102">
        <f t="shared" si="4"/>
        <v>9.7999999999999997E-3</v>
      </c>
      <c r="AM31" s="102">
        <f t="shared" si="4"/>
        <v>2.8E-3</v>
      </c>
      <c r="AN31" s="102">
        <f t="shared" si="4"/>
        <v>3.5000000000000005E-3</v>
      </c>
      <c r="AO31" s="102">
        <f t="shared" si="4"/>
        <v>1.7000000000000001E-3</v>
      </c>
      <c r="AP31" s="102">
        <f t="shared" si="4"/>
        <v>0</v>
      </c>
      <c r="AQ31" s="102">
        <f t="shared" si="4"/>
        <v>5.0000000000000001E-4</v>
      </c>
      <c r="AR31" s="102">
        <f t="shared" si="4"/>
        <v>0</v>
      </c>
      <c r="AS31" s="102">
        <f t="shared" si="4"/>
        <v>0.17780000000000001</v>
      </c>
      <c r="AT31" s="102">
        <f t="shared" si="4"/>
        <v>0.10769999999999999</v>
      </c>
      <c r="AU31" s="102">
        <f t="shared" si="4"/>
        <v>5.3E-3</v>
      </c>
      <c r="AV31" s="102">
        <f t="shared" si="4"/>
        <v>0.3483</v>
      </c>
      <c r="AW31" s="101">
        <f>1-AV31-AU31</f>
        <v>0.64639999999999997</v>
      </c>
      <c r="AX31" s="102">
        <f>AVERAGE(AX20:AX29)</f>
        <v>0.2908</v>
      </c>
      <c r="AY31" s="102">
        <f>AVERAGE(AY20:AY29)</f>
        <v>0.45895232622490212</v>
      </c>
    </row>
    <row r="33" spans="23:73" x14ac:dyDescent="0.3">
      <c r="W33" s="123" t="s">
        <v>142</v>
      </c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92"/>
      <c r="BA33" s="192"/>
      <c r="BB33" s="192"/>
      <c r="BC33" s="192"/>
    </row>
    <row r="34" spans="23:73" x14ac:dyDescent="0.3">
      <c r="W34" s="125"/>
      <c r="X34" s="126" t="s">
        <v>143</v>
      </c>
      <c r="Y34" s="514" t="s">
        <v>83</v>
      </c>
      <c r="Z34" s="517" t="s">
        <v>144</v>
      </c>
      <c r="AA34" s="518"/>
      <c r="AB34" s="518"/>
      <c r="AC34" s="518"/>
      <c r="AD34" s="518"/>
      <c r="AE34" s="518"/>
      <c r="AF34" s="519"/>
      <c r="AG34" s="517" t="s">
        <v>145</v>
      </c>
      <c r="AH34" s="518"/>
      <c r="AI34" s="518"/>
      <c r="AJ34" s="518"/>
      <c r="AK34" s="518"/>
      <c r="AL34" s="518"/>
      <c r="AM34" s="518"/>
      <c r="AN34" s="518"/>
      <c r="AO34" s="518"/>
      <c r="AP34" s="518"/>
      <c r="AQ34" s="518"/>
      <c r="AR34" s="518"/>
      <c r="AS34" s="519"/>
      <c r="AT34" s="520" t="s">
        <v>146</v>
      </c>
      <c r="AU34" s="521"/>
      <c r="AV34" s="521"/>
      <c r="AW34" s="521"/>
      <c r="AX34" s="521"/>
      <c r="AY34" s="521"/>
      <c r="AZ34" s="521"/>
      <c r="BA34" s="522"/>
      <c r="BB34" s="509" t="s">
        <v>147</v>
      </c>
      <c r="BC34" s="510"/>
    </row>
    <row r="35" spans="23:73" s="26" customFormat="1" x14ac:dyDescent="0.3">
      <c r="W35" s="127" t="s">
        <v>81</v>
      </c>
      <c r="X35" s="128" t="s">
        <v>82</v>
      </c>
      <c r="Y35" s="515"/>
      <c r="Z35" s="129"/>
      <c r="AA35" s="130" t="s">
        <v>84</v>
      </c>
      <c r="AB35" s="131"/>
      <c r="AC35" s="511" t="s">
        <v>85</v>
      </c>
      <c r="AD35" s="512"/>
      <c r="AE35" s="511" t="s">
        <v>86</v>
      </c>
      <c r="AF35" s="512"/>
      <c r="AG35" s="511" t="s">
        <v>148</v>
      </c>
      <c r="AH35" s="513"/>
      <c r="AI35" s="512"/>
      <c r="AJ35" s="511" t="s">
        <v>149</v>
      </c>
      <c r="AK35" s="513"/>
      <c r="AL35" s="512"/>
      <c r="AM35" s="526" t="s">
        <v>90</v>
      </c>
      <c r="AN35" s="527"/>
      <c r="AO35" s="526" t="s">
        <v>91</v>
      </c>
      <c r="AP35" s="527"/>
      <c r="AQ35" s="132" t="s">
        <v>150</v>
      </c>
      <c r="AR35" s="526" t="s">
        <v>151</v>
      </c>
      <c r="AS35" s="527"/>
      <c r="AT35" s="129"/>
      <c r="AU35" s="130" t="s">
        <v>84</v>
      </c>
      <c r="AV35" s="131"/>
      <c r="AW35" s="511" t="s">
        <v>89</v>
      </c>
      <c r="AX35" s="512"/>
      <c r="AY35" s="532" t="s">
        <v>152</v>
      </c>
      <c r="AZ35" s="533"/>
      <c r="BA35" s="534"/>
      <c r="BB35" s="530" t="s">
        <v>153</v>
      </c>
      <c r="BC35" s="530" t="s">
        <v>93</v>
      </c>
      <c r="BD35" t="s">
        <v>125</v>
      </c>
      <c r="BE35" t="s">
        <v>183</v>
      </c>
      <c r="BF35"/>
      <c r="BG35" t="s">
        <v>186</v>
      </c>
      <c r="BH35" t="s">
        <v>186</v>
      </c>
      <c r="BI35" t="s">
        <v>190</v>
      </c>
      <c r="BJ35"/>
      <c r="BK35"/>
      <c r="BL35"/>
      <c r="BM35"/>
      <c r="BN35"/>
      <c r="BO35"/>
      <c r="BP35"/>
      <c r="BQ35"/>
      <c r="BR35"/>
      <c r="BS35"/>
      <c r="BT35"/>
      <c r="BU35"/>
    </row>
    <row r="36" spans="23:73" s="45" customFormat="1" x14ac:dyDescent="0.3">
      <c r="W36" s="133" t="s">
        <v>29</v>
      </c>
      <c r="X36" s="134" t="s">
        <v>154</v>
      </c>
      <c r="Y36" s="516"/>
      <c r="Z36" s="135" t="s">
        <v>155</v>
      </c>
      <c r="AA36" s="136" t="s">
        <v>156</v>
      </c>
      <c r="AB36" s="137" t="s">
        <v>157</v>
      </c>
      <c r="AC36" s="138" t="s">
        <v>155</v>
      </c>
      <c r="AD36" s="137" t="s">
        <v>157</v>
      </c>
      <c r="AE36" s="138" t="s">
        <v>155</v>
      </c>
      <c r="AF36" s="137" t="s">
        <v>157</v>
      </c>
      <c r="AG36" s="138" t="s">
        <v>155</v>
      </c>
      <c r="AH36" s="139" t="s">
        <v>156</v>
      </c>
      <c r="AI36" s="140" t="s">
        <v>157</v>
      </c>
      <c r="AJ36" s="135" t="s">
        <v>155</v>
      </c>
      <c r="AK36" s="139" t="s">
        <v>156</v>
      </c>
      <c r="AL36" s="140" t="s">
        <v>157</v>
      </c>
      <c r="AM36" s="138" t="s">
        <v>155</v>
      </c>
      <c r="AN36" s="137" t="s">
        <v>157</v>
      </c>
      <c r="AO36" s="138" t="s">
        <v>155</v>
      </c>
      <c r="AP36" s="141" t="s">
        <v>157</v>
      </c>
      <c r="AQ36" s="142" t="s">
        <v>156</v>
      </c>
      <c r="AR36" s="135" t="s">
        <v>156</v>
      </c>
      <c r="AS36" s="137" t="s">
        <v>157</v>
      </c>
      <c r="AT36" s="135" t="s">
        <v>155</v>
      </c>
      <c r="AU36" s="139" t="s">
        <v>156</v>
      </c>
      <c r="AV36" s="140" t="s">
        <v>157</v>
      </c>
      <c r="AW36" s="135" t="s">
        <v>156</v>
      </c>
      <c r="AX36" s="137" t="s">
        <v>157</v>
      </c>
      <c r="AY36" s="138" t="s">
        <v>155</v>
      </c>
      <c r="AZ36" s="193" t="s">
        <v>156</v>
      </c>
      <c r="BA36" s="194" t="s">
        <v>157</v>
      </c>
      <c r="BB36" s="531"/>
      <c r="BC36" s="531"/>
      <c r="BD36" s="216" t="s">
        <v>132</v>
      </c>
      <c r="BE36" s="216" t="s">
        <v>132</v>
      </c>
      <c r="BF36"/>
      <c r="BG36" t="s">
        <v>187</v>
      </c>
      <c r="BH36" t="s">
        <v>188</v>
      </c>
      <c r="BI36" t="s">
        <v>191</v>
      </c>
      <c r="BJ36"/>
      <c r="BK36"/>
      <c r="BL36"/>
      <c r="BM36"/>
      <c r="BN36"/>
      <c r="BO36"/>
      <c r="BP36"/>
      <c r="BQ36"/>
      <c r="BR36"/>
      <c r="BS36"/>
      <c r="BT36"/>
      <c r="BU36"/>
    </row>
    <row r="37" spans="23:73" x14ac:dyDescent="0.3">
      <c r="W37" s="143">
        <v>1979</v>
      </c>
      <c r="X37" s="144" t="s">
        <v>158</v>
      </c>
      <c r="Y37" s="145"/>
      <c r="Z37" s="146" t="s">
        <v>102</v>
      </c>
      <c r="AA37" s="95" t="s">
        <v>102</v>
      </c>
      <c r="AB37" s="95" t="s">
        <v>102</v>
      </c>
      <c r="AC37" s="95" t="s">
        <v>102</v>
      </c>
      <c r="AD37" s="95" t="s">
        <v>102</v>
      </c>
      <c r="AE37" s="95" t="s">
        <v>102</v>
      </c>
      <c r="AF37" s="147" t="s">
        <v>102</v>
      </c>
      <c r="AG37" s="148" t="s">
        <v>102</v>
      </c>
      <c r="AH37" s="95" t="s">
        <v>102</v>
      </c>
      <c r="AI37" s="95" t="s">
        <v>102</v>
      </c>
      <c r="AJ37" s="95" t="s">
        <v>102</v>
      </c>
      <c r="AK37" s="95" t="s">
        <v>102</v>
      </c>
      <c r="AL37" s="95" t="s">
        <v>102</v>
      </c>
      <c r="AM37" s="95" t="s">
        <v>102</v>
      </c>
      <c r="AN37" s="95" t="s">
        <v>102</v>
      </c>
      <c r="AO37" s="95" t="s">
        <v>102</v>
      </c>
      <c r="AP37" s="95" t="s">
        <v>102</v>
      </c>
      <c r="AQ37" s="95" t="s">
        <v>102</v>
      </c>
      <c r="AR37" s="95" t="s">
        <v>102</v>
      </c>
      <c r="AS37" s="147" t="s">
        <v>102</v>
      </c>
      <c r="AT37" s="146" t="s">
        <v>102</v>
      </c>
      <c r="AU37" s="95" t="s">
        <v>102</v>
      </c>
      <c r="AV37" s="95" t="s">
        <v>102</v>
      </c>
      <c r="AW37" s="95" t="s">
        <v>102</v>
      </c>
      <c r="AX37" s="95" t="s">
        <v>102</v>
      </c>
      <c r="AY37" s="95" t="s">
        <v>102</v>
      </c>
      <c r="AZ37" s="195" t="s">
        <v>102</v>
      </c>
      <c r="BA37" s="196" t="s">
        <v>102</v>
      </c>
      <c r="BB37" s="197" t="s">
        <v>102</v>
      </c>
      <c r="BC37" s="196" t="s">
        <v>102</v>
      </c>
    </row>
    <row r="38" spans="23:73" x14ac:dyDescent="0.3">
      <c r="W38" s="149">
        <v>1980</v>
      </c>
      <c r="X38" s="150" t="s">
        <v>158</v>
      </c>
      <c r="Y38" s="151"/>
      <c r="Z38" s="152" t="s">
        <v>102</v>
      </c>
      <c r="AA38" s="97" t="s">
        <v>102</v>
      </c>
      <c r="AB38" s="97" t="s">
        <v>102</v>
      </c>
      <c r="AC38" s="97" t="s">
        <v>102</v>
      </c>
      <c r="AD38" s="97" t="s">
        <v>102</v>
      </c>
      <c r="AE38" s="97" t="s">
        <v>102</v>
      </c>
      <c r="AF38" s="153" t="s">
        <v>102</v>
      </c>
      <c r="AG38" s="154" t="s">
        <v>102</v>
      </c>
      <c r="AH38" s="97" t="s">
        <v>102</v>
      </c>
      <c r="AI38" s="97" t="s">
        <v>102</v>
      </c>
      <c r="AJ38" s="97" t="s">
        <v>102</v>
      </c>
      <c r="AK38" s="97" t="s">
        <v>102</v>
      </c>
      <c r="AL38" s="97" t="s">
        <v>102</v>
      </c>
      <c r="AM38" s="97" t="s">
        <v>102</v>
      </c>
      <c r="AN38" s="97" t="s">
        <v>102</v>
      </c>
      <c r="AO38" s="97" t="s">
        <v>102</v>
      </c>
      <c r="AP38" s="97" t="s">
        <v>102</v>
      </c>
      <c r="AQ38" s="97" t="s">
        <v>102</v>
      </c>
      <c r="AR38" s="97" t="s">
        <v>102</v>
      </c>
      <c r="AS38" s="153" t="s">
        <v>102</v>
      </c>
      <c r="AT38" s="152" t="s">
        <v>102</v>
      </c>
      <c r="AU38" s="97" t="s">
        <v>102</v>
      </c>
      <c r="AV38" s="97" t="s">
        <v>102</v>
      </c>
      <c r="AW38" s="97" t="s">
        <v>102</v>
      </c>
      <c r="AX38" s="97" t="s">
        <v>102</v>
      </c>
      <c r="AY38" s="97" t="s">
        <v>102</v>
      </c>
      <c r="AZ38" s="198" t="s">
        <v>102</v>
      </c>
      <c r="BA38" s="199" t="s">
        <v>102</v>
      </c>
      <c r="BB38" s="200" t="s">
        <v>102</v>
      </c>
      <c r="BC38" s="199" t="s">
        <v>102</v>
      </c>
    </row>
    <row r="39" spans="23:73" x14ac:dyDescent="0.3">
      <c r="W39" s="149">
        <v>1981</v>
      </c>
      <c r="X39" s="150" t="s">
        <v>158</v>
      </c>
      <c r="Y39" s="151"/>
      <c r="Z39" s="152" t="s">
        <v>102</v>
      </c>
      <c r="AA39" s="97" t="s">
        <v>102</v>
      </c>
      <c r="AB39" s="97" t="s">
        <v>102</v>
      </c>
      <c r="AC39" s="97" t="s">
        <v>102</v>
      </c>
      <c r="AD39" s="97" t="s">
        <v>102</v>
      </c>
      <c r="AE39" s="97" t="s">
        <v>102</v>
      </c>
      <c r="AF39" s="153" t="s">
        <v>102</v>
      </c>
      <c r="AG39" s="154" t="s">
        <v>102</v>
      </c>
      <c r="AH39" s="97" t="s">
        <v>102</v>
      </c>
      <c r="AI39" s="97" t="s">
        <v>102</v>
      </c>
      <c r="AJ39" s="97" t="s">
        <v>102</v>
      </c>
      <c r="AK39" s="97" t="s">
        <v>102</v>
      </c>
      <c r="AL39" s="97" t="s">
        <v>102</v>
      </c>
      <c r="AM39" s="97" t="s">
        <v>102</v>
      </c>
      <c r="AN39" s="97" t="s">
        <v>102</v>
      </c>
      <c r="AO39" s="97" t="s">
        <v>102</v>
      </c>
      <c r="AP39" s="97" t="s">
        <v>102</v>
      </c>
      <c r="AQ39" s="97" t="s">
        <v>102</v>
      </c>
      <c r="AR39" s="97" t="s">
        <v>102</v>
      </c>
      <c r="AS39" s="153" t="s">
        <v>102</v>
      </c>
      <c r="AT39" s="152" t="s">
        <v>102</v>
      </c>
      <c r="AU39" s="97" t="s">
        <v>102</v>
      </c>
      <c r="AV39" s="97" t="s">
        <v>102</v>
      </c>
      <c r="AW39" s="97" t="s">
        <v>102</v>
      </c>
      <c r="AX39" s="97" t="s">
        <v>102</v>
      </c>
      <c r="AY39" s="97" t="s">
        <v>102</v>
      </c>
      <c r="AZ39" s="198" t="s">
        <v>102</v>
      </c>
      <c r="BA39" s="199" t="s">
        <v>102</v>
      </c>
      <c r="BB39" s="200" t="s">
        <v>102</v>
      </c>
      <c r="BC39" s="199" t="s">
        <v>102</v>
      </c>
    </row>
    <row r="40" spans="23:73" x14ac:dyDescent="0.3">
      <c r="W40" s="149">
        <v>1982</v>
      </c>
      <c r="X40" s="150" t="s">
        <v>158</v>
      </c>
      <c r="Y40" s="151"/>
      <c r="Z40" s="152" t="s">
        <v>102</v>
      </c>
      <c r="AA40" s="97" t="s">
        <v>102</v>
      </c>
      <c r="AB40" s="97" t="s">
        <v>102</v>
      </c>
      <c r="AC40" s="97" t="s">
        <v>102</v>
      </c>
      <c r="AD40" s="97" t="s">
        <v>102</v>
      </c>
      <c r="AE40" s="97" t="s">
        <v>102</v>
      </c>
      <c r="AF40" s="153" t="s">
        <v>102</v>
      </c>
      <c r="AG40" s="154" t="s">
        <v>102</v>
      </c>
      <c r="AH40" s="97" t="s">
        <v>102</v>
      </c>
      <c r="AI40" s="97" t="s">
        <v>102</v>
      </c>
      <c r="AJ40" s="97" t="s">
        <v>102</v>
      </c>
      <c r="AK40" s="97" t="s">
        <v>102</v>
      </c>
      <c r="AL40" s="97" t="s">
        <v>102</v>
      </c>
      <c r="AM40" s="97" t="s">
        <v>102</v>
      </c>
      <c r="AN40" s="97" t="s">
        <v>102</v>
      </c>
      <c r="AO40" s="97" t="s">
        <v>102</v>
      </c>
      <c r="AP40" s="97" t="s">
        <v>102</v>
      </c>
      <c r="AQ40" s="97" t="s">
        <v>102</v>
      </c>
      <c r="AR40" s="97" t="s">
        <v>102</v>
      </c>
      <c r="AS40" s="153" t="s">
        <v>102</v>
      </c>
      <c r="AT40" s="152" t="s">
        <v>102</v>
      </c>
      <c r="AU40" s="97" t="s">
        <v>102</v>
      </c>
      <c r="AV40" s="97" t="s">
        <v>102</v>
      </c>
      <c r="AW40" s="97" t="s">
        <v>102</v>
      </c>
      <c r="AX40" s="97" t="s">
        <v>102</v>
      </c>
      <c r="AY40" s="97" t="s">
        <v>102</v>
      </c>
      <c r="AZ40" s="198" t="s">
        <v>102</v>
      </c>
      <c r="BA40" s="199" t="s">
        <v>102</v>
      </c>
      <c r="BB40" s="200" t="s">
        <v>102</v>
      </c>
      <c r="BC40" s="199" t="s">
        <v>102</v>
      </c>
    </row>
    <row r="41" spans="23:73" x14ac:dyDescent="0.3">
      <c r="W41" s="149">
        <v>1983</v>
      </c>
      <c r="X41" s="150" t="s">
        <v>158</v>
      </c>
      <c r="Y41" s="151"/>
      <c r="Z41" s="152" t="s">
        <v>102</v>
      </c>
      <c r="AA41" s="97" t="s">
        <v>102</v>
      </c>
      <c r="AB41" s="97" t="s">
        <v>102</v>
      </c>
      <c r="AC41" s="97" t="s">
        <v>102</v>
      </c>
      <c r="AD41" s="97" t="s">
        <v>102</v>
      </c>
      <c r="AE41" s="97" t="s">
        <v>102</v>
      </c>
      <c r="AF41" s="153" t="s">
        <v>102</v>
      </c>
      <c r="AG41" s="154" t="s">
        <v>102</v>
      </c>
      <c r="AH41" s="97" t="s">
        <v>102</v>
      </c>
      <c r="AI41" s="97" t="s">
        <v>102</v>
      </c>
      <c r="AJ41" s="97" t="s">
        <v>102</v>
      </c>
      <c r="AK41" s="97" t="s">
        <v>102</v>
      </c>
      <c r="AL41" s="97" t="s">
        <v>102</v>
      </c>
      <c r="AM41" s="97" t="s">
        <v>102</v>
      </c>
      <c r="AN41" s="97" t="s">
        <v>102</v>
      </c>
      <c r="AO41" s="97" t="s">
        <v>102</v>
      </c>
      <c r="AP41" s="97" t="s">
        <v>102</v>
      </c>
      <c r="AQ41" s="97" t="s">
        <v>102</v>
      </c>
      <c r="AR41" s="97" t="s">
        <v>102</v>
      </c>
      <c r="AS41" s="153" t="s">
        <v>102</v>
      </c>
      <c r="AT41" s="152" t="s">
        <v>102</v>
      </c>
      <c r="AU41" s="97" t="s">
        <v>102</v>
      </c>
      <c r="AV41" s="97" t="s">
        <v>102</v>
      </c>
      <c r="AW41" s="97" t="s">
        <v>102</v>
      </c>
      <c r="AX41" s="97" t="s">
        <v>102</v>
      </c>
      <c r="AY41" s="97" t="s">
        <v>102</v>
      </c>
      <c r="AZ41" s="198" t="s">
        <v>102</v>
      </c>
      <c r="BA41" s="199" t="s">
        <v>102</v>
      </c>
      <c r="BB41" s="200" t="s">
        <v>102</v>
      </c>
      <c r="BC41" s="199" t="s">
        <v>102</v>
      </c>
    </row>
    <row r="42" spans="23:73" x14ac:dyDescent="0.3">
      <c r="W42" s="149">
        <v>1984</v>
      </c>
      <c r="X42" s="150" t="s">
        <v>158</v>
      </c>
      <c r="Y42" s="151"/>
      <c r="Z42" s="152" t="s">
        <v>102</v>
      </c>
      <c r="AA42" s="97" t="s">
        <v>102</v>
      </c>
      <c r="AB42" s="97" t="s">
        <v>102</v>
      </c>
      <c r="AC42" s="97" t="s">
        <v>102</v>
      </c>
      <c r="AD42" s="97" t="s">
        <v>102</v>
      </c>
      <c r="AE42" s="97" t="s">
        <v>102</v>
      </c>
      <c r="AF42" s="153" t="s">
        <v>102</v>
      </c>
      <c r="AG42" s="154" t="s">
        <v>102</v>
      </c>
      <c r="AH42" s="97" t="s">
        <v>102</v>
      </c>
      <c r="AI42" s="97" t="s">
        <v>102</v>
      </c>
      <c r="AJ42" s="97" t="s">
        <v>102</v>
      </c>
      <c r="AK42" s="97" t="s">
        <v>102</v>
      </c>
      <c r="AL42" s="97" t="s">
        <v>102</v>
      </c>
      <c r="AM42" s="97" t="s">
        <v>102</v>
      </c>
      <c r="AN42" s="97" t="s">
        <v>102</v>
      </c>
      <c r="AO42" s="97" t="s">
        <v>102</v>
      </c>
      <c r="AP42" s="97" t="s">
        <v>102</v>
      </c>
      <c r="AQ42" s="97" t="s">
        <v>102</v>
      </c>
      <c r="AR42" s="97" t="s">
        <v>102</v>
      </c>
      <c r="AS42" s="153" t="s">
        <v>102</v>
      </c>
      <c r="AT42" s="152" t="s">
        <v>102</v>
      </c>
      <c r="AU42" s="97" t="s">
        <v>102</v>
      </c>
      <c r="AV42" s="97" t="s">
        <v>102</v>
      </c>
      <c r="AW42" s="97" t="s">
        <v>102</v>
      </c>
      <c r="AX42" s="97" t="s">
        <v>102</v>
      </c>
      <c r="AY42" s="97" t="s">
        <v>102</v>
      </c>
      <c r="AZ42" s="198" t="s">
        <v>102</v>
      </c>
      <c r="BA42" s="199" t="s">
        <v>102</v>
      </c>
      <c r="BB42" s="200" t="s">
        <v>102</v>
      </c>
      <c r="BC42" s="199" t="s">
        <v>102</v>
      </c>
    </row>
    <row r="43" spans="23:73" x14ac:dyDescent="0.3">
      <c r="W43" s="149">
        <v>1985</v>
      </c>
      <c r="X43" s="150" t="s">
        <v>158</v>
      </c>
      <c r="Y43" s="151"/>
      <c r="Z43" s="152" t="s">
        <v>102</v>
      </c>
      <c r="AA43" s="97" t="s">
        <v>102</v>
      </c>
      <c r="AB43" s="97" t="s">
        <v>102</v>
      </c>
      <c r="AC43" s="97" t="s">
        <v>102</v>
      </c>
      <c r="AD43" s="97" t="s">
        <v>102</v>
      </c>
      <c r="AE43" s="97" t="s">
        <v>102</v>
      </c>
      <c r="AF43" s="153" t="s">
        <v>102</v>
      </c>
      <c r="AG43" s="154" t="s">
        <v>102</v>
      </c>
      <c r="AH43" s="97" t="s">
        <v>102</v>
      </c>
      <c r="AI43" s="97" t="s">
        <v>102</v>
      </c>
      <c r="AJ43" s="97" t="s">
        <v>102</v>
      </c>
      <c r="AK43" s="97" t="s">
        <v>102</v>
      </c>
      <c r="AL43" s="97" t="s">
        <v>102</v>
      </c>
      <c r="AM43" s="97" t="s">
        <v>102</v>
      </c>
      <c r="AN43" s="97" t="s">
        <v>102</v>
      </c>
      <c r="AO43" s="97" t="s">
        <v>102</v>
      </c>
      <c r="AP43" s="97" t="s">
        <v>102</v>
      </c>
      <c r="AQ43" s="97" t="s">
        <v>102</v>
      </c>
      <c r="AR43" s="97" t="s">
        <v>102</v>
      </c>
      <c r="AS43" s="153" t="s">
        <v>102</v>
      </c>
      <c r="AT43" s="152" t="s">
        <v>102</v>
      </c>
      <c r="AU43" s="97" t="s">
        <v>102</v>
      </c>
      <c r="AV43" s="97" t="s">
        <v>102</v>
      </c>
      <c r="AW43" s="97" t="s">
        <v>102</v>
      </c>
      <c r="AX43" s="97" t="s">
        <v>102</v>
      </c>
      <c r="AY43" s="97" t="s">
        <v>102</v>
      </c>
      <c r="AZ43" s="198" t="s">
        <v>102</v>
      </c>
      <c r="BA43" s="199" t="s">
        <v>102</v>
      </c>
      <c r="BB43" s="200" t="s">
        <v>102</v>
      </c>
      <c r="BC43" s="199" t="s">
        <v>102</v>
      </c>
    </row>
    <row r="44" spans="23:73" x14ac:dyDescent="0.3">
      <c r="W44" s="149">
        <v>1986</v>
      </c>
      <c r="X44" s="155">
        <v>335</v>
      </c>
      <c r="Y44" s="149">
        <v>2</v>
      </c>
      <c r="Z44" s="528" t="s">
        <v>159</v>
      </c>
      <c r="AA44" s="529"/>
      <c r="AB44" s="529"/>
      <c r="AC44" s="97" t="s">
        <v>102</v>
      </c>
      <c r="AD44" s="97" t="s">
        <v>102</v>
      </c>
      <c r="AE44" s="97" t="s">
        <v>102</v>
      </c>
      <c r="AF44" s="153" t="s">
        <v>102</v>
      </c>
      <c r="AG44" s="154" t="s">
        <v>102</v>
      </c>
      <c r="AH44" s="97" t="s">
        <v>102</v>
      </c>
      <c r="AI44" s="97" t="s">
        <v>102</v>
      </c>
      <c r="AJ44" s="97" t="s">
        <v>102</v>
      </c>
      <c r="AK44" s="97" t="s">
        <v>102</v>
      </c>
      <c r="AL44" s="97" t="s">
        <v>102</v>
      </c>
      <c r="AM44" s="97" t="s">
        <v>102</v>
      </c>
      <c r="AN44" s="97" t="s">
        <v>102</v>
      </c>
      <c r="AO44" s="97" t="s">
        <v>102</v>
      </c>
      <c r="AP44" s="97" t="s">
        <v>102</v>
      </c>
      <c r="AQ44" s="97" t="s">
        <v>102</v>
      </c>
      <c r="AR44" s="97" t="s">
        <v>102</v>
      </c>
      <c r="AS44" s="153" t="s">
        <v>102</v>
      </c>
      <c r="AT44" s="152" t="s">
        <v>102</v>
      </c>
      <c r="AU44" s="97" t="s">
        <v>102</v>
      </c>
      <c r="AV44" s="97" t="s">
        <v>102</v>
      </c>
      <c r="AW44" s="97" t="s">
        <v>102</v>
      </c>
      <c r="AX44" s="97" t="s">
        <v>102</v>
      </c>
      <c r="AY44" s="97" t="s">
        <v>102</v>
      </c>
      <c r="AZ44" s="198" t="s">
        <v>102</v>
      </c>
      <c r="BA44" s="199" t="s">
        <v>102</v>
      </c>
      <c r="BB44" s="200" t="s">
        <v>102</v>
      </c>
      <c r="BC44" s="199" t="s">
        <v>102</v>
      </c>
    </row>
    <row r="45" spans="23:73" x14ac:dyDescent="0.3">
      <c r="W45" s="149">
        <v>1987</v>
      </c>
      <c r="X45" s="155">
        <v>751</v>
      </c>
      <c r="Y45" s="149">
        <v>3</v>
      </c>
      <c r="Z45" s="528" t="s">
        <v>159</v>
      </c>
      <c r="AA45" s="529"/>
      <c r="AB45" s="529"/>
      <c r="AC45" s="97" t="s">
        <v>102</v>
      </c>
      <c r="AD45" s="97" t="s">
        <v>102</v>
      </c>
      <c r="AE45" s="97" t="s">
        <v>102</v>
      </c>
      <c r="AF45" s="153" t="s">
        <v>102</v>
      </c>
      <c r="AG45" s="154" t="s">
        <v>102</v>
      </c>
      <c r="AH45" s="97" t="s">
        <v>102</v>
      </c>
      <c r="AI45" s="97" t="s">
        <v>102</v>
      </c>
      <c r="AJ45" s="97" t="s">
        <v>102</v>
      </c>
      <c r="AK45" s="97" t="s">
        <v>102</v>
      </c>
      <c r="AL45" s="97" t="s">
        <v>102</v>
      </c>
      <c r="AM45" s="97" t="s">
        <v>102</v>
      </c>
      <c r="AN45" s="97" t="s">
        <v>102</v>
      </c>
      <c r="AO45" s="97" t="s">
        <v>102</v>
      </c>
      <c r="AP45" s="97" t="s">
        <v>102</v>
      </c>
      <c r="AQ45" s="97" t="s">
        <v>102</v>
      </c>
      <c r="AR45" s="97" t="s">
        <v>102</v>
      </c>
      <c r="AS45" s="153" t="s">
        <v>102</v>
      </c>
      <c r="AT45" s="152" t="s">
        <v>102</v>
      </c>
      <c r="AU45" s="97" t="s">
        <v>102</v>
      </c>
      <c r="AV45" s="97" t="s">
        <v>102</v>
      </c>
      <c r="AW45" s="97" t="s">
        <v>102</v>
      </c>
      <c r="AX45" s="97" t="s">
        <v>102</v>
      </c>
      <c r="AY45" s="97" t="s">
        <v>102</v>
      </c>
      <c r="AZ45" s="198" t="s">
        <v>102</v>
      </c>
      <c r="BA45" s="199" t="s">
        <v>102</v>
      </c>
      <c r="BB45" s="200" t="s">
        <v>102</v>
      </c>
      <c r="BC45" s="199" t="s">
        <v>102</v>
      </c>
    </row>
    <row r="46" spans="23:73" x14ac:dyDescent="0.3">
      <c r="W46" s="156">
        <v>1988</v>
      </c>
      <c r="X46" s="157">
        <v>773</v>
      </c>
      <c r="Y46" s="158" t="s">
        <v>160</v>
      </c>
      <c r="Z46" s="159">
        <v>3.2</v>
      </c>
      <c r="AA46" s="160">
        <v>0</v>
      </c>
      <c r="AB46" s="160">
        <v>0.1</v>
      </c>
      <c r="AC46" s="160">
        <v>3.8</v>
      </c>
      <c r="AD46" s="160">
        <v>0</v>
      </c>
      <c r="AE46" s="160">
        <v>22.6</v>
      </c>
      <c r="AF46" s="161">
        <v>0</v>
      </c>
      <c r="AG46" s="162">
        <v>0.6</v>
      </c>
      <c r="AH46" s="160">
        <v>0.3</v>
      </c>
      <c r="AI46" s="160">
        <v>0</v>
      </c>
      <c r="AJ46" s="160">
        <v>0</v>
      </c>
      <c r="AK46" s="160">
        <v>0</v>
      </c>
      <c r="AL46" s="160">
        <v>0</v>
      </c>
      <c r="AM46" s="160">
        <v>6.9</v>
      </c>
      <c r="AN46" s="160">
        <v>0.1</v>
      </c>
      <c r="AO46" s="160">
        <v>4.3</v>
      </c>
      <c r="AP46" s="163">
        <v>0</v>
      </c>
      <c r="AQ46" s="160">
        <v>0</v>
      </c>
      <c r="AR46" s="160">
        <v>0</v>
      </c>
      <c r="AS46" s="161">
        <v>0</v>
      </c>
      <c r="AT46" s="159">
        <v>0</v>
      </c>
      <c r="AU46" s="160">
        <v>0</v>
      </c>
      <c r="AV46" s="160">
        <v>0</v>
      </c>
      <c r="AW46" s="160">
        <v>0</v>
      </c>
      <c r="AX46" s="160">
        <v>0</v>
      </c>
      <c r="AY46" s="160">
        <v>0</v>
      </c>
      <c r="AZ46" s="201">
        <v>28.7</v>
      </c>
      <c r="BA46" s="202">
        <v>3.6</v>
      </c>
      <c r="BB46" s="203">
        <v>0</v>
      </c>
      <c r="BC46" s="202">
        <v>25.7</v>
      </c>
      <c r="BD46" s="39">
        <f t="shared" ref="BD46:BD51" si="5">100-BC46-BB46</f>
        <v>74.3</v>
      </c>
      <c r="BE46" s="39">
        <f t="shared" ref="BE46:BE51" si="6">SUM(Z46:AS46)</f>
        <v>41.900000000000006</v>
      </c>
      <c r="BG46" s="39">
        <f t="shared" ref="BG46:BG51" si="7">((AZ46+BA46)/(AZ46+BA46+BB46+BC46))*100</f>
        <v>55.689655172413786</v>
      </c>
    </row>
    <row r="47" spans="23:73" x14ac:dyDescent="0.3">
      <c r="W47" s="149">
        <v>1989</v>
      </c>
      <c r="X47" s="155">
        <v>395</v>
      </c>
      <c r="Y47" s="164" t="s">
        <v>161</v>
      </c>
      <c r="Z47" s="165">
        <v>1.5</v>
      </c>
      <c r="AA47" s="166">
        <v>0</v>
      </c>
      <c r="AB47" s="166">
        <v>0</v>
      </c>
      <c r="AC47" s="166">
        <v>6.1</v>
      </c>
      <c r="AD47" s="166">
        <v>0</v>
      </c>
      <c r="AE47" s="166">
        <v>17.7</v>
      </c>
      <c r="AF47" s="167">
        <v>1.8</v>
      </c>
      <c r="AG47" s="168">
        <v>0</v>
      </c>
      <c r="AH47" s="166">
        <v>0.8</v>
      </c>
      <c r="AI47" s="166">
        <v>0</v>
      </c>
      <c r="AJ47" s="166">
        <v>0</v>
      </c>
      <c r="AK47" s="166">
        <v>2.2999999999999998</v>
      </c>
      <c r="AL47" s="166">
        <v>0</v>
      </c>
      <c r="AM47" s="166">
        <v>8.1</v>
      </c>
      <c r="AN47" s="166">
        <v>1.3</v>
      </c>
      <c r="AO47" s="166">
        <v>6.8</v>
      </c>
      <c r="AP47" s="169">
        <v>4.0999999999999996</v>
      </c>
      <c r="AQ47" s="166">
        <v>0</v>
      </c>
      <c r="AR47" s="166">
        <v>0</v>
      </c>
      <c r="AS47" s="167">
        <v>0</v>
      </c>
      <c r="AT47" s="165">
        <v>0</v>
      </c>
      <c r="AU47" s="166">
        <v>0</v>
      </c>
      <c r="AV47" s="166">
        <v>0</v>
      </c>
      <c r="AW47" s="166">
        <v>0</v>
      </c>
      <c r="AX47" s="166">
        <v>0</v>
      </c>
      <c r="AY47" s="166">
        <v>0</v>
      </c>
      <c r="AZ47" s="204">
        <v>18.7</v>
      </c>
      <c r="BA47" s="205">
        <v>1.5</v>
      </c>
      <c r="BB47" s="206">
        <v>0</v>
      </c>
      <c r="BC47" s="205">
        <v>29.4</v>
      </c>
      <c r="BD47" s="39">
        <f t="shared" si="5"/>
        <v>70.599999999999994</v>
      </c>
      <c r="BE47" s="39">
        <f t="shared" si="6"/>
        <v>50.499999999999993</v>
      </c>
      <c r="BG47" s="39">
        <f t="shared" si="7"/>
        <v>40.725806451612904</v>
      </c>
    </row>
    <row r="48" spans="23:73" x14ac:dyDescent="0.3">
      <c r="W48" s="149">
        <v>1990</v>
      </c>
      <c r="X48" s="155">
        <v>545</v>
      </c>
      <c r="Y48" s="164" t="s">
        <v>106</v>
      </c>
      <c r="Z48" s="165">
        <v>2.9</v>
      </c>
      <c r="AA48" s="166">
        <v>0</v>
      </c>
      <c r="AB48" s="166">
        <v>0</v>
      </c>
      <c r="AC48" s="166">
        <v>2.6</v>
      </c>
      <c r="AD48" s="166">
        <v>0</v>
      </c>
      <c r="AE48" s="166">
        <v>18</v>
      </c>
      <c r="AF48" s="167">
        <v>0</v>
      </c>
      <c r="AG48" s="168">
        <v>0</v>
      </c>
      <c r="AH48" s="166">
        <v>0.6</v>
      </c>
      <c r="AI48" s="166">
        <v>0</v>
      </c>
      <c r="AJ48" s="166">
        <v>0</v>
      </c>
      <c r="AK48" s="166">
        <v>0</v>
      </c>
      <c r="AL48" s="166">
        <v>0</v>
      </c>
      <c r="AM48" s="166">
        <v>8.1</v>
      </c>
      <c r="AN48" s="166">
        <v>3.7</v>
      </c>
      <c r="AO48" s="166">
        <v>5.0999999999999996</v>
      </c>
      <c r="AP48" s="169">
        <v>0.6</v>
      </c>
      <c r="AQ48" s="166">
        <v>0</v>
      </c>
      <c r="AR48" s="166">
        <v>0</v>
      </c>
      <c r="AS48" s="167">
        <v>0</v>
      </c>
      <c r="AT48" s="165">
        <v>0</v>
      </c>
      <c r="AU48" s="166">
        <v>0</v>
      </c>
      <c r="AV48" s="166">
        <v>0</v>
      </c>
      <c r="AW48" s="166">
        <v>0</v>
      </c>
      <c r="AX48" s="166">
        <v>0</v>
      </c>
      <c r="AY48" s="166">
        <v>0</v>
      </c>
      <c r="AZ48" s="204">
        <v>24.2</v>
      </c>
      <c r="BA48" s="205">
        <v>1.1000000000000001</v>
      </c>
      <c r="BB48" s="206">
        <v>0</v>
      </c>
      <c r="BC48" s="205">
        <v>33.200000000000003</v>
      </c>
      <c r="BD48" s="39">
        <f t="shared" si="5"/>
        <v>66.8</v>
      </c>
      <c r="BE48" s="39">
        <f t="shared" si="6"/>
        <v>41.600000000000009</v>
      </c>
      <c r="BG48" s="39">
        <f t="shared" si="7"/>
        <v>43.247863247863251</v>
      </c>
    </row>
    <row r="49" spans="23:60" x14ac:dyDescent="0.3">
      <c r="W49" s="149">
        <v>1991</v>
      </c>
      <c r="X49" s="155">
        <v>354</v>
      </c>
      <c r="Y49" s="164" t="s">
        <v>107</v>
      </c>
      <c r="Z49" s="165">
        <v>2.2999999999999998</v>
      </c>
      <c r="AA49" s="166">
        <v>0</v>
      </c>
      <c r="AB49" s="166">
        <v>2</v>
      </c>
      <c r="AC49" s="166">
        <v>4</v>
      </c>
      <c r="AD49" s="166">
        <v>0</v>
      </c>
      <c r="AE49" s="166">
        <v>11.6</v>
      </c>
      <c r="AF49" s="167">
        <v>0</v>
      </c>
      <c r="AG49" s="168">
        <v>0</v>
      </c>
      <c r="AH49" s="166">
        <v>0.3</v>
      </c>
      <c r="AI49" s="166">
        <v>0</v>
      </c>
      <c r="AJ49" s="166">
        <v>0</v>
      </c>
      <c r="AK49" s="166">
        <v>0.8</v>
      </c>
      <c r="AL49" s="166">
        <v>0</v>
      </c>
      <c r="AM49" s="166">
        <v>0.6</v>
      </c>
      <c r="AN49" s="166">
        <v>0.6</v>
      </c>
      <c r="AO49" s="166">
        <v>2.2999999999999998</v>
      </c>
      <c r="AP49" s="169">
        <v>1.1000000000000001</v>
      </c>
      <c r="AQ49" s="166">
        <v>0</v>
      </c>
      <c r="AR49" s="166">
        <v>0</v>
      </c>
      <c r="AS49" s="167">
        <v>0</v>
      </c>
      <c r="AT49" s="165">
        <v>0</v>
      </c>
      <c r="AU49" s="166">
        <v>0</v>
      </c>
      <c r="AV49" s="166">
        <v>0</v>
      </c>
      <c r="AW49" s="166">
        <v>0</v>
      </c>
      <c r="AX49" s="166">
        <v>0</v>
      </c>
      <c r="AY49" s="166">
        <v>0</v>
      </c>
      <c r="AZ49" s="204">
        <v>8.8000000000000007</v>
      </c>
      <c r="BA49" s="205">
        <v>0.8</v>
      </c>
      <c r="BB49" s="206">
        <v>0.3</v>
      </c>
      <c r="BC49" s="205">
        <v>64.7</v>
      </c>
      <c r="BD49" s="39">
        <f t="shared" si="5"/>
        <v>35</v>
      </c>
      <c r="BE49" s="39">
        <f t="shared" si="6"/>
        <v>25.600000000000005</v>
      </c>
      <c r="BG49" s="39">
        <f t="shared" si="7"/>
        <v>12.868632707774799</v>
      </c>
    </row>
    <row r="50" spans="23:60" x14ac:dyDescent="0.3">
      <c r="W50" s="149">
        <v>1992</v>
      </c>
      <c r="X50" s="155">
        <v>264</v>
      </c>
      <c r="Y50" s="164" t="s">
        <v>108</v>
      </c>
      <c r="Z50" s="165">
        <v>1.9</v>
      </c>
      <c r="AA50" s="166">
        <v>0</v>
      </c>
      <c r="AB50" s="166">
        <v>0</v>
      </c>
      <c r="AC50" s="166">
        <v>7.2</v>
      </c>
      <c r="AD50" s="166">
        <v>1.5</v>
      </c>
      <c r="AE50" s="166">
        <v>11.7</v>
      </c>
      <c r="AF50" s="167">
        <v>4.2</v>
      </c>
      <c r="AG50" s="168">
        <v>0</v>
      </c>
      <c r="AH50" s="166">
        <v>0</v>
      </c>
      <c r="AI50" s="166">
        <v>0</v>
      </c>
      <c r="AJ50" s="166">
        <v>0</v>
      </c>
      <c r="AK50" s="166">
        <v>0</v>
      </c>
      <c r="AL50" s="166">
        <v>0</v>
      </c>
      <c r="AM50" s="166">
        <v>2.2999999999999998</v>
      </c>
      <c r="AN50" s="166">
        <v>0</v>
      </c>
      <c r="AO50" s="166">
        <v>4.9000000000000004</v>
      </c>
      <c r="AP50" s="169">
        <v>0</v>
      </c>
      <c r="AQ50" s="166">
        <v>0</v>
      </c>
      <c r="AR50" s="166">
        <v>0</v>
      </c>
      <c r="AS50" s="167">
        <v>1.5</v>
      </c>
      <c r="AT50" s="165">
        <v>0</v>
      </c>
      <c r="AU50" s="166">
        <v>0</v>
      </c>
      <c r="AV50" s="166">
        <v>0</v>
      </c>
      <c r="AW50" s="166">
        <v>0</v>
      </c>
      <c r="AX50" s="166">
        <v>0</v>
      </c>
      <c r="AY50" s="166">
        <v>0</v>
      </c>
      <c r="AZ50" s="204">
        <v>5.7</v>
      </c>
      <c r="BA50" s="205">
        <v>6.1</v>
      </c>
      <c r="BB50" s="206">
        <v>0</v>
      </c>
      <c r="BC50" s="205">
        <v>53</v>
      </c>
      <c r="BD50" s="39">
        <f t="shared" si="5"/>
        <v>47</v>
      </c>
      <c r="BE50" s="39">
        <f t="shared" si="6"/>
        <v>35.199999999999996</v>
      </c>
      <c r="BF50" s="39">
        <f>AVERAGE(BD47:BD50)</f>
        <v>54.849999999999994</v>
      </c>
      <c r="BG50" s="39">
        <f t="shared" si="7"/>
        <v>18.20987654320988</v>
      </c>
    </row>
    <row r="51" spans="23:60" x14ac:dyDescent="0.3">
      <c r="W51" s="156">
        <v>1993</v>
      </c>
      <c r="X51" s="157">
        <v>229</v>
      </c>
      <c r="Y51" s="158" t="s">
        <v>162</v>
      </c>
      <c r="Z51" s="159">
        <v>7</v>
      </c>
      <c r="AA51" s="160">
        <v>0</v>
      </c>
      <c r="AB51" s="160">
        <v>0</v>
      </c>
      <c r="AC51" s="160">
        <v>11.4</v>
      </c>
      <c r="AD51" s="160">
        <v>0</v>
      </c>
      <c r="AE51" s="160">
        <v>13.1</v>
      </c>
      <c r="AF51" s="161">
        <v>0</v>
      </c>
      <c r="AG51" s="162">
        <v>0</v>
      </c>
      <c r="AH51" s="160">
        <v>0</v>
      </c>
      <c r="AI51" s="160">
        <v>0</v>
      </c>
      <c r="AJ51" s="160">
        <v>0</v>
      </c>
      <c r="AK51" s="160">
        <v>1.3</v>
      </c>
      <c r="AL51" s="160">
        <v>0</v>
      </c>
      <c r="AM51" s="160">
        <v>3.1</v>
      </c>
      <c r="AN51" s="160">
        <v>0.9</v>
      </c>
      <c r="AO51" s="160">
        <v>0</v>
      </c>
      <c r="AP51" s="163">
        <v>0</v>
      </c>
      <c r="AQ51" s="160">
        <v>0</v>
      </c>
      <c r="AR51" s="160">
        <v>0</v>
      </c>
      <c r="AS51" s="161">
        <v>0</v>
      </c>
      <c r="AT51" s="159">
        <v>0</v>
      </c>
      <c r="AU51" s="160">
        <v>0</v>
      </c>
      <c r="AV51" s="160">
        <v>0</v>
      </c>
      <c r="AW51" s="160">
        <v>0</v>
      </c>
      <c r="AX51" s="160">
        <v>0</v>
      </c>
      <c r="AY51" s="160">
        <v>0</v>
      </c>
      <c r="AZ51" s="201">
        <v>17.5</v>
      </c>
      <c r="BA51" s="202">
        <v>0</v>
      </c>
      <c r="BB51" s="203">
        <v>5.7</v>
      </c>
      <c r="BC51" s="202">
        <v>40.200000000000003</v>
      </c>
      <c r="BD51" s="39">
        <f t="shared" si="5"/>
        <v>54.099999999999994</v>
      </c>
      <c r="BE51" s="39">
        <f t="shared" si="6"/>
        <v>36.799999999999997</v>
      </c>
      <c r="BG51" s="39">
        <f t="shared" si="7"/>
        <v>27.602523659305987</v>
      </c>
    </row>
    <row r="52" spans="23:60" x14ac:dyDescent="0.3">
      <c r="W52" s="149">
        <v>1994</v>
      </c>
      <c r="X52" s="155">
        <v>105</v>
      </c>
      <c r="Y52" s="149">
        <v>5</v>
      </c>
      <c r="Z52" s="528" t="s">
        <v>159</v>
      </c>
      <c r="AA52" s="529"/>
      <c r="AB52" s="529"/>
      <c r="AC52" s="97" t="s">
        <v>102</v>
      </c>
      <c r="AD52" s="97" t="s">
        <v>102</v>
      </c>
      <c r="AE52" s="97" t="s">
        <v>102</v>
      </c>
      <c r="AF52" s="153" t="s">
        <v>102</v>
      </c>
      <c r="AG52" s="154" t="s">
        <v>102</v>
      </c>
      <c r="AH52" s="97" t="s">
        <v>102</v>
      </c>
      <c r="AI52" s="97" t="s">
        <v>102</v>
      </c>
      <c r="AJ52" s="97" t="s">
        <v>102</v>
      </c>
      <c r="AK52" s="97" t="s">
        <v>102</v>
      </c>
      <c r="AL52" s="97" t="s">
        <v>102</v>
      </c>
      <c r="AM52" s="97" t="s">
        <v>102</v>
      </c>
      <c r="AN52" s="97" t="s">
        <v>102</v>
      </c>
      <c r="AO52" s="97" t="s">
        <v>102</v>
      </c>
      <c r="AP52" s="97" t="s">
        <v>102</v>
      </c>
      <c r="AQ52" s="97" t="s">
        <v>102</v>
      </c>
      <c r="AR52" s="97" t="s">
        <v>102</v>
      </c>
      <c r="AS52" s="153" t="s">
        <v>102</v>
      </c>
      <c r="AT52" s="152" t="s">
        <v>102</v>
      </c>
      <c r="AU52" s="97" t="s">
        <v>102</v>
      </c>
      <c r="AV52" s="97" t="s">
        <v>102</v>
      </c>
      <c r="AW52" s="97" t="s">
        <v>102</v>
      </c>
      <c r="AX52" s="97" t="s">
        <v>102</v>
      </c>
      <c r="AY52" s="97" t="s">
        <v>102</v>
      </c>
      <c r="AZ52" s="198" t="s">
        <v>102</v>
      </c>
      <c r="BA52" s="199" t="s">
        <v>102</v>
      </c>
      <c r="BB52" s="200" t="s">
        <v>102</v>
      </c>
      <c r="BC52" s="199" t="s">
        <v>102</v>
      </c>
    </row>
    <row r="53" spans="23:60" x14ac:dyDescent="0.3">
      <c r="W53" s="149">
        <v>1995</v>
      </c>
      <c r="X53" s="150" t="s">
        <v>158</v>
      </c>
      <c r="Y53" s="151"/>
      <c r="Z53" s="152" t="s">
        <v>102</v>
      </c>
      <c r="AA53" s="97" t="s">
        <v>102</v>
      </c>
      <c r="AB53" s="97" t="s">
        <v>102</v>
      </c>
      <c r="AC53" s="97" t="s">
        <v>102</v>
      </c>
      <c r="AD53" s="97" t="s">
        <v>102</v>
      </c>
      <c r="AE53" s="97" t="s">
        <v>102</v>
      </c>
      <c r="AF53" s="153" t="s">
        <v>102</v>
      </c>
      <c r="AG53" s="154" t="s">
        <v>102</v>
      </c>
      <c r="AH53" s="97" t="s">
        <v>102</v>
      </c>
      <c r="AI53" s="97" t="s">
        <v>102</v>
      </c>
      <c r="AJ53" s="97" t="s">
        <v>102</v>
      </c>
      <c r="AK53" s="97" t="s">
        <v>102</v>
      </c>
      <c r="AL53" s="97" t="s">
        <v>102</v>
      </c>
      <c r="AM53" s="97" t="s">
        <v>102</v>
      </c>
      <c r="AN53" s="97" t="s">
        <v>102</v>
      </c>
      <c r="AO53" s="97" t="s">
        <v>102</v>
      </c>
      <c r="AP53" s="97" t="s">
        <v>102</v>
      </c>
      <c r="AQ53" s="97" t="s">
        <v>102</v>
      </c>
      <c r="AR53" s="97" t="s">
        <v>102</v>
      </c>
      <c r="AS53" s="153" t="s">
        <v>102</v>
      </c>
      <c r="AT53" s="152" t="s">
        <v>102</v>
      </c>
      <c r="AU53" s="97" t="s">
        <v>102</v>
      </c>
      <c r="AV53" s="97" t="s">
        <v>102</v>
      </c>
      <c r="AW53" s="97" t="s">
        <v>102</v>
      </c>
      <c r="AX53" s="97" t="s">
        <v>102</v>
      </c>
      <c r="AY53" s="97" t="s">
        <v>102</v>
      </c>
      <c r="AZ53" s="198" t="s">
        <v>102</v>
      </c>
      <c r="BA53" s="199" t="s">
        <v>102</v>
      </c>
      <c r="BB53" s="200" t="s">
        <v>102</v>
      </c>
      <c r="BC53" s="199" t="s">
        <v>102</v>
      </c>
    </row>
    <row r="54" spans="23:60" x14ac:dyDescent="0.3">
      <c r="W54" s="149">
        <v>1996</v>
      </c>
      <c r="X54" s="155">
        <v>30</v>
      </c>
      <c r="Y54" s="149">
        <v>2</v>
      </c>
      <c r="Z54" s="528" t="s">
        <v>159</v>
      </c>
      <c r="AA54" s="529"/>
      <c r="AB54" s="529"/>
      <c r="AC54" s="97" t="s">
        <v>102</v>
      </c>
      <c r="AD54" s="97" t="s">
        <v>102</v>
      </c>
      <c r="AE54" s="97" t="s">
        <v>102</v>
      </c>
      <c r="AF54" s="153" t="s">
        <v>102</v>
      </c>
      <c r="AG54" s="154" t="s">
        <v>102</v>
      </c>
      <c r="AH54" s="97" t="s">
        <v>102</v>
      </c>
      <c r="AI54" s="97" t="s">
        <v>102</v>
      </c>
      <c r="AJ54" s="97" t="s">
        <v>102</v>
      </c>
      <c r="AK54" s="97" t="s">
        <v>102</v>
      </c>
      <c r="AL54" s="97" t="s">
        <v>102</v>
      </c>
      <c r="AM54" s="97" t="s">
        <v>102</v>
      </c>
      <c r="AN54" s="97" t="s">
        <v>102</v>
      </c>
      <c r="AO54" s="97" t="s">
        <v>102</v>
      </c>
      <c r="AP54" s="97" t="s">
        <v>102</v>
      </c>
      <c r="AQ54" s="97" t="s">
        <v>102</v>
      </c>
      <c r="AR54" s="97" t="s">
        <v>102</v>
      </c>
      <c r="AS54" s="153" t="s">
        <v>102</v>
      </c>
      <c r="AT54" s="152" t="s">
        <v>102</v>
      </c>
      <c r="AU54" s="97" t="s">
        <v>102</v>
      </c>
      <c r="AV54" s="97" t="s">
        <v>102</v>
      </c>
      <c r="AW54" s="97" t="s">
        <v>102</v>
      </c>
      <c r="AX54" s="97" t="s">
        <v>102</v>
      </c>
      <c r="AY54" s="97" t="s">
        <v>102</v>
      </c>
      <c r="AZ54" s="198" t="s">
        <v>102</v>
      </c>
      <c r="BA54" s="199" t="s">
        <v>102</v>
      </c>
      <c r="BB54" s="200" t="s">
        <v>102</v>
      </c>
      <c r="BC54" s="199" t="s">
        <v>102</v>
      </c>
    </row>
    <row r="55" spans="23:60" x14ac:dyDescent="0.3">
      <c r="W55" s="149">
        <v>1997</v>
      </c>
      <c r="X55" s="155">
        <v>41</v>
      </c>
      <c r="Y55" s="149">
        <v>3</v>
      </c>
      <c r="Z55" s="528" t="s">
        <v>159</v>
      </c>
      <c r="AA55" s="529"/>
      <c r="AB55" s="529"/>
      <c r="AC55" s="97" t="s">
        <v>102</v>
      </c>
      <c r="AD55" s="97" t="s">
        <v>102</v>
      </c>
      <c r="AE55" s="97" t="s">
        <v>102</v>
      </c>
      <c r="AF55" s="153" t="s">
        <v>102</v>
      </c>
      <c r="AG55" s="154" t="s">
        <v>102</v>
      </c>
      <c r="AH55" s="97" t="s">
        <v>102</v>
      </c>
      <c r="AI55" s="97" t="s">
        <v>102</v>
      </c>
      <c r="AJ55" s="97" t="s">
        <v>102</v>
      </c>
      <c r="AK55" s="97" t="s">
        <v>102</v>
      </c>
      <c r="AL55" s="97" t="s">
        <v>102</v>
      </c>
      <c r="AM55" s="97" t="s">
        <v>102</v>
      </c>
      <c r="AN55" s="97" t="s">
        <v>102</v>
      </c>
      <c r="AO55" s="97" t="s">
        <v>102</v>
      </c>
      <c r="AP55" s="97" t="s">
        <v>102</v>
      </c>
      <c r="AQ55" s="97" t="s">
        <v>102</v>
      </c>
      <c r="AR55" s="97" t="s">
        <v>102</v>
      </c>
      <c r="AS55" s="153" t="s">
        <v>102</v>
      </c>
      <c r="AT55" s="152" t="s">
        <v>102</v>
      </c>
      <c r="AU55" s="97" t="s">
        <v>102</v>
      </c>
      <c r="AV55" s="97" t="s">
        <v>102</v>
      </c>
      <c r="AW55" s="97" t="s">
        <v>102</v>
      </c>
      <c r="AX55" s="97" t="s">
        <v>102</v>
      </c>
      <c r="AY55" s="97" t="s">
        <v>102</v>
      </c>
      <c r="AZ55" s="198" t="s">
        <v>102</v>
      </c>
      <c r="BA55" s="199" t="s">
        <v>102</v>
      </c>
      <c r="BB55" s="200" t="s">
        <v>102</v>
      </c>
      <c r="BC55" s="199" t="s">
        <v>102</v>
      </c>
    </row>
    <row r="56" spans="23:60" x14ac:dyDescent="0.3">
      <c r="W56" s="149">
        <v>1998</v>
      </c>
      <c r="X56" s="155">
        <v>159</v>
      </c>
      <c r="Y56" s="149">
        <v>4</v>
      </c>
      <c r="Z56" s="528" t="s">
        <v>159</v>
      </c>
      <c r="AA56" s="529"/>
      <c r="AB56" s="529"/>
      <c r="AC56" s="97" t="s">
        <v>102</v>
      </c>
      <c r="AD56" s="97" t="s">
        <v>102</v>
      </c>
      <c r="AE56" s="97" t="s">
        <v>102</v>
      </c>
      <c r="AF56" s="153" t="s">
        <v>102</v>
      </c>
      <c r="AG56" s="154" t="s">
        <v>102</v>
      </c>
      <c r="AH56" s="97" t="s">
        <v>102</v>
      </c>
      <c r="AI56" s="97" t="s">
        <v>102</v>
      </c>
      <c r="AJ56" s="97" t="s">
        <v>102</v>
      </c>
      <c r="AK56" s="97" t="s">
        <v>102</v>
      </c>
      <c r="AL56" s="97" t="s">
        <v>102</v>
      </c>
      <c r="AM56" s="97" t="s">
        <v>102</v>
      </c>
      <c r="AN56" s="97" t="s">
        <v>102</v>
      </c>
      <c r="AO56" s="97" t="s">
        <v>102</v>
      </c>
      <c r="AP56" s="97" t="s">
        <v>102</v>
      </c>
      <c r="AQ56" s="97" t="s">
        <v>102</v>
      </c>
      <c r="AR56" s="97" t="s">
        <v>102</v>
      </c>
      <c r="AS56" s="153" t="s">
        <v>102</v>
      </c>
      <c r="AT56" s="152" t="s">
        <v>102</v>
      </c>
      <c r="AU56" s="97" t="s">
        <v>102</v>
      </c>
      <c r="AV56" s="97" t="s">
        <v>102</v>
      </c>
      <c r="AW56" s="97" t="s">
        <v>102</v>
      </c>
      <c r="AX56" s="97" t="s">
        <v>102</v>
      </c>
      <c r="AY56" s="97" t="s">
        <v>102</v>
      </c>
      <c r="AZ56" s="198" t="s">
        <v>102</v>
      </c>
      <c r="BA56" s="199" t="s">
        <v>102</v>
      </c>
      <c r="BB56" s="200" t="s">
        <v>102</v>
      </c>
      <c r="BC56" s="199" t="s">
        <v>102</v>
      </c>
    </row>
    <row r="57" spans="23:60" x14ac:dyDescent="0.3">
      <c r="W57" s="149">
        <v>1999</v>
      </c>
      <c r="X57" s="155">
        <v>123</v>
      </c>
      <c r="Y57" s="149">
        <v>5</v>
      </c>
      <c r="Z57" s="528" t="s">
        <v>159</v>
      </c>
      <c r="AA57" s="529"/>
      <c r="AB57" s="529"/>
      <c r="AC57" s="97" t="s">
        <v>102</v>
      </c>
      <c r="AD57" s="97" t="s">
        <v>102</v>
      </c>
      <c r="AE57" s="97" t="s">
        <v>102</v>
      </c>
      <c r="AF57" s="153" t="s">
        <v>102</v>
      </c>
      <c r="AG57" s="154" t="s">
        <v>102</v>
      </c>
      <c r="AH57" s="97" t="s">
        <v>102</v>
      </c>
      <c r="AI57" s="97" t="s">
        <v>102</v>
      </c>
      <c r="AJ57" s="97" t="s">
        <v>102</v>
      </c>
      <c r="AK57" s="97" t="s">
        <v>102</v>
      </c>
      <c r="AL57" s="97" t="s">
        <v>102</v>
      </c>
      <c r="AM57" s="97" t="s">
        <v>102</v>
      </c>
      <c r="AN57" s="97" t="s">
        <v>102</v>
      </c>
      <c r="AO57" s="97" t="s">
        <v>102</v>
      </c>
      <c r="AP57" s="97" t="s">
        <v>102</v>
      </c>
      <c r="AQ57" s="97" t="s">
        <v>102</v>
      </c>
      <c r="AR57" s="97" t="s">
        <v>102</v>
      </c>
      <c r="AS57" s="153" t="s">
        <v>102</v>
      </c>
      <c r="AT57" s="152" t="s">
        <v>102</v>
      </c>
      <c r="AU57" s="97" t="s">
        <v>102</v>
      </c>
      <c r="AV57" s="97" t="s">
        <v>102</v>
      </c>
      <c r="AW57" s="97" t="s">
        <v>102</v>
      </c>
      <c r="AX57" s="97" t="s">
        <v>102</v>
      </c>
      <c r="AY57" s="97" t="s">
        <v>102</v>
      </c>
      <c r="AZ57" s="198" t="s">
        <v>102</v>
      </c>
      <c r="BA57" s="199" t="s">
        <v>102</v>
      </c>
      <c r="BB57" s="200" t="s">
        <v>102</v>
      </c>
      <c r="BC57" s="199" t="s">
        <v>102</v>
      </c>
    </row>
    <row r="58" spans="23:60" x14ac:dyDescent="0.3">
      <c r="W58" s="149">
        <v>2000</v>
      </c>
      <c r="X58" s="155">
        <v>697</v>
      </c>
      <c r="Y58" s="149">
        <v>2</v>
      </c>
      <c r="Z58" s="528" t="s">
        <v>159</v>
      </c>
      <c r="AA58" s="529"/>
      <c r="AB58" s="529"/>
      <c r="AC58" s="97" t="s">
        <v>102</v>
      </c>
      <c r="AD58" s="97" t="s">
        <v>102</v>
      </c>
      <c r="AE58" s="97" t="s">
        <v>102</v>
      </c>
      <c r="AF58" s="153" t="s">
        <v>102</v>
      </c>
      <c r="AG58" s="154" t="s">
        <v>102</v>
      </c>
      <c r="AH58" s="97" t="s">
        <v>102</v>
      </c>
      <c r="AI58" s="97" t="s">
        <v>102</v>
      </c>
      <c r="AJ58" s="97" t="s">
        <v>102</v>
      </c>
      <c r="AK58" s="97" t="s">
        <v>102</v>
      </c>
      <c r="AL58" s="97" t="s">
        <v>102</v>
      </c>
      <c r="AM58" s="97" t="s">
        <v>102</v>
      </c>
      <c r="AN58" s="97" t="s">
        <v>102</v>
      </c>
      <c r="AO58" s="97" t="s">
        <v>102</v>
      </c>
      <c r="AP58" s="97" t="s">
        <v>102</v>
      </c>
      <c r="AQ58" s="97" t="s">
        <v>102</v>
      </c>
      <c r="AR58" s="97" t="s">
        <v>102</v>
      </c>
      <c r="AS58" s="153" t="s">
        <v>102</v>
      </c>
      <c r="AT58" s="152" t="s">
        <v>102</v>
      </c>
      <c r="AU58" s="97" t="s">
        <v>102</v>
      </c>
      <c r="AV58" s="97" t="s">
        <v>102</v>
      </c>
      <c r="AW58" s="97" t="s">
        <v>102</v>
      </c>
      <c r="AX58" s="97" t="s">
        <v>102</v>
      </c>
      <c r="AY58" s="97" t="s">
        <v>102</v>
      </c>
      <c r="AZ58" s="198" t="s">
        <v>102</v>
      </c>
      <c r="BA58" s="199" t="s">
        <v>102</v>
      </c>
      <c r="BB58" s="200" t="s">
        <v>102</v>
      </c>
      <c r="BC58" s="199" t="s">
        <v>102</v>
      </c>
    </row>
    <row r="59" spans="23:60" x14ac:dyDescent="0.3">
      <c r="W59" s="156">
        <v>2001</v>
      </c>
      <c r="X59" s="157">
        <v>1661</v>
      </c>
      <c r="Y59" s="158" t="s">
        <v>105</v>
      </c>
      <c r="Z59" s="159">
        <v>1.1000000000000001</v>
      </c>
      <c r="AA59" s="160">
        <v>0.1</v>
      </c>
      <c r="AB59" s="160">
        <v>0.1</v>
      </c>
      <c r="AC59" s="160">
        <v>0.1</v>
      </c>
      <c r="AD59" s="160">
        <v>0</v>
      </c>
      <c r="AE59" s="160">
        <v>0.6</v>
      </c>
      <c r="AF59" s="161">
        <v>0.9</v>
      </c>
      <c r="AG59" s="162">
        <v>0</v>
      </c>
      <c r="AH59" s="160">
        <v>0</v>
      </c>
      <c r="AI59" s="160">
        <v>0</v>
      </c>
      <c r="AJ59" s="160">
        <v>0</v>
      </c>
      <c r="AK59" s="160">
        <v>0</v>
      </c>
      <c r="AL59" s="160">
        <v>0</v>
      </c>
      <c r="AM59" s="160">
        <v>2.2999999999999998</v>
      </c>
      <c r="AN59" s="160">
        <v>4.3</v>
      </c>
      <c r="AO59" s="160">
        <v>5.6</v>
      </c>
      <c r="AP59" s="163">
        <v>0.4</v>
      </c>
      <c r="AQ59" s="160">
        <v>0</v>
      </c>
      <c r="AR59" s="160">
        <v>0</v>
      </c>
      <c r="AS59" s="161">
        <v>0</v>
      </c>
      <c r="AT59" s="159">
        <v>0</v>
      </c>
      <c r="AU59" s="160">
        <v>0</v>
      </c>
      <c r="AV59" s="160">
        <v>0</v>
      </c>
      <c r="AW59" s="160">
        <v>0</v>
      </c>
      <c r="AX59" s="160">
        <v>0</v>
      </c>
      <c r="AY59" s="160">
        <v>0</v>
      </c>
      <c r="AZ59" s="201">
        <v>6.1</v>
      </c>
      <c r="BA59" s="202">
        <v>3.5</v>
      </c>
      <c r="BB59" s="203">
        <v>1.1000000000000001</v>
      </c>
      <c r="BC59" s="202">
        <v>73.900000000000006</v>
      </c>
      <c r="BD59" s="39">
        <f t="shared" ref="BD59:BD72" si="8">100-BC59-BB59</f>
        <v>24.999999999999993</v>
      </c>
      <c r="BE59" s="39">
        <f t="shared" ref="BE59:BE72" si="9">SUM(Z59:AS59)</f>
        <v>15.5</v>
      </c>
      <c r="BG59" s="229">
        <f t="shared" ref="BG59:BG72" si="10">((AZ59+BA59)/(AZ59+BA59+BB59+BC59))*100</f>
        <v>11.347517730496453</v>
      </c>
      <c r="BH59" s="230"/>
    </row>
    <row r="60" spans="23:60" x14ac:dyDescent="0.3">
      <c r="W60" s="170">
        <v>2002</v>
      </c>
      <c r="X60" s="171">
        <v>1850</v>
      </c>
      <c r="Y60" s="172" t="s">
        <v>163</v>
      </c>
      <c r="Z60" s="160">
        <v>3.4</v>
      </c>
      <c r="AA60" s="160">
        <v>0</v>
      </c>
      <c r="AB60" s="160">
        <v>0.5</v>
      </c>
      <c r="AC60" s="160">
        <v>0.6</v>
      </c>
      <c r="AD60" s="160">
        <v>0</v>
      </c>
      <c r="AE60" s="160">
        <v>3</v>
      </c>
      <c r="AF60" s="160">
        <v>0.6</v>
      </c>
      <c r="AG60" s="173">
        <v>0</v>
      </c>
      <c r="AH60" s="160">
        <v>0</v>
      </c>
      <c r="AI60" s="160">
        <v>0</v>
      </c>
      <c r="AJ60" s="160">
        <v>0</v>
      </c>
      <c r="AK60" s="160">
        <v>0</v>
      </c>
      <c r="AL60" s="160">
        <v>0</v>
      </c>
      <c r="AM60" s="160">
        <v>4.9000000000000004</v>
      </c>
      <c r="AN60" s="160">
        <v>3.4</v>
      </c>
      <c r="AO60" s="160">
        <v>1.8</v>
      </c>
      <c r="AP60" s="163">
        <v>0.2</v>
      </c>
      <c r="AQ60" s="160">
        <v>0</v>
      </c>
      <c r="AR60" s="160">
        <v>0</v>
      </c>
      <c r="AS60" s="160">
        <v>0</v>
      </c>
      <c r="AT60" s="160">
        <v>0</v>
      </c>
      <c r="AU60" s="160">
        <v>0</v>
      </c>
      <c r="AV60" s="160">
        <v>0</v>
      </c>
      <c r="AW60" s="160">
        <v>0</v>
      </c>
      <c r="AX60" s="160">
        <v>0</v>
      </c>
      <c r="AY60" s="160">
        <v>0</v>
      </c>
      <c r="AZ60" s="201">
        <v>7.7</v>
      </c>
      <c r="BA60" s="201">
        <v>3.5</v>
      </c>
      <c r="BB60" s="201">
        <v>0</v>
      </c>
      <c r="BC60" s="201">
        <v>70.599999999999994</v>
      </c>
      <c r="BD60" s="39">
        <f t="shared" si="8"/>
        <v>29.400000000000006</v>
      </c>
      <c r="BE60" s="39">
        <f t="shared" si="9"/>
        <v>18.399999999999999</v>
      </c>
      <c r="BG60" s="231">
        <f t="shared" si="10"/>
        <v>13.691931540342297</v>
      </c>
      <c r="BH60" s="232"/>
    </row>
    <row r="61" spans="23:60" x14ac:dyDescent="0.3">
      <c r="W61" s="99">
        <v>2003</v>
      </c>
      <c r="X61" s="98">
        <v>657</v>
      </c>
      <c r="Y61" s="100" t="s">
        <v>164</v>
      </c>
      <c r="Z61" s="166">
        <v>6.2</v>
      </c>
      <c r="AA61" s="166">
        <v>0</v>
      </c>
      <c r="AB61" s="166">
        <v>0</v>
      </c>
      <c r="AC61" s="166">
        <v>1.4</v>
      </c>
      <c r="AD61" s="166">
        <v>0.2</v>
      </c>
      <c r="AE61" s="166">
        <v>2.9</v>
      </c>
      <c r="AF61" s="166">
        <v>0</v>
      </c>
      <c r="AG61" s="174">
        <v>0</v>
      </c>
      <c r="AH61" s="166">
        <v>0</v>
      </c>
      <c r="AI61" s="166">
        <v>0</v>
      </c>
      <c r="AJ61" s="166">
        <v>0</v>
      </c>
      <c r="AK61" s="166">
        <v>0</v>
      </c>
      <c r="AL61" s="166">
        <v>0</v>
      </c>
      <c r="AM61" s="166">
        <v>5</v>
      </c>
      <c r="AN61" s="166">
        <v>1.8</v>
      </c>
      <c r="AO61" s="166">
        <v>3.5</v>
      </c>
      <c r="AP61" s="169">
        <v>0</v>
      </c>
      <c r="AQ61" s="166">
        <v>0</v>
      </c>
      <c r="AR61" s="166">
        <v>0</v>
      </c>
      <c r="AS61" s="166">
        <v>0.2</v>
      </c>
      <c r="AT61" s="166">
        <v>0</v>
      </c>
      <c r="AU61" s="166">
        <v>0</v>
      </c>
      <c r="AV61" s="166">
        <v>0</v>
      </c>
      <c r="AW61" s="166">
        <v>0</v>
      </c>
      <c r="AX61" s="166">
        <v>0</v>
      </c>
      <c r="AY61" s="166">
        <v>0</v>
      </c>
      <c r="AZ61" s="204">
        <v>8.8000000000000007</v>
      </c>
      <c r="BA61" s="204">
        <v>0.8</v>
      </c>
      <c r="BB61" s="204">
        <v>0.2</v>
      </c>
      <c r="BC61" s="204">
        <v>69.099999999999994</v>
      </c>
      <c r="BD61" s="39">
        <f t="shared" si="8"/>
        <v>30.700000000000006</v>
      </c>
      <c r="BE61" s="39">
        <f t="shared" si="9"/>
        <v>21.2</v>
      </c>
      <c r="BG61" s="231">
        <f t="shared" si="10"/>
        <v>12.16730038022814</v>
      </c>
      <c r="BH61" s="232"/>
    </row>
    <row r="62" spans="23:60" x14ac:dyDescent="0.3">
      <c r="W62" s="99">
        <v>2004</v>
      </c>
      <c r="X62" s="98">
        <v>689</v>
      </c>
      <c r="Y62" s="100" t="s">
        <v>161</v>
      </c>
      <c r="Z62" s="166">
        <v>3.3</v>
      </c>
      <c r="AA62" s="166">
        <v>0</v>
      </c>
      <c r="AB62" s="166">
        <v>0</v>
      </c>
      <c r="AC62" s="166">
        <v>0.6</v>
      </c>
      <c r="AD62" s="166">
        <v>0</v>
      </c>
      <c r="AE62" s="166">
        <v>0</v>
      </c>
      <c r="AF62" s="166">
        <v>0</v>
      </c>
      <c r="AG62" s="174">
        <v>0</v>
      </c>
      <c r="AH62" s="166">
        <v>0</v>
      </c>
      <c r="AI62" s="166">
        <v>0</v>
      </c>
      <c r="AJ62" s="166">
        <v>0</v>
      </c>
      <c r="AK62" s="166">
        <v>0</v>
      </c>
      <c r="AL62" s="166">
        <v>0</v>
      </c>
      <c r="AM62" s="166">
        <v>0.3</v>
      </c>
      <c r="AN62" s="166">
        <v>1.3</v>
      </c>
      <c r="AO62" s="166">
        <v>1.5</v>
      </c>
      <c r="AP62" s="169">
        <v>0.3</v>
      </c>
      <c r="AQ62" s="166">
        <v>0</v>
      </c>
      <c r="AR62" s="166">
        <v>0</v>
      </c>
      <c r="AS62" s="166">
        <v>0.3</v>
      </c>
      <c r="AT62" s="166">
        <v>0</v>
      </c>
      <c r="AU62" s="166">
        <v>0</v>
      </c>
      <c r="AV62" s="166">
        <v>0</v>
      </c>
      <c r="AW62" s="166">
        <v>0</v>
      </c>
      <c r="AX62" s="166">
        <v>0</v>
      </c>
      <c r="AY62" s="166">
        <v>0</v>
      </c>
      <c r="AZ62" s="204">
        <v>3.2</v>
      </c>
      <c r="BA62" s="204">
        <v>0.7</v>
      </c>
      <c r="BB62" s="204">
        <v>0.3</v>
      </c>
      <c r="BC62" s="204">
        <v>88.2</v>
      </c>
      <c r="BD62" s="39">
        <f t="shared" si="8"/>
        <v>11.499999999999996</v>
      </c>
      <c r="BE62" s="39">
        <f t="shared" si="9"/>
        <v>7.6</v>
      </c>
      <c r="BG62" s="231">
        <f t="shared" si="10"/>
        <v>4.220779220779221</v>
      </c>
      <c r="BH62" s="232"/>
    </row>
    <row r="63" spans="23:60" x14ac:dyDescent="0.3">
      <c r="W63" s="99">
        <v>2005</v>
      </c>
      <c r="X63" s="98">
        <v>422</v>
      </c>
      <c r="Y63" s="100" t="s">
        <v>106</v>
      </c>
      <c r="Z63" s="166">
        <v>3.6</v>
      </c>
      <c r="AA63" s="166">
        <v>0.2</v>
      </c>
      <c r="AB63" s="166">
        <v>0</v>
      </c>
      <c r="AC63" s="166">
        <v>2.8</v>
      </c>
      <c r="AD63" s="166">
        <v>0</v>
      </c>
      <c r="AE63" s="166">
        <v>3.8</v>
      </c>
      <c r="AF63" s="166">
        <v>0</v>
      </c>
      <c r="AG63" s="174">
        <v>0</v>
      </c>
      <c r="AH63" s="166">
        <v>0</v>
      </c>
      <c r="AI63" s="166">
        <v>1.9</v>
      </c>
      <c r="AJ63" s="166">
        <v>0</v>
      </c>
      <c r="AK63" s="166">
        <v>0</v>
      </c>
      <c r="AL63" s="166">
        <v>0</v>
      </c>
      <c r="AM63" s="166">
        <v>2.1</v>
      </c>
      <c r="AN63" s="166">
        <v>2.6</v>
      </c>
      <c r="AO63" s="166">
        <v>2.6</v>
      </c>
      <c r="AP63" s="169">
        <v>0</v>
      </c>
      <c r="AQ63" s="166">
        <v>0</v>
      </c>
      <c r="AR63" s="166">
        <v>0</v>
      </c>
      <c r="AS63" s="166">
        <v>2.4</v>
      </c>
      <c r="AT63" s="166">
        <v>0</v>
      </c>
      <c r="AU63" s="166">
        <v>0</v>
      </c>
      <c r="AV63" s="166">
        <v>0</v>
      </c>
      <c r="AW63" s="166">
        <v>0</v>
      </c>
      <c r="AX63" s="166">
        <v>0</v>
      </c>
      <c r="AY63" s="166">
        <v>0</v>
      </c>
      <c r="AZ63" s="204">
        <v>12.1</v>
      </c>
      <c r="BA63" s="204">
        <v>0.9</v>
      </c>
      <c r="BB63" s="204">
        <v>0</v>
      </c>
      <c r="BC63" s="204">
        <v>64.900000000000006</v>
      </c>
      <c r="BD63" s="39">
        <f t="shared" si="8"/>
        <v>35.099999999999994</v>
      </c>
      <c r="BE63" s="39">
        <f t="shared" si="9"/>
        <v>22</v>
      </c>
      <c r="BG63" s="231">
        <f t="shared" si="10"/>
        <v>16.688061617458278</v>
      </c>
      <c r="BH63" s="232"/>
    </row>
    <row r="64" spans="23:60" x14ac:dyDescent="0.3">
      <c r="W64" s="99">
        <v>2006</v>
      </c>
      <c r="X64" s="98">
        <v>423</v>
      </c>
      <c r="Y64" s="100" t="s">
        <v>107</v>
      </c>
      <c r="Z64" s="166">
        <v>3.8</v>
      </c>
      <c r="AA64" s="166">
        <v>0</v>
      </c>
      <c r="AB64" s="166">
        <v>0</v>
      </c>
      <c r="AC64" s="166">
        <v>0.5</v>
      </c>
      <c r="AD64" s="166">
        <v>1.7</v>
      </c>
      <c r="AE64" s="166">
        <v>0.7</v>
      </c>
      <c r="AF64" s="166">
        <v>1.4</v>
      </c>
      <c r="AG64" s="174">
        <v>0</v>
      </c>
      <c r="AH64" s="166">
        <v>0</v>
      </c>
      <c r="AI64" s="166">
        <v>1.2</v>
      </c>
      <c r="AJ64" s="166">
        <v>0</v>
      </c>
      <c r="AK64" s="166">
        <v>0</v>
      </c>
      <c r="AL64" s="166">
        <v>0</v>
      </c>
      <c r="AM64" s="166">
        <v>6.1</v>
      </c>
      <c r="AN64" s="166">
        <v>1.4</v>
      </c>
      <c r="AO64" s="166">
        <v>0</v>
      </c>
      <c r="AP64" s="169">
        <v>0</v>
      </c>
      <c r="AQ64" s="166">
        <v>0</v>
      </c>
      <c r="AR64" s="166">
        <v>0</v>
      </c>
      <c r="AS64" s="166">
        <v>0</v>
      </c>
      <c r="AT64" s="166">
        <v>0</v>
      </c>
      <c r="AU64" s="166">
        <v>0</v>
      </c>
      <c r="AV64" s="166">
        <v>0</v>
      </c>
      <c r="AW64" s="166">
        <v>0</v>
      </c>
      <c r="AX64" s="166">
        <v>0</v>
      </c>
      <c r="AY64" s="166">
        <v>0</v>
      </c>
      <c r="AZ64" s="204">
        <v>6.9</v>
      </c>
      <c r="BA64" s="204">
        <v>0.9</v>
      </c>
      <c r="BB64" s="204">
        <v>0</v>
      </c>
      <c r="BC64" s="204">
        <v>75.400000000000006</v>
      </c>
      <c r="BD64" s="39">
        <f t="shared" si="8"/>
        <v>24.599999999999994</v>
      </c>
      <c r="BE64" s="39">
        <f t="shared" si="9"/>
        <v>16.799999999999997</v>
      </c>
      <c r="BG64" s="231">
        <f t="shared" si="10"/>
        <v>9.375</v>
      </c>
      <c r="BH64" s="232"/>
    </row>
    <row r="65" spans="23:62" x14ac:dyDescent="0.3">
      <c r="W65" s="99">
        <v>2007</v>
      </c>
      <c r="X65" s="98">
        <v>1568</v>
      </c>
      <c r="Y65" s="100" t="s">
        <v>107</v>
      </c>
      <c r="Z65" s="166">
        <v>0.2</v>
      </c>
      <c r="AA65" s="166">
        <v>0.1</v>
      </c>
      <c r="AB65" s="166">
        <v>0</v>
      </c>
      <c r="AC65" s="166">
        <v>0.2</v>
      </c>
      <c r="AD65" s="166">
        <v>0</v>
      </c>
      <c r="AE65" s="166">
        <v>1.7</v>
      </c>
      <c r="AF65" s="166">
        <v>0.4</v>
      </c>
      <c r="AG65" s="174">
        <v>0</v>
      </c>
      <c r="AH65" s="166">
        <v>0</v>
      </c>
      <c r="AI65" s="166">
        <v>0</v>
      </c>
      <c r="AJ65" s="166">
        <v>0</v>
      </c>
      <c r="AK65" s="166">
        <v>0</v>
      </c>
      <c r="AL65" s="166">
        <v>0.3</v>
      </c>
      <c r="AM65" s="166">
        <v>0.3</v>
      </c>
      <c r="AN65" s="166">
        <v>0.1</v>
      </c>
      <c r="AO65" s="166">
        <v>0.1</v>
      </c>
      <c r="AP65" s="169">
        <v>0.1</v>
      </c>
      <c r="AQ65" s="166">
        <v>0</v>
      </c>
      <c r="AR65" s="166">
        <v>0</v>
      </c>
      <c r="AS65" s="166">
        <v>2.2000000000000002</v>
      </c>
      <c r="AT65" s="166">
        <v>0</v>
      </c>
      <c r="AU65" s="166">
        <v>0</v>
      </c>
      <c r="AV65" s="166">
        <v>0</v>
      </c>
      <c r="AW65" s="166">
        <v>0</v>
      </c>
      <c r="AX65" s="166">
        <v>0</v>
      </c>
      <c r="AY65" s="166">
        <v>0</v>
      </c>
      <c r="AZ65" s="204">
        <v>2.4</v>
      </c>
      <c r="BA65" s="204">
        <v>1.2</v>
      </c>
      <c r="BB65" s="204">
        <v>0</v>
      </c>
      <c r="BC65" s="204">
        <v>90.7</v>
      </c>
      <c r="BD65" s="39">
        <f t="shared" si="8"/>
        <v>9.2999999999999972</v>
      </c>
      <c r="BE65" s="39">
        <f t="shared" si="9"/>
        <v>5.7</v>
      </c>
      <c r="BG65" s="231">
        <f t="shared" si="10"/>
        <v>3.8176033934252382</v>
      </c>
      <c r="BH65" s="232"/>
    </row>
    <row r="66" spans="23:62" x14ac:dyDescent="0.3">
      <c r="W66" s="99">
        <v>2008</v>
      </c>
      <c r="X66" s="98">
        <v>2507</v>
      </c>
      <c r="Y66" s="100" t="s">
        <v>107</v>
      </c>
      <c r="Z66" s="166">
        <v>0.2</v>
      </c>
      <c r="AA66" s="166">
        <v>0</v>
      </c>
      <c r="AB66" s="166">
        <v>0</v>
      </c>
      <c r="AC66" s="166">
        <v>0.2</v>
      </c>
      <c r="AD66" s="166">
        <v>0.2</v>
      </c>
      <c r="AE66" s="166">
        <v>6.2</v>
      </c>
      <c r="AF66" s="166">
        <v>1.2</v>
      </c>
      <c r="AG66" s="174">
        <v>0</v>
      </c>
      <c r="AH66" s="166">
        <v>0</v>
      </c>
      <c r="AI66" s="166">
        <v>0.2</v>
      </c>
      <c r="AJ66" s="166">
        <v>0</v>
      </c>
      <c r="AK66" s="166">
        <v>0</v>
      </c>
      <c r="AL66" s="166">
        <v>0.6</v>
      </c>
      <c r="AM66" s="166">
        <v>4.0999999999999996</v>
      </c>
      <c r="AN66" s="166">
        <v>2.2999999999999998</v>
      </c>
      <c r="AO66" s="166">
        <v>0</v>
      </c>
      <c r="AP66" s="169">
        <v>0</v>
      </c>
      <c r="AQ66" s="166">
        <v>0</v>
      </c>
      <c r="AR66" s="166">
        <v>0</v>
      </c>
      <c r="AS66" s="166">
        <v>0.2</v>
      </c>
      <c r="AT66" s="166">
        <v>0</v>
      </c>
      <c r="AU66" s="166">
        <v>0</v>
      </c>
      <c r="AV66" s="166">
        <v>0</v>
      </c>
      <c r="AW66" s="166">
        <v>0</v>
      </c>
      <c r="AX66" s="166">
        <v>0</v>
      </c>
      <c r="AY66" s="166">
        <v>0</v>
      </c>
      <c r="AZ66" s="204">
        <v>7.6</v>
      </c>
      <c r="BA66" s="204">
        <v>2.4</v>
      </c>
      <c r="BB66" s="204">
        <v>0</v>
      </c>
      <c r="BC66" s="204">
        <v>74.599999999999994</v>
      </c>
      <c r="BD66" s="39">
        <f t="shared" si="8"/>
        <v>25.400000000000006</v>
      </c>
      <c r="BE66" s="39">
        <f t="shared" si="9"/>
        <v>15.399999999999999</v>
      </c>
      <c r="BG66" s="231">
        <f t="shared" si="10"/>
        <v>11.82033096926714</v>
      </c>
      <c r="BH66" s="232"/>
    </row>
    <row r="67" spans="23:62" x14ac:dyDescent="0.3">
      <c r="W67" s="99">
        <v>2009</v>
      </c>
      <c r="X67" s="98">
        <v>3419</v>
      </c>
      <c r="Y67" s="100" t="s">
        <v>107</v>
      </c>
      <c r="Z67" s="166">
        <v>0.8</v>
      </c>
      <c r="AA67" s="166">
        <v>0</v>
      </c>
      <c r="AB67" s="166">
        <v>0.1</v>
      </c>
      <c r="AC67" s="166">
        <v>0.8</v>
      </c>
      <c r="AD67" s="166">
        <v>0</v>
      </c>
      <c r="AE67" s="166">
        <v>1.6</v>
      </c>
      <c r="AF67" s="166">
        <v>1.7</v>
      </c>
      <c r="AG67" s="174">
        <v>0</v>
      </c>
      <c r="AH67" s="166">
        <v>0</v>
      </c>
      <c r="AI67" s="166">
        <v>0</v>
      </c>
      <c r="AJ67" s="166">
        <v>0</v>
      </c>
      <c r="AK67" s="166">
        <v>0</v>
      </c>
      <c r="AL67" s="166">
        <v>0.2</v>
      </c>
      <c r="AM67" s="166">
        <v>1.5</v>
      </c>
      <c r="AN67" s="166">
        <v>1.2</v>
      </c>
      <c r="AO67" s="166">
        <v>0</v>
      </c>
      <c r="AP67" s="169">
        <v>0</v>
      </c>
      <c r="AQ67" s="166">
        <v>0</v>
      </c>
      <c r="AR67" s="166">
        <v>0</v>
      </c>
      <c r="AS67" s="166">
        <v>0.3</v>
      </c>
      <c r="AT67" s="166">
        <v>0</v>
      </c>
      <c r="AU67" s="166">
        <v>0</v>
      </c>
      <c r="AV67" s="166">
        <v>0</v>
      </c>
      <c r="AW67" s="166">
        <v>0</v>
      </c>
      <c r="AX67" s="166">
        <v>0</v>
      </c>
      <c r="AY67" s="166">
        <v>0</v>
      </c>
      <c r="AZ67" s="204">
        <v>6</v>
      </c>
      <c r="BA67" s="204">
        <v>2.2000000000000002</v>
      </c>
      <c r="BB67" s="204">
        <v>0.1</v>
      </c>
      <c r="BC67" s="204">
        <v>83.6</v>
      </c>
      <c r="BD67" s="39">
        <f t="shared" si="8"/>
        <v>16.300000000000004</v>
      </c>
      <c r="BE67" s="39">
        <f t="shared" si="9"/>
        <v>8.2000000000000011</v>
      </c>
      <c r="BG67" s="231">
        <f t="shared" si="10"/>
        <v>8.9227421109902068</v>
      </c>
      <c r="BH67" s="232"/>
    </row>
    <row r="68" spans="23:62" x14ac:dyDescent="0.3">
      <c r="W68" s="99">
        <v>2010</v>
      </c>
      <c r="X68" s="98">
        <v>1943</v>
      </c>
      <c r="Y68" s="100" t="s">
        <v>107</v>
      </c>
      <c r="Z68" s="166">
        <v>0.5</v>
      </c>
      <c r="AA68" s="166">
        <v>0.2</v>
      </c>
      <c r="AB68" s="166">
        <v>0</v>
      </c>
      <c r="AC68" s="166">
        <v>1.3</v>
      </c>
      <c r="AD68" s="166">
        <v>0.1</v>
      </c>
      <c r="AE68" s="166">
        <v>5.6</v>
      </c>
      <c r="AF68" s="166">
        <v>4</v>
      </c>
      <c r="AG68" s="174">
        <v>0</v>
      </c>
      <c r="AH68" s="166">
        <v>0</v>
      </c>
      <c r="AI68" s="166">
        <v>0</v>
      </c>
      <c r="AJ68" s="166">
        <v>0</v>
      </c>
      <c r="AK68" s="166">
        <v>0</v>
      </c>
      <c r="AL68" s="166">
        <v>0.6</v>
      </c>
      <c r="AM68" s="166">
        <v>8.5</v>
      </c>
      <c r="AN68" s="166">
        <v>6.9</v>
      </c>
      <c r="AO68" s="166">
        <v>0.9</v>
      </c>
      <c r="AP68" s="169">
        <v>0.1</v>
      </c>
      <c r="AQ68" s="166">
        <v>0</v>
      </c>
      <c r="AR68" s="166">
        <v>0</v>
      </c>
      <c r="AS68" s="166">
        <v>0.4</v>
      </c>
      <c r="AT68" s="166">
        <v>0</v>
      </c>
      <c r="AU68" s="166">
        <v>0</v>
      </c>
      <c r="AV68" s="166">
        <v>0</v>
      </c>
      <c r="AW68" s="166">
        <v>0</v>
      </c>
      <c r="AX68" s="166">
        <v>0</v>
      </c>
      <c r="AY68" s="166">
        <v>0</v>
      </c>
      <c r="AZ68" s="204">
        <v>15.6</v>
      </c>
      <c r="BA68" s="204">
        <v>3.6</v>
      </c>
      <c r="BB68" s="204">
        <v>0</v>
      </c>
      <c r="BC68" s="204">
        <v>51.6</v>
      </c>
      <c r="BD68" s="39">
        <f t="shared" si="8"/>
        <v>48.4</v>
      </c>
      <c r="BE68" s="39">
        <f t="shared" si="9"/>
        <v>29.099999999999994</v>
      </c>
      <c r="BG68" s="231">
        <f t="shared" si="10"/>
        <v>27.118644067796609</v>
      </c>
      <c r="BH68" s="232"/>
      <c r="BJ68" t="s">
        <v>185</v>
      </c>
    </row>
    <row r="69" spans="23:62" x14ac:dyDescent="0.3">
      <c r="W69" s="99">
        <v>2011</v>
      </c>
      <c r="X69" s="98">
        <v>1953</v>
      </c>
      <c r="Y69" s="100" t="s">
        <v>107</v>
      </c>
      <c r="Z69" s="166">
        <v>0.8</v>
      </c>
      <c r="AA69" s="166">
        <v>0</v>
      </c>
      <c r="AB69" s="166">
        <v>0.2</v>
      </c>
      <c r="AC69" s="166">
        <v>1</v>
      </c>
      <c r="AD69" s="166">
        <v>0.2</v>
      </c>
      <c r="AE69" s="166">
        <v>3.8</v>
      </c>
      <c r="AF69" s="166">
        <v>3</v>
      </c>
      <c r="AG69" s="174">
        <v>0</v>
      </c>
      <c r="AH69" s="166">
        <v>0</v>
      </c>
      <c r="AI69" s="166">
        <v>0</v>
      </c>
      <c r="AJ69" s="166">
        <v>0</v>
      </c>
      <c r="AK69" s="166">
        <v>0</v>
      </c>
      <c r="AL69" s="166">
        <v>0.3</v>
      </c>
      <c r="AM69" s="166">
        <v>4.4000000000000004</v>
      </c>
      <c r="AN69" s="166">
        <v>1.9</v>
      </c>
      <c r="AO69" s="166">
        <v>0.9</v>
      </c>
      <c r="AP69" s="169">
        <v>0.6</v>
      </c>
      <c r="AQ69" s="166">
        <v>0</v>
      </c>
      <c r="AR69" s="166">
        <v>0</v>
      </c>
      <c r="AS69" s="166">
        <v>1.5</v>
      </c>
      <c r="AT69" s="166">
        <v>0</v>
      </c>
      <c r="AU69" s="166">
        <v>0</v>
      </c>
      <c r="AV69" s="166">
        <v>0</v>
      </c>
      <c r="AW69" s="166">
        <v>0</v>
      </c>
      <c r="AX69" s="166">
        <v>0</v>
      </c>
      <c r="AY69" s="166">
        <v>0</v>
      </c>
      <c r="AZ69" s="204">
        <v>15.5</v>
      </c>
      <c r="BA69" s="204">
        <v>5.9</v>
      </c>
      <c r="BB69" s="204">
        <v>0</v>
      </c>
      <c r="BC69" s="204">
        <v>60.2</v>
      </c>
      <c r="BD69" s="39">
        <f t="shared" si="8"/>
        <v>39.799999999999997</v>
      </c>
      <c r="BE69" s="39">
        <f t="shared" si="9"/>
        <v>18.600000000000001</v>
      </c>
      <c r="BG69" s="231">
        <f t="shared" si="10"/>
        <v>26.225490196078432</v>
      </c>
      <c r="BH69" s="232"/>
    </row>
    <row r="70" spans="23:62" x14ac:dyDescent="0.3">
      <c r="W70" s="99">
        <v>2012</v>
      </c>
      <c r="X70" s="98">
        <v>2427</v>
      </c>
      <c r="Y70" s="100" t="s">
        <v>107</v>
      </c>
      <c r="Z70" s="166">
        <v>1.3</v>
      </c>
      <c r="AA70" s="166">
        <v>0.2</v>
      </c>
      <c r="AB70" s="166">
        <v>0.1</v>
      </c>
      <c r="AC70" s="166">
        <v>0.3</v>
      </c>
      <c r="AD70" s="166">
        <v>0</v>
      </c>
      <c r="AE70" s="166">
        <v>3.6</v>
      </c>
      <c r="AF70" s="166">
        <v>3.2</v>
      </c>
      <c r="AG70" s="174">
        <v>0</v>
      </c>
      <c r="AH70" s="166">
        <v>0</v>
      </c>
      <c r="AI70" s="166">
        <v>0.2</v>
      </c>
      <c r="AJ70" s="166">
        <v>0</v>
      </c>
      <c r="AK70" s="166">
        <v>0</v>
      </c>
      <c r="AL70" s="166">
        <v>0.4</v>
      </c>
      <c r="AM70" s="166">
        <v>5.8</v>
      </c>
      <c r="AN70" s="166">
        <v>3.5</v>
      </c>
      <c r="AO70" s="166">
        <v>2.2999999999999998</v>
      </c>
      <c r="AP70" s="169">
        <v>0.7</v>
      </c>
      <c r="AQ70" s="166">
        <v>0</v>
      </c>
      <c r="AR70" s="166">
        <v>0</v>
      </c>
      <c r="AS70" s="166">
        <v>0.6</v>
      </c>
      <c r="AT70" s="166">
        <v>0</v>
      </c>
      <c r="AU70" s="166">
        <v>0</v>
      </c>
      <c r="AV70" s="166">
        <v>0</v>
      </c>
      <c r="AW70" s="166">
        <v>0</v>
      </c>
      <c r="AX70" s="166">
        <v>0</v>
      </c>
      <c r="AY70" s="166">
        <v>0</v>
      </c>
      <c r="AZ70" s="204">
        <v>10.8</v>
      </c>
      <c r="BA70" s="204">
        <v>12.8</v>
      </c>
      <c r="BB70" s="204">
        <v>7.5</v>
      </c>
      <c r="BC70" s="204">
        <v>46.4</v>
      </c>
      <c r="BD70" s="39">
        <f t="shared" si="8"/>
        <v>46.1</v>
      </c>
      <c r="BE70" s="39">
        <f t="shared" si="9"/>
        <v>22.2</v>
      </c>
      <c r="BF70" s="39">
        <f>AVERAGE(BD61:BD70)</f>
        <v>28.720000000000006</v>
      </c>
      <c r="BG70" s="231">
        <f t="shared" si="10"/>
        <v>30.451612903225811</v>
      </c>
      <c r="BH70" s="232"/>
    </row>
    <row r="71" spans="23:62" x14ac:dyDescent="0.3">
      <c r="W71" s="99">
        <v>2013</v>
      </c>
      <c r="X71" s="98">
        <v>1929</v>
      </c>
      <c r="Y71" s="100" t="s">
        <v>107</v>
      </c>
      <c r="Z71" s="166">
        <v>1.9</v>
      </c>
      <c r="AA71" s="166">
        <v>0</v>
      </c>
      <c r="AB71" s="166">
        <v>0</v>
      </c>
      <c r="AC71" s="166">
        <v>1.1000000000000001</v>
      </c>
      <c r="AD71" s="166">
        <v>0.2</v>
      </c>
      <c r="AE71" s="166">
        <v>3</v>
      </c>
      <c r="AF71" s="166">
        <v>2.2999999999999998</v>
      </c>
      <c r="AG71" s="174">
        <v>0</v>
      </c>
      <c r="AH71" s="166">
        <v>0</v>
      </c>
      <c r="AI71" s="166">
        <v>0</v>
      </c>
      <c r="AJ71" s="166">
        <v>0</v>
      </c>
      <c r="AK71" s="166">
        <v>0</v>
      </c>
      <c r="AL71" s="166">
        <v>0.4</v>
      </c>
      <c r="AM71" s="166">
        <v>7.5</v>
      </c>
      <c r="AN71" s="166">
        <v>3.4</v>
      </c>
      <c r="AO71" s="166">
        <v>3.8</v>
      </c>
      <c r="AP71" s="169">
        <v>0.6</v>
      </c>
      <c r="AQ71" s="166">
        <v>0</v>
      </c>
      <c r="AR71" s="166">
        <v>0</v>
      </c>
      <c r="AS71" s="166">
        <v>0.2</v>
      </c>
      <c r="AT71" s="166">
        <v>0</v>
      </c>
      <c r="AU71" s="166">
        <v>0</v>
      </c>
      <c r="AV71" s="166">
        <v>0</v>
      </c>
      <c r="AW71" s="166">
        <v>0</v>
      </c>
      <c r="AX71" s="166">
        <v>0</v>
      </c>
      <c r="AY71" s="166">
        <v>0</v>
      </c>
      <c r="AZ71" s="204">
        <v>26.9</v>
      </c>
      <c r="BA71" s="204">
        <v>15.1</v>
      </c>
      <c r="BB71" s="204">
        <v>0</v>
      </c>
      <c r="BC71" s="204">
        <v>33.9</v>
      </c>
      <c r="BD71" s="39">
        <f t="shared" si="8"/>
        <v>66.099999999999994</v>
      </c>
      <c r="BE71" s="39">
        <f t="shared" si="9"/>
        <v>24.4</v>
      </c>
      <c r="BG71" s="231">
        <f t="shared" si="10"/>
        <v>55.335968379446633</v>
      </c>
      <c r="BH71" s="232"/>
    </row>
    <row r="72" spans="23:62" x14ac:dyDescent="0.3">
      <c r="W72" s="99">
        <v>2014</v>
      </c>
      <c r="X72" s="98">
        <v>1628</v>
      </c>
      <c r="Y72" s="100" t="s">
        <v>107</v>
      </c>
      <c r="Z72" s="166">
        <v>7.6</v>
      </c>
      <c r="AA72" s="166">
        <v>0.3</v>
      </c>
      <c r="AB72" s="166">
        <v>0.2</v>
      </c>
      <c r="AC72" s="166">
        <v>2.1</v>
      </c>
      <c r="AD72" s="166">
        <v>0.8</v>
      </c>
      <c r="AE72" s="166">
        <v>6.5</v>
      </c>
      <c r="AF72" s="166">
        <v>0.5</v>
      </c>
      <c r="AG72" s="174">
        <v>0</v>
      </c>
      <c r="AH72" s="166">
        <v>0</v>
      </c>
      <c r="AI72" s="166">
        <v>0</v>
      </c>
      <c r="AJ72" s="166">
        <v>0</v>
      </c>
      <c r="AK72" s="166">
        <v>0</v>
      </c>
      <c r="AL72" s="166">
        <v>0.7</v>
      </c>
      <c r="AM72" s="166">
        <v>8</v>
      </c>
      <c r="AN72" s="166">
        <v>2.1</v>
      </c>
      <c r="AO72" s="166">
        <v>3.5</v>
      </c>
      <c r="AP72" s="169">
        <v>0.2</v>
      </c>
      <c r="AQ72" s="166">
        <v>0</v>
      </c>
      <c r="AR72" s="166">
        <v>0</v>
      </c>
      <c r="AS72" s="166">
        <v>0</v>
      </c>
      <c r="AT72" s="166">
        <v>0</v>
      </c>
      <c r="AU72" s="166">
        <v>0</v>
      </c>
      <c r="AV72" s="166">
        <v>0</v>
      </c>
      <c r="AW72" s="166">
        <v>0</v>
      </c>
      <c r="AX72" s="166">
        <v>0</v>
      </c>
      <c r="AY72" s="166">
        <v>0</v>
      </c>
      <c r="AZ72" s="204">
        <v>24.2</v>
      </c>
      <c r="BA72" s="204">
        <v>6.8</v>
      </c>
      <c r="BB72" s="204">
        <v>1.2</v>
      </c>
      <c r="BC72" s="204">
        <v>35.200000000000003</v>
      </c>
      <c r="BD72" s="39">
        <f t="shared" si="8"/>
        <v>63.599999999999994</v>
      </c>
      <c r="BE72" s="39">
        <f t="shared" si="9"/>
        <v>32.5</v>
      </c>
      <c r="BG72" s="233">
        <f t="shared" si="10"/>
        <v>45.994065281899104</v>
      </c>
      <c r="BH72" s="234"/>
    </row>
    <row r="73" spans="23:62" x14ac:dyDescent="0.3">
      <c r="W73" s="175">
        <v>2015</v>
      </c>
      <c r="X73" s="176" t="s">
        <v>158</v>
      </c>
      <c r="Y73" s="177"/>
      <c r="Z73" s="176" t="s">
        <v>102</v>
      </c>
      <c r="AA73" s="176" t="s">
        <v>102</v>
      </c>
      <c r="AB73" s="176" t="s">
        <v>102</v>
      </c>
      <c r="AC73" s="176" t="s">
        <v>102</v>
      </c>
      <c r="AD73" s="176" t="s">
        <v>102</v>
      </c>
      <c r="AE73" s="176" t="s">
        <v>102</v>
      </c>
      <c r="AF73" s="176" t="s">
        <v>102</v>
      </c>
      <c r="AG73" s="178" t="s">
        <v>102</v>
      </c>
      <c r="AH73" s="176" t="s">
        <v>102</v>
      </c>
      <c r="AI73" s="176" t="s">
        <v>102</v>
      </c>
      <c r="AJ73" s="176" t="s">
        <v>102</v>
      </c>
      <c r="AK73" s="176" t="s">
        <v>102</v>
      </c>
      <c r="AL73" s="176" t="s">
        <v>102</v>
      </c>
      <c r="AM73" s="176" t="s">
        <v>102</v>
      </c>
      <c r="AN73" s="176" t="s">
        <v>102</v>
      </c>
      <c r="AO73" s="176" t="s">
        <v>102</v>
      </c>
      <c r="AP73" s="176" t="s">
        <v>102</v>
      </c>
      <c r="AQ73" s="176" t="s">
        <v>102</v>
      </c>
      <c r="AR73" s="176" t="s">
        <v>102</v>
      </c>
      <c r="AS73" s="176" t="s">
        <v>102</v>
      </c>
      <c r="AT73" s="176" t="s">
        <v>102</v>
      </c>
      <c r="AU73" s="176" t="s">
        <v>102</v>
      </c>
      <c r="AV73" s="176" t="s">
        <v>102</v>
      </c>
      <c r="AW73" s="176" t="s">
        <v>102</v>
      </c>
      <c r="AX73" s="176" t="s">
        <v>102</v>
      </c>
      <c r="AY73" s="176" t="s">
        <v>102</v>
      </c>
      <c r="AZ73" s="207" t="s">
        <v>102</v>
      </c>
      <c r="BA73" s="207" t="s">
        <v>102</v>
      </c>
      <c r="BB73" s="207" t="s">
        <v>102</v>
      </c>
      <c r="BC73" s="207" t="s">
        <v>102</v>
      </c>
    </row>
    <row r="74" spans="23:62" x14ac:dyDescent="0.3">
      <c r="W74" s="179" t="s">
        <v>165</v>
      </c>
      <c r="X74" s="180" t="s">
        <v>158</v>
      </c>
      <c r="Y74" s="181"/>
      <c r="Z74" s="182" t="s">
        <v>102</v>
      </c>
      <c r="AA74" s="183" t="s">
        <v>102</v>
      </c>
      <c r="AB74" s="183" t="s">
        <v>102</v>
      </c>
      <c r="AC74" s="183" t="s">
        <v>102</v>
      </c>
      <c r="AD74" s="183" t="s">
        <v>102</v>
      </c>
      <c r="AE74" s="183" t="s">
        <v>102</v>
      </c>
      <c r="AF74" s="184" t="s">
        <v>102</v>
      </c>
      <c r="AG74" s="185" t="s">
        <v>102</v>
      </c>
      <c r="AH74" s="183" t="s">
        <v>102</v>
      </c>
      <c r="AI74" s="183" t="s">
        <v>102</v>
      </c>
      <c r="AJ74" s="183" t="s">
        <v>102</v>
      </c>
      <c r="AK74" s="183" t="s">
        <v>102</v>
      </c>
      <c r="AL74" s="183" t="s">
        <v>102</v>
      </c>
      <c r="AM74" s="183" t="s">
        <v>102</v>
      </c>
      <c r="AN74" s="183" t="s">
        <v>102</v>
      </c>
      <c r="AO74" s="183" t="s">
        <v>102</v>
      </c>
      <c r="AP74" s="183" t="s">
        <v>102</v>
      </c>
      <c r="AQ74" s="183" t="s">
        <v>102</v>
      </c>
      <c r="AR74" s="183" t="s">
        <v>102</v>
      </c>
      <c r="AS74" s="184" t="s">
        <v>102</v>
      </c>
      <c r="AT74" s="182" t="s">
        <v>102</v>
      </c>
      <c r="AU74" s="183" t="s">
        <v>102</v>
      </c>
      <c r="AV74" s="183" t="s">
        <v>102</v>
      </c>
      <c r="AW74" s="183" t="s">
        <v>102</v>
      </c>
      <c r="AX74" s="183" t="s">
        <v>102</v>
      </c>
      <c r="AY74" s="183" t="s">
        <v>102</v>
      </c>
      <c r="AZ74" s="208" t="s">
        <v>102</v>
      </c>
      <c r="BA74" s="209" t="s">
        <v>102</v>
      </c>
      <c r="BB74" s="210" t="s">
        <v>102</v>
      </c>
      <c r="BC74" s="209" t="s">
        <v>102</v>
      </c>
      <c r="BD74" s="39">
        <f>AVERAGE(BD63:BD72)</f>
        <v>37.469999999999992</v>
      </c>
      <c r="BE74" s="39">
        <f>AVERAGE(BE63:BE72)</f>
        <v>19.489999999999998</v>
      </c>
    </row>
    <row r="75" spans="23:62" x14ac:dyDescent="0.3">
      <c r="W75" s="179" t="s">
        <v>166</v>
      </c>
      <c r="X75" s="186">
        <v>390</v>
      </c>
      <c r="Y75" s="181"/>
      <c r="Z75" s="187">
        <v>2.2000000000000002</v>
      </c>
      <c r="AA75" s="188">
        <v>0</v>
      </c>
      <c r="AB75" s="188">
        <v>0.5</v>
      </c>
      <c r="AC75" s="188">
        <v>4.9000000000000004</v>
      </c>
      <c r="AD75" s="188">
        <v>0.4</v>
      </c>
      <c r="AE75" s="188">
        <v>14.8</v>
      </c>
      <c r="AF75" s="189">
        <v>1.5</v>
      </c>
      <c r="AG75" s="190">
        <v>0</v>
      </c>
      <c r="AH75" s="188">
        <v>0.4</v>
      </c>
      <c r="AI75" s="188">
        <v>0</v>
      </c>
      <c r="AJ75" s="188">
        <v>0</v>
      </c>
      <c r="AK75" s="188">
        <v>0.8</v>
      </c>
      <c r="AL75" s="188">
        <v>0</v>
      </c>
      <c r="AM75" s="188">
        <v>4.8</v>
      </c>
      <c r="AN75" s="188">
        <v>1.4</v>
      </c>
      <c r="AO75" s="188">
        <v>4.8</v>
      </c>
      <c r="AP75" s="191">
        <v>1.4</v>
      </c>
      <c r="AQ75" s="188">
        <v>0</v>
      </c>
      <c r="AR75" s="188">
        <v>0</v>
      </c>
      <c r="AS75" s="189">
        <v>0.4</v>
      </c>
      <c r="AT75" s="187">
        <v>0</v>
      </c>
      <c r="AU75" s="188">
        <v>0</v>
      </c>
      <c r="AV75" s="188">
        <v>0</v>
      </c>
      <c r="AW75" s="188">
        <v>0</v>
      </c>
      <c r="AX75" s="188">
        <v>0</v>
      </c>
      <c r="AY75" s="188">
        <v>0</v>
      </c>
      <c r="AZ75" s="211">
        <v>14.3</v>
      </c>
      <c r="BA75" s="212">
        <v>2.4</v>
      </c>
      <c r="BB75" s="213">
        <v>0.1</v>
      </c>
      <c r="BC75" s="212">
        <v>45.1</v>
      </c>
      <c r="BD75" s="39">
        <f>MIN(BD63:BD72)</f>
        <v>9.2999999999999972</v>
      </c>
      <c r="BE75" s="39">
        <f>MIN(BE63:BE72)</f>
        <v>5.7</v>
      </c>
    </row>
    <row r="76" spans="23:62" x14ac:dyDescent="0.3">
      <c r="W76" s="179" t="s">
        <v>167</v>
      </c>
      <c r="X76" s="180" t="s">
        <v>158</v>
      </c>
      <c r="Y76" s="181"/>
      <c r="Z76" s="182" t="s">
        <v>102</v>
      </c>
      <c r="AA76" s="183" t="s">
        <v>102</v>
      </c>
      <c r="AB76" s="183" t="s">
        <v>102</v>
      </c>
      <c r="AC76" s="183" t="s">
        <v>102</v>
      </c>
      <c r="AD76" s="183" t="s">
        <v>102</v>
      </c>
      <c r="AE76" s="183" t="s">
        <v>102</v>
      </c>
      <c r="AF76" s="184" t="s">
        <v>102</v>
      </c>
      <c r="AG76" s="185" t="s">
        <v>102</v>
      </c>
      <c r="AH76" s="183" t="s">
        <v>102</v>
      </c>
      <c r="AI76" s="183" t="s">
        <v>102</v>
      </c>
      <c r="AJ76" s="183" t="s">
        <v>102</v>
      </c>
      <c r="AK76" s="183" t="s">
        <v>102</v>
      </c>
      <c r="AL76" s="183" t="s">
        <v>102</v>
      </c>
      <c r="AM76" s="183" t="s">
        <v>102</v>
      </c>
      <c r="AN76" s="183" t="s">
        <v>102</v>
      </c>
      <c r="AO76" s="183" t="s">
        <v>102</v>
      </c>
      <c r="AP76" s="183" t="s">
        <v>102</v>
      </c>
      <c r="AQ76" s="183" t="s">
        <v>102</v>
      </c>
      <c r="AR76" s="183" t="s">
        <v>102</v>
      </c>
      <c r="AS76" s="184" t="s">
        <v>102</v>
      </c>
      <c r="AT76" s="182" t="s">
        <v>102</v>
      </c>
      <c r="AU76" s="183" t="s">
        <v>102</v>
      </c>
      <c r="AV76" s="183" t="s">
        <v>102</v>
      </c>
      <c r="AW76" s="183" t="s">
        <v>102</v>
      </c>
      <c r="AX76" s="183" t="s">
        <v>102</v>
      </c>
      <c r="AY76" s="183" t="s">
        <v>102</v>
      </c>
      <c r="AZ76" s="208" t="s">
        <v>102</v>
      </c>
      <c r="BA76" s="209" t="s">
        <v>102</v>
      </c>
      <c r="BB76" s="210" t="s">
        <v>102</v>
      </c>
      <c r="BC76" s="209" t="s">
        <v>102</v>
      </c>
      <c r="BD76" s="39">
        <f>MAX(BD63:BD72)</f>
        <v>66.099999999999994</v>
      </c>
      <c r="BE76" s="39">
        <f>MAX(BE63:BE72)</f>
        <v>32.5</v>
      </c>
    </row>
    <row r="77" spans="23:62" x14ac:dyDescent="0.3">
      <c r="W77" s="179" t="s">
        <v>168</v>
      </c>
      <c r="X77" s="186">
        <v>1044</v>
      </c>
      <c r="Y77" s="181"/>
      <c r="Z77" s="187">
        <v>2.9</v>
      </c>
      <c r="AA77" s="188">
        <v>0.1</v>
      </c>
      <c r="AB77" s="188">
        <v>0</v>
      </c>
      <c r="AC77" s="188">
        <v>0.9</v>
      </c>
      <c r="AD77" s="188">
        <v>0.3</v>
      </c>
      <c r="AE77" s="188">
        <v>2.5</v>
      </c>
      <c r="AF77" s="189">
        <v>0.5</v>
      </c>
      <c r="AG77" s="190">
        <v>0</v>
      </c>
      <c r="AH77" s="188">
        <v>0</v>
      </c>
      <c r="AI77" s="188">
        <v>0.6</v>
      </c>
      <c r="AJ77" s="188">
        <v>0</v>
      </c>
      <c r="AK77" s="188">
        <v>0</v>
      </c>
      <c r="AL77" s="188">
        <v>0.1</v>
      </c>
      <c r="AM77" s="188">
        <v>3</v>
      </c>
      <c r="AN77" s="188">
        <v>1.6</v>
      </c>
      <c r="AO77" s="188">
        <v>1.3</v>
      </c>
      <c r="AP77" s="191">
        <v>0.1</v>
      </c>
      <c r="AQ77" s="188">
        <v>0</v>
      </c>
      <c r="AR77" s="188">
        <v>0</v>
      </c>
      <c r="AS77" s="189">
        <v>0.9</v>
      </c>
      <c r="AT77" s="187">
        <v>0</v>
      </c>
      <c r="AU77" s="188">
        <v>0</v>
      </c>
      <c r="AV77" s="188">
        <v>0</v>
      </c>
      <c r="AW77" s="188">
        <v>0</v>
      </c>
      <c r="AX77" s="188">
        <v>0</v>
      </c>
      <c r="AY77" s="188">
        <v>0</v>
      </c>
      <c r="AZ77" s="211">
        <v>6.8</v>
      </c>
      <c r="BA77" s="212">
        <v>1.2</v>
      </c>
      <c r="BB77" s="213">
        <v>0.1</v>
      </c>
      <c r="BC77" s="212">
        <v>77.2</v>
      </c>
    </row>
    <row r="78" spans="23:62" x14ac:dyDescent="0.3">
      <c r="W78" s="179" t="s">
        <v>169</v>
      </c>
      <c r="X78" s="186">
        <v>2216</v>
      </c>
      <c r="Y78" s="181"/>
      <c r="Z78" s="187">
        <v>2.1</v>
      </c>
      <c r="AA78" s="188">
        <v>0.1</v>
      </c>
      <c r="AB78" s="188">
        <v>0.1</v>
      </c>
      <c r="AC78" s="188">
        <v>1.1000000000000001</v>
      </c>
      <c r="AD78" s="188">
        <v>0.2</v>
      </c>
      <c r="AE78" s="188">
        <v>4</v>
      </c>
      <c r="AF78" s="189">
        <v>2.4</v>
      </c>
      <c r="AG78" s="190">
        <v>0</v>
      </c>
      <c r="AH78" s="188">
        <v>0</v>
      </c>
      <c r="AI78" s="188">
        <v>0</v>
      </c>
      <c r="AJ78" s="188">
        <v>0</v>
      </c>
      <c r="AK78" s="188">
        <v>0</v>
      </c>
      <c r="AL78" s="188">
        <v>0.4</v>
      </c>
      <c r="AM78" s="188">
        <v>5.9</v>
      </c>
      <c r="AN78" s="188">
        <v>3.2</v>
      </c>
      <c r="AO78" s="188">
        <v>1.9</v>
      </c>
      <c r="AP78" s="191">
        <v>0.4</v>
      </c>
      <c r="AQ78" s="188">
        <v>0</v>
      </c>
      <c r="AR78" s="188">
        <v>0</v>
      </c>
      <c r="AS78" s="189">
        <v>0.5</v>
      </c>
      <c r="AT78" s="187"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211">
        <v>16.5</v>
      </c>
      <c r="BA78" s="212">
        <v>7.7</v>
      </c>
      <c r="BB78" s="213">
        <v>1.5</v>
      </c>
      <c r="BC78" s="212">
        <v>51.8</v>
      </c>
      <c r="BD78" s="274" t="s">
        <v>227</v>
      </c>
      <c r="BE78" s="535" t="s">
        <v>232</v>
      </c>
      <c r="BF78" s="535"/>
      <c r="BG78" s="535"/>
      <c r="BH78" s="535"/>
    </row>
    <row r="79" spans="23:62" x14ac:dyDescent="0.3">
      <c r="BE79" t="s">
        <v>228</v>
      </c>
      <c r="BF79" t="s">
        <v>229</v>
      </c>
      <c r="BG79" t="s">
        <v>230</v>
      </c>
      <c r="BH79" t="s">
        <v>231</v>
      </c>
    </row>
    <row r="80" spans="23:62" x14ac:dyDescent="0.3">
      <c r="W80" s="100" t="s">
        <v>69</v>
      </c>
      <c r="Z80" s="39">
        <f t="shared" ref="Z80:BB80" si="11">AVERAGE(Z63:Z72)</f>
        <v>2.0700000000000003</v>
      </c>
      <c r="AA80" s="39">
        <f t="shared" si="11"/>
        <v>0.1</v>
      </c>
      <c r="AB80" s="39">
        <f t="shared" si="11"/>
        <v>6.0000000000000012E-2</v>
      </c>
      <c r="AC80" s="39">
        <f t="shared" si="11"/>
        <v>1.0299999999999998</v>
      </c>
      <c r="AD80" s="39">
        <f t="shared" si="11"/>
        <v>0.32</v>
      </c>
      <c r="AE80" s="39">
        <f t="shared" si="11"/>
        <v>3.65</v>
      </c>
      <c r="AF80" s="39">
        <f t="shared" si="11"/>
        <v>1.77</v>
      </c>
      <c r="AG80" s="39">
        <f t="shared" si="11"/>
        <v>0</v>
      </c>
      <c r="AH80" s="39">
        <f t="shared" si="11"/>
        <v>0</v>
      </c>
      <c r="AI80" s="39">
        <f t="shared" si="11"/>
        <v>0.35</v>
      </c>
      <c r="AJ80" s="39">
        <f t="shared" si="11"/>
        <v>0</v>
      </c>
      <c r="AK80" s="39">
        <f t="shared" si="11"/>
        <v>0</v>
      </c>
      <c r="AL80" s="39">
        <f t="shared" si="11"/>
        <v>0.35</v>
      </c>
      <c r="AM80" s="39">
        <f t="shared" si="11"/>
        <v>4.83</v>
      </c>
      <c r="AN80" s="39">
        <f t="shared" si="11"/>
        <v>2.54</v>
      </c>
      <c r="AO80" s="39">
        <f t="shared" si="11"/>
        <v>1.41</v>
      </c>
      <c r="AP80" s="39">
        <f t="shared" si="11"/>
        <v>0.23000000000000004</v>
      </c>
      <c r="AQ80" s="39">
        <f t="shared" si="11"/>
        <v>0</v>
      </c>
      <c r="AR80" s="39">
        <f t="shared" si="11"/>
        <v>0</v>
      </c>
      <c r="AS80" s="39">
        <f t="shared" si="11"/>
        <v>0.78</v>
      </c>
      <c r="AT80" s="39">
        <f t="shared" si="11"/>
        <v>0</v>
      </c>
      <c r="AU80" s="39">
        <f t="shared" si="11"/>
        <v>0</v>
      </c>
      <c r="AV80" s="39">
        <f t="shared" si="11"/>
        <v>0</v>
      </c>
      <c r="AW80" s="39">
        <f t="shared" si="11"/>
        <v>0</v>
      </c>
      <c r="AX80" s="39">
        <f t="shared" si="11"/>
        <v>0</v>
      </c>
      <c r="AY80" s="39">
        <f t="shared" si="11"/>
        <v>0</v>
      </c>
      <c r="AZ80" s="39">
        <f t="shared" si="11"/>
        <v>12.799999999999999</v>
      </c>
      <c r="BA80" s="39">
        <f t="shared" si="11"/>
        <v>5.18</v>
      </c>
      <c r="BB80" s="39">
        <f t="shared" si="11"/>
        <v>0.87999999999999989</v>
      </c>
      <c r="BC80" s="39">
        <f>AVERAGE(BC63:BC72)</f>
        <v>61.650000000000013</v>
      </c>
      <c r="BD80" s="39">
        <f>100-BC80-BB80</f>
        <v>37.469999999999985</v>
      </c>
      <c r="BE80" s="204">
        <v>56.5</v>
      </c>
      <c r="BF80" s="204">
        <v>51.9</v>
      </c>
      <c r="BG80" s="204">
        <v>45.4</v>
      </c>
      <c r="BH80" s="204">
        <v>51.2</v>
      </c>
    </row>
    <row r="81" spans="23:55" x14ac:dyDescent="0.3">
      <c r="W81" s="125"/>
      <c r="X81" s="126" t="s">
        <v>143</v>
      </c>
      <c r="Y81" s="514" t="s">
        <v>83</v>
      </c>
      <c r="Z81" s="517" t="s">
        <v>144</v>
      </c>
      <c r="AA81" s="518"/>
      <c r="AB81" s="518"/>
      <c r="AC81" s="518"/>
      <c r="AD81" s="518"/>
      <c r="AE81" s="518"/>
      <c r="AF81" s="519"/>
      <c r="AG81" s="517" t="s">
        <v>145</v>
      </c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9"/>
      <c r="AT81" s="520" t="s">
        <v>146</v>
      </c>
      <c r="AU81" s="521"/>
      <c r="AV81" s="521"/>
      <c r="AW81" s="521"/>
      <c r="AX81" s="521"/>
      <c r="AY81" s="521"/>
      <c r="AZ81" s="521"/>
      <c r="BA81" s="522"/>
      <c r="BB81" s="509" t="s">
        <v>147</v>
      </c>
      <c r="BC81" s="510"/>
    </row>
    <row r="82" spans="23:55" x14ac:dyDescent="0.3">
      <c r="W82" s="127" t="s">
        <v>81</v>
      </c>
      <c r="X82" s="128" t="s">
        <v>82</v>
      </c>
      <c r="Y82" s="515"/>
      <c r="Z82" s="129"/>
      <c r="AA82" s="130" t="s">
        <v>84</v>
      </c>
      <c r="AB82" s="131"/>
      <c r="AC82" s="511" t="s">
        <v>85</v>
      </c>
      <c r="AD82" s="512"/>
      <c r="AE82" s="511" t="s">
        <v>86</v>
      </c>
      <c r="AF82" s="512"/>
      <c r="AG82" s="511" t="s">
        <v>148</v>
      </c>
      <c r="AH82" s="513"/>
      <c r="AI82" s="512"/>
      <c r="AJ82" s="511" t="s">
        <v>149</v>
      </c>
      <c r="AK82" s="513"/>
      <c r="AL82" s="512"/>
      <c r="AM82" s="526" t="s">
        <v>90</v>
      </c>
      <c r="AN82" s="527"/>
      <c r="AO82" s="526" t="s">
        <v>91</v>
      </c>
      <c r="AP82" s="527"/>
      <c r="AQ82" s="132" t="s">
        <v>150</v>
      </c>
      <c r="AR82" s="526" t="s">
        <v>151</v>
      </c>
      <c r="AS82" s="527"/>
      <c r="AT82" s="129"/>
      <c r="AU82" s="130" t="s">
        <v>84</v>
      </c>
      <c r="AV82" s="131"/>
      <c r="AW82" s="511" t="s">
        <v>89</v>
      </c>
      <c r="AX82" s="512"/>
      <c r="AY82" s="536" t="s">
        <v>152</v>
      </c>
      <c r="AZ82" s="537"/>
      <c r="BA82" s="538"/>
      <c r="BB82" s="530" t="s">
        <v>153</v>
      </c>
      <c r="BC82" s="530" t="s">
        <v>93</v>
      </c>
    </row>
    <row r="83" spans="23:55" x14ac:dyDescent="0.3">
      <c r="W83" s="133" t="s">
        <v>29</v>
      </c>
      <c r="X83" s="134" t="s">
        <v>154</v>
      </c>
      <c r="Y83" s="516"/>
      <c r="Z83" s="135" t="s">
        <v>155</v>
      </c>
      <c r="AA83" s="136" t="s">
        <v>156</v>
      </c>
      <c r="AB83" s="137" t="s">
        <v>157</v>
      </c>
      <c r="AC83" s="138" t="s">
        <v>155</v>
      </c>
      <c r="AD83" s="137" t="s">
        <v>157</v>
      </c>
      <c r="AE83" s="138" t="s">
        <v>155</v>
      </c>
      <c r="AF83" s="137" t="s">
        <v>157</v>
      </c>
      <c r="AG83" s="138" t="s">
        <v>155</v>
      </c>
      <c r="AH83" s="139" t="s">
        <v>156</v>
      </c>
      <c r="AI83" s="140" t="s">
        <v>157</v>
      </c>
      <c r="AJ83" s="135" t="s">
        <v>155</v>
      </c>
      <c r="AK83" s="139" t="s">
        <v>156</v>
      </c>
      <c r="AL83" s="140" t="s">
        <v>157</v>
      </c>
      <c r="AM83" s="138" t="s">
        <v>155</v>
      </c>
      <c r="AN83" s="137" t="s">
        <v>157</v>
      </c>
      <c r="AO83" s="138" t="s">
        <v>155</v>
      </c>
      <c r="AP83" s="141" t="s">
        <v>157</v>
      </c>
      <c r="AQ83" s="142" t="s">
        <v>156</v>
      </c>
      <c r="AR83" s="135" t="s">
        <v>156</v>
      </c>
      <c r="AS83" s="137" t="s">
        <v>157</v>
      </c>
      <c r="AT83" s="135" t="s">
        <v>155</v>
      </c>
      <c r="AU83" s="139" t="s">
        <v>156</v>
      </c>
      <c r="AV83" s="140" t="s">
        <v>157</v>
      </c>
      <c r="AW83" s="135" t="s">
        <v>156</v>
      </c>
      <c r="AX83" s="137" t="s">
        <v>157</v>
      </c>
      <c r="AY83" s="138" t="s">
        <v>155</v>
      </c>
      <c r="AZ83" s="193" t="s">
        <v>156</v>
      </c>
      <c r="BA83" s="194" t="s">
        <v>157</v>
      </c>
      <c r="BB83" s="531"/>
      <c r="BC83" s="531"/>
    </row>
    <row r="84" spans="23:55" x14ac:dyDescent="0.3">
      <c r="W84" s="100"/>
      <c r="X84" s="97"/>
      <c r="Y84" s="217"/>
      <c r="Z84" s="218"/>
      <c r="AA84" s="219"/>
      <c r="AB84" s="219"/>
      <c r="AC84" s="219"/>
      <c r="AD84" s="219"/>
      <c r="AE84" s="219"/>
      <c r="AF84" s="219"/>
      <c r="AG84" s="219"/>
      <c r="AH84" s="218"/>
      <c r="AI84" s="218"/>
      <c r="AJ84" s="218"/>
      <c r="AK84" s="218"/>
      <c r="AL84" s="218"/>
      <c r="AM84" s="219"/>
      <c r="AN84" s="219"/>
      <c r="AO84" s="219"/>
      <c r="AP84" s="220"/>
      <c r="AQ84" s="219"/>
      <c r="AR84" s="218"/>
      <c r="AS84" s="219"/>
      <c r="AT84" s="218"/>
      <c r="AU84" s="218"/>
      <c r="AV84" s="218"/>
      <c r="AW84" s="218"/>
      <c r="AX84" s="219"/>
      <c r="AY84" s="219"/>
      <c r="AZ84" s="221"/>
      <c r="BA84" s="221"/>
      <c r="BB84" s="222"/>
      <c r="BC84" s="222"/>
    </row>
    <row r="85" spans="23:55" x14ac:dyDescent="0.3">
      <c r="AA85" s="8" t="s">
        <v>178</v>
      </c>
      <c r="AB85" t="s">
        <v>189</v>
      </c>
      <c r="AC85" s="8" t="s">
        <v>179</v>
      </c>
    </row>
    <row r="86" spans="23:55" x14ac:dyDescent="0.3">
      <c r="Z86" s="114" t="s">
        <v>84</v>
      </c>
      <c r="AA86" s="223">
        <f>SUM(Z80:AB80)</f>
        <v>2.2300000000000004</v>
      </c>
      <c r="AC86" s="224">
        <f>SUM(Z31:AB31)</f>
        <v>0.21560000000000001</v>
      </c>
    </row>
    <row r="87" spans="23:55" x14ac:dyDescent="0.3">
      <c r="Z87" s="114" t="s">
        <v>170</v>
      </c>
      <c r="AA87" s="223">
        <f>SUM(AC80:AL80)</f>
        <v>7.4699999999999989</v>
      </c>
      <c r="AC87" s="224">
        <f>SUM(AC31:AK31)</f>
        <v>0.12749999999999997</v>
      </c>
    </row>
    <row r="88" spans="23:55" x14ac:dyDescent="0.3">
      <c r="Z88" s="114" t="s">
        <v>171</v>
      </c>
      <c r="AA88" s="223">
        <f>SUM(AM80:AS80)</f>
        <v>9.7899999999999991</v>
      </c>
      <c r="AC88" s="224">
        <f>SUM(AL31:AR31)</f>
        <v>1.83E-2</v>
      </c>
    </row>
    <row r="89" spans="23:55" x14ac:dyDescent="0.3">
      <c r="Z89" s="114" t="s">
        <v>172</v>
      </c>
      <c r="AA89" s="223">
        <f>AZ80</f>
        <v>12.799999999999999</v>
      </c>
      <c r="AC89" s="225">
        <f>AS31</f>
        <v>0.17780000000000001</v>
      </c>
    </row>
    <row r="90" spans="23:55" x14ac:dyDescent="0.3">
      <c r="Z90" s="114" t="s">
        <v>173</v>
      </c>
      <c r="AA90" s="223">
        <f>BA80</f>
        <v>5.18</v>
      </c>
      <c r="AC90" s="224">
        <f>AT31</f>
        <v>0.10769999999999999</v>
      </c>
    </row>
    <row r="91" spans="23:55" x14ac:dyDescent="0.3">
      <c r="AA91" s="39">
        <f>SUM(AA86:AA90)</f>
        <v>37.47</v>
      </c>
      <c r="AC91" s="226">
        <f>SUM(AC86:AC90)</f>
        <v>0.64689999999999992</v>
      </c>
    </row>
  </sheetData>
  <mergeCells count="49">
    <mergeCell ref="BE78:BH78"/>
    <mergeCell ref="BB82:BB83"/>
    <mergeCell ref="BC82:BC83"/>
    <mergeCell ref="AG81:AS81"/>
    <mergeCell ref="AT81:BA81"/>
    <mergeCell ref="BB81:BC81"/>
    <mergeCell ref="AO82:AP82"/>
    <mergeCell ref="AR82:AS82"/>
    <mergeCell ref="AG82:AI82"/>
    <mergeCell ref="AJ82:AL82"/>
    <mergeCell ref="AM82:AN82"/>
    <mergeCell ref="AW82:AX82"/>
    <mergeCell ref="AY82:BA82"/>
    <mergeCell ref="Z55:AB55"/>
    <mergeCell ref="Z56:AB56"/>
    <mergeCell ref="Z57:AB57"/>
    <mergeCell ref="Z58:AB58"/>
    <mergeCell ref="Y81:Y83"/>
    <mergeCell ref="Z81:AF81"/>
    <mergeCell ref="AC82:AD82"/>
    <mergeCell ref="AE82:AF82"/>
    <mergeCell ref="Z54:AB54"/>
    <mergeCell ref="BC35:BC36"/>
    <mergeCell ref="Z44:AB44"/>
    <mergeCell ref="Z45:AB45"/>
    <mergeCell ref="Z52:AB52"/>
    <mergeCell ref="AW35:AX35"/>
    <mergeCell ref="AY35:BA35"/>
    <mergeCell ref="BB35:BB36"/>
    <mergeCell ref="AS3:AT3"/>
    <mergeCell ref="AV3:AV4"/>
    <mergeCell ref="AM35:AN35"/>
    <mergeCell ref="AO35:AP35"/>
    <mergeCell ref="AR35:AS35"/>
    <mergeCell ref="AP3:AQ3"/>
    <mergeCell ref="BB34:BC34"/>
    <mergeCell ref="AC35:AD35"/>
    <mergeCell ref="AE35:AF35"/>
    <mergeCell ref="AG35:AI35"/>
    <mergeCell ref="Y34:Y36"/>
    <mergeCell ref="Z34:AF34"/>
    <mergeCell ref="AG34:AS34"/>
    <mergeCell ref="AT34:BA34"/>
    <mergeCell ref="AJ35:AL35"/>
    <mergeCell ref="AC3:AD3"/>
    <mergeCell ref="AE3:AF3"/>
    <mergeCell ref="AG3:AH3"/>
    <mergeCell ref="AL3:AM3"/>
    <mergeCell ref="AN3:AO3"/>
  </mergeCells>
  <pageMargins left="0.7" right="0.7" top="0.75" bottom="0.75" header="0.3" footer="0.3"/>
  <pageSetup orientation="portrait" r:id="rId1"/>
  <ignoredErrors>
    <ignoredError sqref="AX10:AX29 AZ10:AZ29 Z31:AV31 BE46:BE51 BE59:BE72 Z80:AN80" formulaRange="1"/>
    <ignoredError sqref="AW31" 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36"/>
  <sheetViews>
    <sheetView workbookViewId="0">
      <pane xSplit="2" ySplit="5" topLeftCell="C101" activePane="bottomRight" state="frozen"/>
      <selection pane="topRight" activeCell="C1" sqref="C1"/>
      <selection pane="bottomLeft" activeCell="A6" sqref="A6"/>
      <selection pane="bottomRight" activeCell="Q110" sqref="Q110:Q112"/>
    </sheetView>
  </sheetViews>
  <sheetFormatPr defaultColWidth="9.109375" defaultRowHeight="14.4" x14ac:dyDescent="0.3"/>
  <cols>
    <col min="2" max="2" width="35.33203125" customWidth="1"/>
    <col min="3" max="3" width="19.88671875" customWidth="1"/>
    <col min="4" max="4" width="13.44140625" customWidth="1"/>
    <col min="5" max="5" width="10.109375" customWidth="1"/>
    <col min="6" max="6" width="11.33203125" customWidth="1"/>
    <col min="7" max="7" width="10.6640625" style="11" customWidth="1"/>
    <col min="8" max="8" width="16" style="11" customWidth="1"/>
    <col min="9" max="9" width="12.5546875" customWidth="1"/>
    <col min="10" max="10" width="11.44140625" customWidth="1"/>
    <col min="11" max="11" width="9.88671875" customWidth="1"/>
    <col min="13" max="13" width="12.5546875" customWidth="1"/>
    <col min="15" max="15" width="11.44140625" bestFit="1" customWidth="1"/>
  </cols>
  <sheetData>
    <row r="1" spans="1:18" s="29" customFormat="1" ht="18" x14ac:dyDescent="0.35">
      <c r="A1" s="3" t="str">
        <f>Summary!B1</f>
        <v>Snake River Fall Chinook</v>
      </c>
      <c r="B1" s="1"/>
      <c r="C1" s="3"/>
      <c r="D1" s="1"/>
      <c r="E1" s="1"/>
      <c r="F1" s="1"/>
      <c r="G1" s="24"/>
      <c r="H1" s="24"/>
      <c r="I1" s="1"/>
      <c r="J1" s="1"/>
    </row>
    <row r="2" spans="1:18" s="29" customFormat="1" x14ac:dyDescent="0.3">
      <c r="A2" s="1" t="s">
        <v>27</v>
      </c>
      <c r="B2" s="1"/>
      <c r="C2" s="1"/>
      <c r="D2" s="1"/>
      <c r="E2" s="1"/>
      <c r="F2" s="1"/>
      <c r="G2" s="24"/>
      <c r="H2" s="24"/>
      <c r="I2" s="1"/>
      <c r="J2" s="1"/>
    </row>
    <row r="3" spans="1:18" s="7" customFormat="1" x14ac:dyDescent="0.3">
      <c r="A3" s="15"/>
      <c r="B3" s="15"/>
      <c r="C3" s="15"/>
      <c r="D3" s="15"/>
      <c r="E3" s="12" t="s">
        <v>20</v>
      </c>
      <c r="F3" s="16"/>
      <c r="G3" s="27" t="s">
        <v>10</v>
      </c>
      <c r="H3" s="27"/>
      <c r="I3" s="12"/>
      <c r="J3" s="12"/>
    </row>
    <row r="4" spans="1:18" s="7" customFormat="1" x14ac:dyDescent="0.3">
      <c r="A4" s="17" t="s">
        <v>6</v>
      </c>
      <c r="B4" s="17" t="s">
        <v>32</v>
      </c>
      <c r="C4" s="17" t="s">
        <v>33</v>
      </c>
      <c r="D4" s="17"/>
      <c r="E4" s="13" t="s">
        <v>3</v>
      </c>
      <c r="F4" s="13" t="s">
        <v>4</v>
      </c>
      <c r="G4" s="28" t="s">
        <v>24</v>
      </c>
      <c r="H4" s="28" t="s">
        <v>24</v>
      </c>
      <c r="I4" s="13" t="s">
        <v>25</v>
      </c>
      <c r="J4" s="13" t="s">
        <v>26</v>
      </c>
      <c r="L4" s="48" t="s">
        <v>48</v>
      </c>
      <c r="M4" s="7" t="s">
        <v>49</v>
      </c>
      <c r="N4" s="7" t="s">
        <v>50</v>
      </c>
      <c r="O4" s="7" t="s">
        <v>57</v>
      </c>
      <c r="R4" s="7" t="s">
        <v>44</v>
      </c>
    </row>
    <row r="5" spans="1:18" s="7" customFormat="1" x14ac:dyDescent="0.3">
      <c r="A5" s="17"/>
      <c r="B5" s="17"/>
      <c r="C5" s="17"/>
      <c r="D5" s="17"/>
      <c r="E5" s="13" t="s">
        <v>42</v>
      </c>
      <c r="F5" s="13" t="s">
        <v>43</v>
      </c>
      <c r="G5" s="28" t="s">
        <v>34</v>
      </c>
      <c r="H5" s="28"/>
      <c r="I5" s="13"/>
      <c r="J5" s="13"/>
    </row>
    <row r="6" spans="1:18" x14ac:dyDescent="0.3">
      <c r="A6" t="s">
        <v>31</v>
      </c>
      <c r="C6" s="46"/>
      <c r="D6" s="46"/>
      <c r="E6" s="11"/>
      <c r="F6" s="11"/>
    </row>
    <row r="7" spans="1:18" x14ac:dyDescent="0.3">
      <c r="C7" s="47"/>
      <c r="D7" s="8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</row>
    <row r="8" spans="1:18" x14ac:dyDescent="0.3">
      <c r="C8" s="46"/>
      <c r="D8" s="46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</row>
    <row r="9" spans="1:18" x14ac:dyDescent="0.3">
      <c r="C9" s="47"/>
      <c r="D9" s="8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</row>
    <row r="10" spans="1:18" x14ac:dyDescent="0.3">
      <c r="C10" s="23"/>
      <c r="D10" s="8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</row>
    <row r="11" spans="1:18" s="30" customFormat="1" x14ac:dyDescent="0.3"/>
    <row r="12" spans="1:18" x14ac:dyDescent="0.3"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</row>
    <row r="13" spans="1:18" x14ac:dyDescent="0.3">
      <c r="A13" t="s">
        <v>26</v>
      </c>
      <c r="C13" s="46"/>
      <c r="D13" s="46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</row>
    <row r="14" spans="1:18" x14ac:dyDescent="0.3">
      <c r="C14" s="47"/>
      <c r="D14" s="8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</row>
    <row r="15" spans="1:18" x14ac:dyDescent="0.3">
      <c r="C15" s="46"/>
      <c r="D15" s="46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</row>
    <row r="16" spans="1:18" x14ac:dyDescent="0.3">
      <c r="C16" s="47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</row>
    <row r="17" spans="2:17" x14ac:dyDescent="0.3">
      <c r="C17" s="46"/>
      <c r="D17" s="46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</row>
    <row r="18" spans="2:17" x14ac:dyDescent="0.3">
      <c r="C18" s="46"/>
      <c r="D18" s="46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</row>
    <row r="19" spans="2:17" x14ac:dyDescent="0.3">
      <c r="C19" s="47"/>
      <c r="D19" s="8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</row>
    <row r="20" spans="2:17" x14ac:dyDescent="0.3">
      <c r="C20" s="47"/>
      <c r="D20" s="8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</row>
    <row r="21" spans="2:17" x14ac:dyDescent="0.3">
      <c r="B21" t="s">
        <v>63</v>
      </c>
      <c r="C21" s="47"/>
      <c r="D21" s="8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</row>
    <row r="23" spans="2:17" x14ac:dyDescent="0.3">
      <c r="G23"/>
      <c r="H23"/>
    </row>
    <row r="24" spans="2:17" x14ac:dyDescent="0.3">
      <c r="B24" s="253" t="s">
        <v>199</v>
      </c>
      <c r="C24" s="253" t="s">
        <v>200</v>
      </c>
      <c r="G24"/>
      <c r="H24"/>
    </row>
    <row r="25" spans="2:17" x14ac:dyDescent="0.3">
      <c r="B25" s="253" t="s">
        <v>201</v>
      </c>
      <c r="C25">
        <v>2008</v>
      </c>
      <c r="D25">
        <v>2009</v>
      </c>
      <c r="E25">
        <v>2010</v>
      </c>
      <c r="F25">
        <v>2011</v>
      </c>
      <c r="G25">
        <v>2012</v>
      </c>
      <c r="H25">
        <v>2013</v>
      </c>
      <c r="I25">
        <v>2014</v>
      </c>
      <c r="J25">
        <v>2015</v>
      </c>
      <c r="K25">
        <v>2016</v>
      </c>
      <c r="L25">
        <v>2017</v>
      </c>
      <c r="M25" t="s">
        <v>60</v>
      </c>
    </row>
    <row r="26" spans="2:17" x14ac:dyDescent="0.3">
      <c r="B26" s="251" t="s">
        <v>202</v>
      </c>
      <c r="G26">
        <v>277817</v>
      </c>
      <c r="H26"/>
      <c r="M26">
        <v>277817</v>
      </c>
    </row>
    <row r="27" spans="2:17" x14ac:dyDescent="0.3">
      <c r="B27" s="252" t="s">
        <v>203</v>
      </c>
      <c r="G27">
        <v>277817</v>
      </c>
      <c r="H27"/>
      <c r="M27">
        <v>277817</v>
      </c>
    </row>
    <row r="28" spans="2:17" x14ac:dyDescent="0.3">
      <c r="B28" s="251" t="s">
        <v>204</v>
      </c>
      <c r="C28">
        <v>303270</v>
      </c>
      <c r="D28">
        <v>441050</v>
      </c>
      <c r="E28">
        <v>386840</v>
      </c>
      <c r="F28">
        <v>1038400</v>
      </c>
      <c r="G28">
        <v>1184400</v>
      </c>
      <c r="H28">
        <v>1281019</v>
      </c>
      <c r="I28">
        <v>1315540</v>
      </c>
      <c r="J28">
        <v>1502367</v>
      </c>
      <c r="K28">
        <v>1471074</v>
      </c>
      <c r="L28">
        <v>1424393</v>
      </c>
      <c r="M28">
        <v>10348353</v>
      </c>
    </row>
    <row r="29" spans="2:17" x14ac:dyDescent="0.3">
      <c r="B29" s="252" t="s">
        <v>205</v>
      </c>
      <c r="C29">
        <v>303270</v>
      </c>
      <c r="D29">
        <v>441050</v>
      </c>
      <c r="E29">
        <v>386840</v>
      </c>
      <c r="F29">
        <v>399500</v>
      </c>
      <c r="G29">
        <v>384000</v>
      </c>
      <c r="H29">
        <v>401273</v>
      </c>
      <c r="I29">
        <v>403926</v>
      </c>
      <c r="J29">
        <v>456100</v>
      </c>
      <c r="K29">
        <v>429889</v>
      </c>
      <c r="L29">
        <v>424393</v>
      </c>
      <c r="M29">
        <v>4030241</v>
      </c>
    </row>
    <row r="30" spans="2:17" x14ac:dyDescent="0.3">
      <c r="B30" s="252" t="s">
        <v>206</v>
      </c>
      <c r="F30">
        <v>638900</v>
      </c>
      <c r="G30">
        <v>800400</v>
      </c>
      <c r="H30">
        <v>879746</v>
      </c>
      <c r="I30">
        <v>911614</v>
      </c>
      <c r="J30">
        <v>1046267</v>
      </c>
      <c r="K30">
        <v>1041185</v>
      </c>
      <c r="L30">
        <v>1000000</v>
      </c>
      <c r="M30">
        <v>6318112</v>
      </c>
    </row>
    <row r="31" spans="2:17" x14ac:dyDescent="0.3">
      <c r="B31" s="251" t="s">
        <v>182</v>
      </c>
      <c r="C31">
        <v>3098580</v>
      </c>
      <c r="D31">
        <v>3229649</v>
      </c>
      <c r="E31">
        <v>3100720</v>
      </c>
      <c r="F31">
        <v>3100045</v>
      </c>
      <c r="G31">
        <v>3123660</v>
      </c>
      <c r="H31">
        <v>2791352</v>
      </c>
      <c r="I31">
        <v>2836081</v>
      </c>
      <c r="J31">
        <v>2837681</v>
      </c>
      <c r="K31">
        <v>2768415</v>
      </c>
      <c r="L31">
        <v>3121886</v>
      </c>
      <c r="M31">
        <v>30008069</v>
      </c>
      <c r="O31" s="11">
        <f>AVERAGE(H31:L31)</f>
        <v>2871083</v>
      </c>
    </row>
    <row r="32" spans="2:17" x14ac:dyDescent="0.3">
      <c r="B32" s="252" t="s">
        <v>207</v>
      </c>
      <c r="C32">
        <v>785229</v>
      </c>
      <c r="D32">
        <v>719957</v>
      </c>
      <c r="E32">
        <v>778952</v>
      </c>
      <c r="F32">
        <v>780302</v>
      </c>
      <c r="G32">
        <v>772257</v>
      </c>
      <c r="H32">
        <v>661204</v>
      </c>
      <c r="I32">
        <v>689240</v>
      </c>
      <c r="J32">
        <v>702371</v>
      </c>
      <c r="K32">
        <v>654190</v>
      </c>
      <c r="L32">
        <v>650000</v>
      </c>
      <c r="M32">
        <v>7193702</v>
      </c>
    </row>
    <row r="33" spans="2:13" x14ac:dyDescent="0.3">
      <c r="B33" s="252" t="s">
        <v>208</v>
      </c>
      <c r="C33">
        <v>432770</v>
      </c>
      <c r="D33">
        <v>438485</v>
      </c>
      <c r="E33">
        <v>398654</v>
      </c>
      <c r="F33">
        <v>403054</v>
      </c>
      <c r="G33">
        <v>426119</v>
      </c>
      <c r="H33">
        <v>205300</v>
      </c>
      <c r="M33">
        <v>2304382</v>
      </c>
    </row>
    <row r="34" spans="2:13" x14ac:dyDescent="0.3">
      <c r="B34" s="252" t="s">
        <v>209</v>
      </c>
      <c r="C34">
        <v>666426</v>
      </c>
      <c r="D34">
        <v>665694</v>
      </c>
      <c r="E34">
        <v>683414</v>
      </c>
      <c r="F34">
        <v>671066</v>
      </c>
      <c r="G34">
        <v>660862</v>
      </c>
      <c r="H34">
        <v>662809</v>
      </c>
      <c r="I34">
        <v>866862</v>
      </c>
      <c r="J34">
        <v>910094</v>
      </c>
      <c r="K34">
        <v>872918</v>
      </c>
      <c r="L34">
        <v>850000</v>
      </c>
      <c r="M34">
        <v>7510145</v>
      </c>
    </row>
    <row r="35" spans="2:13" x14ac:dyDescent="0.3">
      <c r="B35" s="252" t="s">
        <v>205</v>
      </c>
      <c r="D35">
        <v>181400</v>
      </c>
      <c r="G35"/>
      <c r="H35"/>
      <c r="M35">
        <v>181400</v>
      </c>
    </row>
    <row r="36" spans="2:13" x14ac:dyDescent="0.3">
      <c r="B36" s="252" t="s">
        <v>182</v>
      </c>
      <c r="C36">
        <v>660366</v>
      </c>
      <c r="D36">
        <v>655847</v>
      </c>
      <c r="E36">
        <v>681180</v>
      </c>
      <c r="F36">
        <v>665929</v>
      </c>
      <c r="G36">
        <v>690900</v>
      </c>
      <c r="H36">
        <v>701100</v>
      </c>
      <c r="I36">
        <v>713245</v>
      </c>
      <c r="J36">
        <v>671730</v>
      </c>
      <c r="K36">
        <v>689637</v>
      </c>
      <c r="L36">
        <v>971886</v>
      </c>
      <c r="M36">
        <v>7101820</v>
      </c>
    </row>
    <row r="37" spans="2:13" x14ac:dyDescent="0.3">
      <c r="B37" s="252" t="s">
        <v>210</v>
      </c>
      <c r="C37">
        <v>553789</v>
      </c>
      <c r="D37">
        <v>568266</v>
      </c>
      <c r="E37">
        <v>558520</v>
      </c>
      <c r="F37">
        <v>579694</v>
      </c>
      <c r="G37">
        <v>573522</v>
      </c>
      <c r="H37">
        <v>560939</v>
      </c>
      <c r="I37">
        <v>566734</v>
      </c>
      <c r="J37">
        <v>553486</v>
      </c>
      <c r="K37">
        <v>551670</v>
      </c>
      <c r="L37">
        <v>550000</v>
      </c>
      <c r="M37">
        <v>5616620</v>
      </c>
    </row>
    <row r="38" spans="2:13" x14ac:dyDescent="0.3">
      <c r="B38" s="252" t="s">
        <v>211</v>
      </c>
      <c r="G38"/>
      <c r="H38"/>
      <c r="L38">
        <v>100000</v>
      </c>
      <c r="M38">
        <v>100000</v>
      </c>
    </row>
    <row r="39" spans="2:13" x14ac:dyDescent="0.3">
      <c r="B39" s="251" t="s">
        <v>181</v>
      </c>
      <c r="C39">
        <v>865222</v>
      </c>
      <c r="D39">
        <v>1534360</v>
      </c>
      <c r="E39">
        <v>1390328</v>
      </c>
      <c r="F39">
        <v>1735906</v>
      </c>
      <c r="G39">
        <v>1282188</v>
      </c>
      <c r="H39">
        <v>1600324</v>
      </c>
      <c r="I39">
        <v>1450006</v>
      </c>
      <c r="J39">
        <v>2103772</v>
      </c>
      <c r="K39">
        <v>1412293</v>
      </c>
      <c r="L39">
        <v>1412000</v>
      </c>
      <c r="M39">
        <v>14786399</v>
      </c>
    </row>
    <row r="40" spans="2:13" x14ac:dyDescent="0.3">
      <c r="B40" s="252" t="s">
        <v>212</v>
      </c>
      <c r="C40">
        <v>100294</v>
      </c>
      <c r="D40">
        <v>200098</v>
      </c>
      <c r="E40">
        <v>188411</v>
      </c>
      <c r="F40">
        <v>205556</v>
      </c>
      <c r="G40">
        <v>199450</v>
      </c>
      <c r="H40">
        <v>213864</v>
      </c>
      <c r="I40">
        <v>252889</v>
      </c>
      <c r="J40">
        <v>322515</v>
      </c>
      <c r="K40">
        <v>229030</v>
      </c>
      <c r="L40">
        <v>225000</v>
      </c>
      <c r="M40">
        <v>2137107</v>
      </c>
    </row>
    <row r="41" spans="2:13" x14ac:dyDescent="0.3">
      <c r="B41" s="252" t="s">
        <v>213</v>
      </c>
      <c r="D41">
        <v>495569</v>
      </c>
      <c r="G41"/>
      <c r="H41"/>
      <c r="M41">
        <v>495569</v>
      </c>
    </row>
    <row r="42" spans="2:13" x14ac:dyDescent="0.3">
      <c r="B42" s="252" t="s">
        <v>203</v>
      </c>
      <c r="C42">
        <v>168623</v>
      </c>
      <c r="E42">
        <v>465949</v>
      </c>
      <c r="F42">
        <v>509520</v>
      </c>
      <c r="G42">
        <v>285396</v>
      </c>
      <c r="H42">
        <v>495537</v>
      </c>
      <c r="M42">
        <v>1925025</v>
      </c>
    </row>
    <row r="43" spans="2:13" x14ac:dyDescent="0.3">
      <c r="B43" s="252" t="s">
        <v>214</v>
      </c>
      <c r="C43">
        <v>100368</v>
      </c>
      <c r="D43">
        <v>209878</v>
      </c>
      <c r="E43">
        <v>198969</v>
      </c>
      <c r="F43">
        <v>207482</v>
      </c>
      <c r="G43">
        <v>198856</v>
      </c>
      <c r="H43">
        <v>204330</v>
      </c>
      <c r="I43">
        <v>255283</v>
      </c>
      <c r="J43">
        <v>323512</v>
      </c>
      <c r="K43">
        <v>224191</v>
      </c>
      <c r="L43">
        <v>225000</v>
      </c>
      <c r="M43">
        <v>2147869</v>
      </c>
    </row>
    <row r="44" spans="2:13" x14ac:dyDescent="0.3">
      <c r="B44" s="252" t="s">
        <v>181</v>
      </c>
      <c r="C44">
        <v>495937</v>
      </c>
      <c r="D44">
        <v>628815</v>
      </c>
      <c r="E44">
        <v>536999</v>
      </c>
      <c r="F44">
        <v>813348</v>
      </c>
      <c r="G44">
        <v>598486</v>
      </c>
      <c r="H44">
        <v>686593</v>
      </c>
      <c r="I44">
        <v>526278</v>
      </c>
      <c r="J44">
        <v>1457745</v>
      </c>
      <c r="K44">
        <v>959072</v>
      </c>
      <c r="L44">
        <v>962000</v>
      </c>
      <c r="M44">
        <v>7665273</v>
      </c>
    </row>
    <row r="45" spans="2:13" x14ac:dyDescent="0.3">
      <c r="B45" s="252" t="s">
        <v>215</v>
      </c>
      <c r="G45"/>
      <c r="H45"/>
      <c r="I45">
        <v>415556</v>
      </c>
      <c r="M45">
        <v>415556</v>
      </c>
    </row>
    <row r="46" spans="2:13" x14ac:dyDescent="0.3">
      <c r="B46" s="251" t="s">
        <v>216</v>
      </c>
      <c r="C46">
        <v>192471</v>
      </c>
      <c r="D46">
        <v>202839</v>
      </c>
      <c r="E46">
        <v>192801</v>
      </c>
      <c r="F46">
        <v>194809</v>
      </c>
      <c r="G46">
        <v>202281</v>
      </c>
      <c r="H46"/>
      <c r="M46">
        <v>985201</v>
      </c>
    </row>
    <row r="47" spans="2:13" x14ac:dyDescent="0.3">
      <c r="B47" s="252" t="s">
        <v>206</v>
      </c>
      <c r="C47">
        <v>192471</v>
      </c>
      <c r="D47">
        <v>202839</v>
      </c>
      <c r="E47">
        <v>192801</v>
      </c>
      <c r="F47">
        <v>194809</v>
      </c>
      <c r="G47">
        <v>202281</v>
      </c>
      <c r="H47"/>
      <c r="M47">
        <v>985201</v>
      </c>
    </row>
    <row r="48" spans="2:13" x14ac:dyDescent="0.3">
      <c r="B48" s="251" t="s">
        <v>217</v>
      </c>
      <c r="C48">
        <v>770350</v>
      </c>
      <c r="D48">
        <v>803485</v>
      </c>
      <c r="E48">
        <v>685735</v>
      </c>
      <c r="G48"/>
      <c r="H48"/>
      <c r="M48">
        <v>2259570</v>
      </c>
    </row>
    <row r="49" spans="2:14" x14ac:dyDescent="0.3">
      <c r="B49" s="252" t="s">
        <v>206</v>
      </c>
      <c r="C49">
        <v>770350</v>
      </c>
      <c r="D49">
        <v>803485</v>
      </c>
      <c r="E49">
        <v>685735</v>
      </c>
      <c r="G49"/>
      <c r="H49"/>
      <c r="M49">
        <v>2259570</v>
      </c>
    </row>
    <row r="50" spans="2:14" x14ac:dyDescent="0.3">
      <c r="B50" s="251" t="s">
        <v>60</v>
      </c>
      <c r="C50">
        <v>5229893</v>
      </c>
      <c r="D50">
        <v>6211383</v>
      </c>
      <c r="E50">
        <v>5756424</v>
      </c>
      <c r="F50">
        <v>6069160</v>
      </c>
      <c r="G50">
        <v>6070346</v>
      </c>
      <c r="H50">
        <v>5672695</v>
      </c>
      <c r="I50">
        <v>5601627</v>
      </c>
      <c r="J50">
        <v>6443820</v>
      </c>
      <c r="K50">
        <v>5651782</v>
      </c>
      <c r="L50">
        <v>5958279</v>
      </c>
      <c r="M50">
        <v>58665409</v>
      </c>
    </row>
    <row r="51" spans="2:14" x14ac:dyDescent="0.3">
      <c r="G51"/>
      <c r="H51"/>
    </row>
    <row r="52" spans="2:14" x14ac:dyDescent="0.3">
      <c r="G52"/>
      <c r="H52"/>
    </row>
    <row r="53" spans="2:14" x14ac:dyDescent="0.3">
      <c r="B53" s="62" t="s">
        <v>182</v>
      </c>
      <c r="C53" s="11">
        <f>C31</f>
        <v>3098580</v>
      </c>
      <c r="D53" s="11">
        <f t="shared" ref="D53:M53" si="0">D31</f>
        <v>3229649</v>
      </c>
      <c r="E53" s="11">
        <f t="shared" si="0"/>
        <v>3100720</v>
      </c>
      <c r="F53" s="11">
        <f t="shared" si="0"/>
        <v>3100045</v>
      </c>
      <c r="G53" s="11">
        <f t="shared" si="0"/>
        <v>3123660</v>
      </c>
      <c r="H53" s="11">
        <f t="shared" si="0"/>
        <v>2791352</v>
      </c>
      <c r="I53" s="11">
        <f t="shared" si="0"/>
        <v>2836081</v>
      </c>
      <c r="J53" s="11">
        <f t="shared" si="0"/>
        <v>2837681</v>
      </c>
      <c r="K53" s="11">
        <f t="shared" si="0"/>
        <v>2768415</v>
      </c>
      <c r="L53" s="11">
        <f t="shared" si="0"/>
        <v>3121886</v>
      </c>
      <c r="M53" s="11">
        <f t="shared" si="0"/>
        <v>30008069</v>
      </c>
      <c r="N53" s="11">
        <f>M53/10</f>
        <v>3000806.9</v>
      </c>
    </row>
    <row r="54" spans="2:14" x14ac:dyDescent="0.3">
      <c r="B54" s="62" t="s">
        <v>181</v>
      </c>
      <c r="C54" s="11">
        <f>C39+C26</f>
        <v>865222</v>
      </c>
      <c r="D54" s="11">
        <f t="shared" ref="D54:M54" si="1">D39+D26</f>
        <v>1534360</v>
      </c>
      <c r="E54" s="11">
        <f t="shared" si="1"/>
        <v>1390328</v>
      </c>
      <c r="F54" s="11">
        <f t="shared" si="1"/>
        <v>1735906</v>
      </c>
      <c r="G54" s="11">
        <f t="shared" si="1"/>
        <v>1560005</v>
      </c>
      <c r="H54" s="11">
        <f t="shared" si="1"/>
        <v>1600324</v>
      </c>
      <c r="I54" s="11">
        <f t="shared" si="1"/>
        <v>1450006</v>
      </c>
      <c r="J54" s="11">
        <f t="shared" si="1"/>
        <v>2103772</v>
      </c>
      <c r="K54" s="11">
        <f t="shared" si="1"/>
        <v>1412293</v>
      </c>
      <c r="L54" s="11">
        <f t="shared" si="1"/>
        <v>1412000</v>
      </c>
      <c r="M54" s="11">
        <f t="shared" si="1"/>
        <v>15064216</v>
      </c>
      <c r="N54" s="11">
        <f t="shared" ref="N54:N56" si="2">M54/10</f>
        <v>1506421.6</v>
      </c>
    </row>
    <row r="55" spans="2:14" x14ac:dyDescent="0.3">
      <c r="B55" s="62" t="s">
        <v>198</v>
      </c>
      <c r="C55" s="11">
        <f>C28+C46+C48</f>
        <v>1266091</v>
      </c>
      <c r="D55" s="11">
        <f t="shared" ref="D55:M55" si="3">D28+D46+D48</f>
        <v>1447374</v>
      </c>
      <c r="E55" s="11">
        <f t="shared" si="3"/>
        <v>1265376</v>
      </c>
      <c r="F55" s="11">
        <f t="shared" si="3"/>
        <v>1233209</v>
      </c>
      <c r="G55" s="11">
        <f t="shared" si="3"/>
        <v>1386681</v>
      </c>
      <c r="H55" s="11">
        <f t="shared" si="3"/>
        <v>1281019</v>
      </c>
      <c r="I55" s="11">
        <f t="shared" si="3"/>
        <v>1315540</v>
      </c>
      <c r="J55" s="11">
        <f t="shared" si="3"/>
        <v>1502367</v>
      </c>
      <c r="K55" s="11">
        <f t="shared" si="3"/>
        <v>1471074</v>
      </c>
      <c r="L55" s="11">
        <f t="shared" si="3"/>
        <v>1424393</v>
      </c>
      <c r="M55" s="11">
        <f t="shared" si="3"/>
        <v>13593124</v>
      </c>
      <c r="N55" s="11">
        <f t="shared" si="2"/>
        <v>1359312.4</v>
      </c>
    </row>
    <row r="56" spans="2:14" x14ac:dyDescent="0.3">
      <c r="B56" t="s">
        <v>22</v>
      </c>
      <c r="C56" s="11">
        <f>SUM(C53:C55)</f>
        <v>5229893</v>
      </c>
      <c r="D56" s="11">
        <f t="shared" ref="D56:M56" si="4">SUM(D53:D55)</f>
        <v>6211383</v>
      </c>
      <c r="E56" s="11">
        <f t="shared" si="4"/>
        <v>5756424</v>
      </c>
      <c r="F56" s="11">
        <f t="shared" si="4"/>
        <v>6069160</v>
      </c>
      <c r="G56" s="11">
        <f t="shared" si="4"/>
        <v>6070346</v>
      </c>
      <c r="H56" s="11">
        <f t="shared" si="4"/>
        <v>5672695</v>
      </c>
      <c r="I56" s="11">
        <f t="shared" si="4"/>
        <v>5601627</v>
      </c>
      <c r="J56" s="11">
        <f t="shared" si="4"/>
        <v>6443820</v>
      </c>
      <c r="K56" s="11">
        <f t="shared" si="4"/>
        <v>5651782</v>
      </c>
      <c r="L56" s="11">
        <f t="shared" si="4"/>
        <v>5958279</v>
      </c>
      <c r="M56" s="11">
        <f t="shared" si="4"/>
        <v>58665409</v>
      </c>
      <c r="N56" s="11">
        <f t="shared" si="2"/>
        <v>5866540.9000000004</v>
      </c>
    </row>
    <row r="59" spans="2:14" x14ac:dyDescent="0.3">
      <c r="B59" t="s">
        <v>411</v>
      </c>
      <c r="C59" t="s">
        <v>412</v>
      </c>
    </row>
    <row r="60" spans="2:14" x14ac:dyDescent="0.3">
      <c r="B60" t="s">
        <v>413</v>
      </c>
      <c r="C60" t="s">
        <v>414</v>
      </c>
    </row>
    <row r="62" spans="2:14" x14ac:dyDescent="0.3">
      <c r="B62" t="s">
        <v>199</v>
      </c>
      <c r="C62" t="s">
        <v>200</v>
      </c>
    </row>
    <row r="63" spans="2:14" x14ac:dyDescent="0.3">
      <c r="B63" t="s">
        <v>201</v>
      </c>
      <c r="C63">
        <v>2015</v>
      </c>
      <c r="D63">
        <v>2016</v>
      </c>
      <c r="E63">
        <v>2017</v>
      </c>
      <c r="F63">
        <v>2018</v>
      </c>
      <c r="G63" s="11">
        <v>2019</v>
      </c>
      <c r="H63" s="11">
        <v>2020</v>
      </c>
      <c r="I63" t="s">
        <v>60</v>
      </c>
      <c r="M63" t="s">
        <v>416</v>
      </c>
    </row>
    <row r="64" spans="2:14" s="7" customFormat="1" x14ac:dyDescent="0.3">
      <c r="B64" s="7" t="s">
        <v>204</v>
      </c>
      <c r="C64" s="103">
        <v>1502367</v>
      </c>
      <c r="D64" s="103">
        <v>1471074</v>
      </c>
      <c r="E64" s="103">
        <v>1461829</v>
      </c>
      <c r="F64" s="103">
        <v>1463606</v>
      </c>
      <c r="G64" s="103">
        <v>1268397</v>
      </c>
      <c r="H64" s="103">
        <v>2200000</v>
      </c>
      <c r="I64" s="103">
        <v>9367273</v>
      </c>
      <c r="J64" s="103"/>
      <c r="K64" s="103">
        <v>1433454.6</v>
      </c>
      <c r="M64" s="103">
        <v>1000000</v>
      </c>
    </row>
    <row r="65" spans="2:11" x14ac:dyDescent="0.3">
      <c r="B65" t="s">
        <v>205</v>
      </c>
      <c r="C65" s="11">
        <v>456100</v>
      </c>
      <c r="D65" s="11">
        <v>429889</v>
      </c>
      <c r="E65" s="11">
        <v>424393</v>
      </c>
      <c r="F65" s="11">
        <v>417821</v>
      </c>
      <c r="G65" s="11">
        <v>211904</v>
      </c>
      <c r="H65" s="11">
        <v>200000</v>
      </c>
      <c r="I65" s="11">
        <v>2140107</v>
      </c>
      <c r="J65" s="11"/>
      <c r="K65" s="11"/>
    </row>
    <row r="66" spans="2:11" x14ac:dyDescent="0.3">
      <c r="B66" t="s">
        <v>415</v>
      </c>
      <c r="C66" s="11"/>
      <c r="D66" s="11"/>
      <c r="E66" s="11"/>
      <c r="F66" s="11">
        <v>1045785</v>
      </c>
      <c r="G66" s="11">
        <v>1056493</v>
      </c>
      <c r="H66" s="11">
        <v>1000000</v>
      </c>
      <c r="I66" s="11">
        <v>3102278</v>
      </c>
      <c r="J66" s="11"/>
      <c r="K66" s="11"/>
    </row>
    <row r="67" spans="2:11" x14ac:dyDescent="0.3">
      <c r="B67" t="s">
        <v>206</v>
      </c>
      <c r="C67" s="11">
        <v>1046267</v>
      </c>
      <c r="D67" s="11">
        <v>1041185</v>
      </c>
      <c r="E67" s="11">
        <v>1037436</v>
      </c>
      <c r="F67" s="11"/>
      <c r="H67" s="11">
        <v>1000000</v>
      </c>
      <c r="I67" s="11">
        <v>4124888</v>
      </c>
      <c r="J67" s="11"/>
      <c r="K67" s="11"/>
    </row>
    <row r="68" spans="2:11" s="7" customFormat="1" x14ac:dyDescent="0.3">
      <c r="B68" s="7" t="s">
        <v>182</v>
      </c>
      <c r="C68" s="103">
        <v>2837681</v>
      </c>
      <c r="D68" s="103">
        <v>2768415</v>
      </c>
      <c r="E68" s="103">
        <v>3004051</v>
      </c>
      <c r="F68" s="103">
        <v>2806157</v>
      </c>
      <c r="G68" s="103">
        <v>4101089</v>
      </c>
      <c r="H68" s="103">
        <v>2600000</v>
      </c>
      <c r="I68" s="103">
        <v>18117393</v>
      </c>
      <c r="J68" s="103"/>
      <c r="K68" s="103">
        <v>3103478.6</v>
      </c>
    </row>
    <row r="69" spans="2:11" x14ac:dyDescent="0.3">
      <c r="B69" t="s">
        <v>207</v>
      </c>
      <c r="C69" s="11">
        <v>702371</v>
      </c>
      <c r="D69" s="11">
        <v>654190</v>
      </c>
      <c r="E69" s="11">
        <v>683289</v>
      </c>
      <c r="F69" s="11">
        <v>678645</v>
      </c>
      <c r="G69" s="11">
        <v>813109</v>
      </c>
      <c r="H69" s="11">
        <v>650000</v>
      </c>
      <c r="I69" s="11">
        <v>4181604</v>
      </c>
      <c r="J69" s="11"/>
      <c r="K69" s="11"/>
    </row>
    <row r="70" spans="2:11" x14ac:dyDescent="0.3">
      <c r="B70" t="s">
        <v>213</v>
      </c>
      <c r="C70" s="11"/>
      <c r="D70" s="11"/>
      <c r="E70" s="11"/>
      <c r="F70" s="11"/>
      <c r="G70" s="11">
        <v>70125</v>
      </c>
      <c r="I70" s="11">
        <v>70125</v>
      </c>
      <c r="J70" s="11"/>
      <c r="K70" s="11"/>
    </row>
    <row r="71" spans="2:11" x14ac:dyDescent="0.3">
      <c r="B71" t="s">
        <v>209</v>
      </c>
      <c r="C71" s="11">
        <v>910094</v>
      </c>
      <c r="D71" s="11">
        <v>872918</v>
      </c>
      <c r="E71" s="11">
        <v>693252</v>
      </c>
      <c r="F71" s="11">
        <v>883128</v>
      </c>
      <c r="G71" s="11">
        <v>815322</v>
      </c>
      <c r="H71" s="11">
        <v>650000</v>
      </c>
      <c r="I71" s="11">
        <v>4824714</v>
      </c>
      <c r="J71" s="11"/>
      <c r="K71" s="11"/>
    </row>
    <row r="72" spans="2:11" x14ac:dyDescent="0.3">
      <c r="B72" t="s">
        <v>182</v>
      </c>
      <c r="C72" s="11">
        <v>671730</v>
      </c>
      <c r="D72" s="11">
        <v>689637</v>
      </c>
      <c r="E72" s="11">
        <v>971886</v>
      </c>
      <c r="F72" s="11">
        <v>672299</v>
      </c>
      <c r="G72" s="11">
        <v>1359415</v>
      </c>
      <c r="H72" s="11">
        <v>700000</v>
      </c>
      <c r="I72" s="11">
        <v>5064967</v>
      </c>
      <c r="J72" s="11"/>
      <c r="K72" s="11"/>
    </row>
    <row r="73" spans="2:11" x14ac:dyDescent="0.3">
      <c r="B73" t="s">
        <v>215</v>
      </c>
      <c r="C73" s="11"/>
      <c r="D73" s="11"/>
      <c r="E73" s="11"/>
      <c r="F73" s="11"/>
      <c r="G73" s="11">
        <v>231632</v>
      </c>
      <c r="I73" s="11">
        <v>231632</v>
      </c>
      <c r="J73" s="11"/>
      <c r="K73" s="11"/>
    </row>
    <row r="74" spans="2:11" x14ac:dyDescent="0.3">
      <c r="B74" t="s">
        <v>210</v>
      </c>
      <c r="C74" s="11">
        <v>553486</v>
      </c>
      <c r="D74" s="11">
        <v>551670</v>
      </c>
      <c r="E74" s="11">
        <v>555624</v>
      </c>
      <c r="F74" s="11">
        <v>572085</v>
      </c>
      <c r="G74" s="11">
        <v>811486</v>
      </c>
      <c r="H74" s="11">
        <v>600000</v>
      </c>
      <c r="I74" s="11">
        <v>3644351</v>
      </c>
      <c r="J74" s="11"/>
      <c r="K74" s="11"/>
    </row>
    <row r="75" spans="2:11" x14ac:dyDescent="0.3">
      <c r="B75" t="s">
        <v>211</v>
      </c>
      <c r="C75" s="11"/>
      <c r="D75" s="11"/>
      <c r="E75" s="11">
        <v>100000</v>
      </c>
      <c r="F75" s="11"/>
      <c r="I75" s="11">
        <v>100000</v>
      </c>
      <c r="J75" s="11"/>
      <c r="K75" s="11"/>
    </row>
    <row r="76" spans="2:11" s="7" customFormat="1" x14ac:dyDescent="0.3">
      <c r="B76" s="7" t="s">
        <v>181</v>
      </c>
      <c r="C76" s="103">
        <v>2103772</v>
      </c>
      <c r="D76" s="103">
        <v>1412293</v>
      </c>
      <c r="E76" s="103">
        <v>1503005</v>
      </c>
      <c r="F76" s="103">
        <v>1464982</v>
      </c>
      <c r="G76" s="103">
        <v>960047</v>
      </c>
      <c r="H76" s="103">
        <v>1632248</v>
      </c>
      <c r="I76" s="103">
        <v>9076347</v>
      </c>
      <c r="J76" s="103"/>
      <c r="K76" s="103">
        <v>1488819.8</v>
      </c>
    </row>
    <row r="77" spans="2:11" x14ac:dyDescent="0.3">
      <c r="B77" t="s">
        <v>212</v>
      </c>
      <c r="C77" s="11">
        <v>322515</v>
      </c>
      <c r="D77" s="11">
        <v>229030</v>
      </c>
      <c r="E77" s="11">
        <v>234202</v>
      </c>
      <c r="F77" s="11">
        <v>277144</v>
      </c>
      <c r="G77" s="11">
        <v>259752</v>
      </c>
      <c r="H77" s="11">
        <v>305770</v>
      </c>
      <c r="I77" s="11">
        <v>1628413</v>
      </c>
      <c r="J77" s="11"/>
      <c r="K77" s="11"/>
    </row>
    <row r="78" spans="2:11" x14ac:dyDescent="0.3">
      <c r="B78" t="s">
        <v>203</v>
      </c>
      <c r="C78" s="11"/>
      <c r="D78" s="11"/>
      <c r="E78" s="11"/>
      <c r="F78" s="11">
        <v>231056</v>
      </c>
      <c r="H78" s="11">
        <v>262977</v>
      </c>
      <c r="I78" s="11">
        <v>494033</v>
      </c>
      <c r="J78" s="11"/>
      <c r="K78" s="11"/>
    </row>
    <row r="79" spans="2:11" x14ac:dyDescent="0.3">
      <c r="B79" t="s">
        <v>214</v>
      </c>
      <c r="C79" s="11">
        <v>323512</v>
      </c>
      <c r="D79" s="11">
        <v>224191</v>
      </c>
      <c r="E79" s="11">
        <v>238772</v>
      </c>
      <c r="F79" s="11">
        <v>312395</v>
      </c>
      <c r="G79" s="11">
        <v>277238</v>
      </c>
      <c r="H79" s="11">
        <v>326422</v>
      </c>
      <c r="I79" s="11">
        <v>1702530</v>
      </c>
      <c r="J79" s="11"/>
      <c r="K79" s="11"/>
    </row>
    <row r="80" spans="2:11" x14ac:dyDescent="0.3">
      <c r="B80" t="s">
        <v>181</v>
      </c>
      <c r="C80" s="11">
        <v>1457745</v>
      </c>
      <c r="D80" s="11">
        <v>959072</v>
      </c>
      <c r="E80" s="11">
        <v>1030031</v>
      </c>
      <c r="F80" s="11">
        <v>644387</v>
      </c>
      <c r="G80" s="11">
        <v>423057</v>
      </c>
      <c r="H80" s="11">
        <v>737079</v>
      </c>
      <c r="I80" s="11">
        <v>5251371</v>
      </c>
      <c r="J80" s="11"/>
      <c r="K80" s="11"/>
    </row>
    <row r="81" spans="2:14" s="7" customFormat="1" x14ac:dyDescent="0.3">
      <c r="B81" s="7" t="s">
        <v>60</v>
      </c>
      <c r="C81" s="103">
        <v>6443820</v>
      </c>
      <c r="D81" s="103">
        <v>5651782</v>
      </c>
      <c r="E81" s="103">
        <v>5968885</v>
      </c>
      <c r="F81" s="103">
        <v>5734745</v>
      </c>
      <c r="G81" s="103">
        <v>6329533</v>
      </c>
      <c r="H81" s="103">
        <v>6432248</v>
      </c>
      <c r="I81" s="103">
        <v>36561013</v>
      </c>
      <c r="J81" s="103"/>
      <c r="K81" s="103">
        <v>6025753</v>
      </c>
    </row>
    <row r="85" spans="2:14" ht="15" thickBot="1" x14ac:dyDescent="0.35"/>
    <row r="86" spans="2:14" ht="15" thickBot="1" x14ac:dyDescent="0.35">
      <c r="D86" s="578" t="s">
        <v>417</v>
      </c>
      <c r="E86" s="579"/>
      <c r="F86" s="579"/>
      <c r="G86" s="579"/>
      <c r="H86" s="579"/>
      <c r="I86" s="579"/>
      <c r="J86" s="579"/>
      <c r="K86" s="579"/>
      <c r="L86" s="579"/>
      <c r="M86" s="579"/>
      <c r="N86" s="580"/>
    </row>
    <row r="87" spans="2:14" ht="15" thickBot="1" x14ac:dyDescent="0.35">
      <c r="D87" s="581" t="s">
        <v>418</v>
      </c>
      <c r="E87" s="583" t="s">
        <v>419</v>
      </c>
      <c r="F87" s="584"/>
      <c r="G87" s="584"/>
      <c r="H87" s="584"/>
      <c r="I87" s="585"/>
      <c r="J87" s="583" t="s">
        <v>420</v>
      </c>
      <c r="K87" s="584"/>
      <c r="L87" s="584"/>
      <c r="M87" s="584"/>
      <c r="N87" s="585"/>
    </row>
    <row r="88" spans="2:14" ht="21.6" thickTop="1" thickBot="1" x14ac:dyDescent="0.35">
      <c r="D88" s="582"/>
      <c r="E88" s="451" t="s">
        <v>421</v>
      </c>
      <c r="F88" s="451" t="s">
        <v>422</v>
      </c>
      <c r="G88" s="451" t="s">
        <v>423</v>
      </c>
      <c r="H88" s="451" t="s">
        <v>424</v>
      </c>
      <c r="I88" s="452" t="s">
        <v>425</v>
      </c>
      <c r="J88" s="451" t="s">
        <v>421</v>
      </c>
      <c r="K88" s="451" t="s">
        <v>422</v>
      </c>
      <c r="L88" s="451" t="s">
        <v>423</v>
      </c>
      <c r="M88" s="451" t="s">
        <v>424</v>
      </c>
      <c r="N88" s="452" t="s">
        <v>426</v>
      </c>
    </row>
    <row r="89" spans="2:14" x14ac:dyDescent="0.3">
      <c r="D89" s="554">
        <v>1</v>
      </c>
      <c r="E89" s="557" t="s">
        <v>427</v>
      </c>
      <c r="F89" s="543">
        <v>450000</v>
      </c>
      <c r="G89" s="539" t="s">
        <v>428</v>
      </c>
      <c r="H89" s="539" t="s">
        <v>429</v>
      </c>
      <c r="I89" s="453" t="s">
        <v>430</v>
      </c>
      <c r="J89" s="557" t="s">
        <v>427</v>
      </c>
      <c r="K89" s="543">
        <v>450000</v>
      </c>
      <c r="L89" s="539" t="s">
        <v>428</v>
      </c>
      <c r="M89" s="539" t="s">
        <v>429</v>
      </c>
      <c r="N89" s="575" t="s">
        <v>432</v>
      </c>
    </row>
    <row r="90" spans="2:14" ht="15" thickBot="1" x14ac:dyDescent="0.35">
      <c r="D90" s="561"/>
      <c r="E90" s="562"/>
      <c r="F90" s="560"/>
      <c r="G90" s="540"/>
      <c r="H90" s="540"/>
      <c r="I90" s="454" t="s">
        <v>431</v>
      </c>
      <c r="J90" s="562"/>
      <c r="K90" s="540"/>
      <c r="L90" s="540"/>
      <c r="M90" s="540"/>
      <c r="N90" s="576"/>
    </row>
    <row r="91" spans="2:14" x14ac:dyDescent="0.3">
      <c r="D91" s="554">
        <v>2</v>
      </c>
      <c r="E91" s="557" t="s">
        <v>427</v>
      </c>
      <c r="F91" s="543">
        <v>150000</v>
      </c>
      <c r="G91" s="539" t="s">
        <v>428</v>
      </c>
      <c r="H91" s="539" t="s">
        <v>433</v>
      </c>
      <c r="I91" s="453" t="s">
        <v>434</v>
      </c>
      <c r="J91" s="557" t="s">
        <v>427</v>
      </c>
      <c r="K91" s="543">
        <v>450000</v>
      </c>
      <c r="L91" s="539" t="s">
        <v>436</v>
      </c>
      <c r="M91" s="539" t="s">
        <v>437</v>
      </c>
      <c r="N91" s="453" t="s">
        <v>438</v>
      </c>
    </row>
    <row r="92" spans="2:14" ht="15" thickBot="1" x14ac:dyDescent="0.35">
      <c r="D92" s="561"/>
      <c r="E92" s="562"/>
      <c r="F92" s="560"/>
      <c r="G92" s="540"/>
      <c r="H92" s="540"/>
      <c r="I92" s="454" t="s">
        <v>435</v>
      </c>
      <c r="J92" s="562"/>
      <c r="K92" s="560"/>
      <c r="L92" s="540"/>
      <c r="M92" s="540"/>
      <c r="N92" s="454" t="s">
        <v>439</v>
      </c>
    </row>
    <row r="93" spans="2:14" x14ac:dyDescent="0.3">
      <c r="D93" s="554">
        <v>3</v>
      </c>
      <c r="E93" s="557" t="s">
        <v>427</v>
      </c>
      <c r="F93" s="543">
        <v>150000</v>
      </c>
      <c r="G93" s="539" t="s">
        <v>428</v>
      </c>
      <c r="H93" s="539" t="s">
        <v>440</v>
      </c>
      <c r="I93" s="453" t="s">
        <v>434</v>
      </c>
      <c r="J93" s="557" t="s">
        <v>427</v>
      </c>
      <c r="K93" s="543">
        <v>450000</v>
      </c>
      <c r="L93" s="539" t="s">
        <v>436</v>
      </c>
      <c r="M93" s="539" t="s">
        <v>441</v>
      </c>
      <c r="N93" s="453" t="s">
        <v>438</v>
      </c>
    </row>
    <row r="94" spans="2:14" ht="15" thickBot="1" x14ac:dyDescent="0.35">
      <c r="D94" s="561"/>
      <c r="E94" s="562"/>
      <c r="F94" s="560"/>
      <c r="G94" s="540"/>
      <c r="H94" s="540"/>
      <c r="I94" s="454" t="s">
        <v>435</v>
      </c>
      <c r="J94" s="562"/>
      <c r="K94" s="560"/>
      <c r="L94" s="540"/>
      <c r="M94" s="540"/>
      <c r="N94" s="454" t="s">
        <v>439</v>
      </c>
    </row>
    <row r="95" spans="2:14" x14ac:dyDescent="0.3">
      <c r="D95" s="554">
        <v>4</v>
      </c>
      <c r="E95" s="557" t="s">
        <v>427</v>
      </c>
      <c r="F95" s="543">
        <v>150000</v>
      </c>
      <c r="G95" s="539" t="s">
        <v>428</v>
      </c>
      <c r="H95" s="539" t="s">
        <v>437</v>
      </c>
      <c r="I95" s="453" t="s">
        <v>434</v>
      </c>
      <c r="J95" s="557" t="s">
        <v>427</v>
      </c>
      <c r="K95" s="543">
        <v>500000</v>
      </c>
      <c r="L95" s="539" t="s">
        <v>436</v>
      </c>
      <c r="M95" s="539" t="s">
        <v>429</v>
      </c>
      <c r="N95" s="453" t="s">
        <v>438</v>
      </c>
    </row>
    <row r="96" spans="2:14" ht="15" thickBot="1" x14ac:dyDescent="0.35">
      <c r="D96" s="561"/>
      <c r="E96" s="562"/>
      <c r="F96" s="560"/>
      <c r="G96" s="540"/>
      <c r="H96" s="540"/>
      <c r="I96" s="454" t="s">
        <v>435</v>
      </c>
      <c r="J96" s="562"/>
      <c r="K96" s="560"/>
      <c r="L96" s="540"/>
      <c r="M96" s="540"/>
      <c r="N96" s="454" t="s">
        <v>442</v>
      </c>
    </row>
    <row r="97" spans="4:17" x14ac:dyDescent="0.3">
      <c r="D97" s="554">
        <v>5</v>
      </c>
      <c r="E97" s="557" t="s">
        <v>427</v>
      </c>
      <c r="F97" s="543">
        <v>200000</v>
      </c>
      <c r="G97" s="539" t="s">
        <v>436</v>
      </c>
      <c r="H97" s="539" t="s">
        <v>429</v>
      </c>
      <c r="I97" s="575" t="s">
        <v>438</v>
      </c>
      <c r="J97" s="557" t="s">
        <v>427</v>
      </c>
      <c r="K97" s="543">
        <v>400000</v>
      </c>
      <c r="L97" s="539" t="s">
        <v>436</v>
      </c>
      <c r="M97" s="539" t="s">
        <v>433</v>
      </c>
      <c r="N97" s="453" t="s">
        <v>438</v>
      </c>
    </row>
    <row r="98" spans="4:17" ht="15" thickBot="1" x14ac:dyDescent="0.35">
      <c r="D98" s="561"/>
      <c r="E98" s="562"/>
      <c r="F98" s="560"/>
      <c r="G98" s="540"/>
      <c r="H98" s="540"/>
      <c r="I98" s="576"/>
      <c r="J98" s="562"/>
      <c r="K98" s="560"/>
      <c r="L98" s="540"/>
      <c r="M98" s="540"/>
      <c r="N98" s="454" t="s">
        <v>443</v>
      </c>
    </row>
    <row r="99" spans="4:17" x14ac:dyDescent="0.3">
      <c r="D99" s="554">
        <v>6</v>
      </c>
      <c r="E99" s="557" t="s">
        <v>427</v>
      </c>
      <c r="F99" s="543">
        <v>500000</v>
      </c>
      <c r="G99" s="539" t="s">
        <v>436</v>
      </c>
      <c r="H99" s="539" t="s">
        <v>437</v>
      </c>
      <c r="I99" s="453" t="s">
        <v>444</v>
      </c>
      <c r="J99" s="557" t="s">
        <v>427</v>
      </c>
      <c r="K99" s="543">
        <v>200000</v>
      </c>
      <c r="L99" s="539" t="s">
        <v>436</v>
      </c>
      <c r="M99" s="539" t="s">
        <v>447</v>
      </c>
      <c r="N99" s="575" t="s">
        <v>448</v>
      </c>
    </row>
    <row r="100" spans="4:17" x14ac:dyDescent="0.3">
      <c r="D100" s="555"/>
      <c r="E100" s="558"/>
      <c r="F100" s="544"/>
      <c r="G100" s="546"/>
      <c r="H100" s="546"/>
      <c r="I100" s="453" t="s">
        <v>445</v>
      </c>
      <c r="J100" s="558"/>
      <c r="K100" s="544"/>
      <c r="L100" s="546"/>
      <c r="M100" s="546"/>
      <c r="N100" s="577"/>
    </row>
    <row r="101" spans="4:17" ht="15" thickBot="1" x14ac:dyDescent="0.35">
      <c r="D101" s="561"/>
      <c r="E101" s="562"/>
      <c r="F101" s="560"/>
      <c r="G101" s="540"/>
      <c r="H101" s="540"/>
      <c r="I101" s="454" t="s">
        <v>446</v>
      </c>
      <c r="J101" s="562"/>
      <c r="K101" s="560"/>
      <c r="L101" s="540"/>
      <c r="M101" s="540"/>
      <c r="N101" s="576"/>
    </row>
    <row r="102" spans="4:17" x14ac:dyDescent="0.3">
      <c r="D102" s="554">
        <v>7</v>
      </c>
      <c r="E102" s="557" t="s">
        <v>427</v>
      </c>
      <c r="F102" s="543">
        <v>500000</v>
      </c>
      <c r="G102" s="539" t="s">
        <v>436</v>
      </c>
      <c r="H102" s="539" t="s">
        <v>441</v>
      </c>
      <c r="I102" s="453" t="s">
        <v>444</v>
      </c>
      <c r="J102" s="557" t="s">
        <v>427</v>
      </c>
      <c r="K102" s="543">
        <v>200000</v>
      </c>
      <c r="L102" s="539" t="s">
        <v>436</v>
      </c>
      <c r="M102" s="539" t="s">
        <v>449</v>
      </c>
      <c r="N102" s="575" t="s">
        <v>448</v>
      </c>
    </row>
    <row r="103" spans="4:17" x14ac:dyDescent="0.3">
      <c r="D103" s="555"/>
      <c r="E103" s="558"/>
      <c r="F103" s="544"/>
      <c r="G103" s="546"/>
      <c r="H103" s="546"/>
      <c r="I103" s="453" t="s">
        <v>445</v>
      </c>
      <c r="J103" s="558"/>
      <c r="K103" s="544"/>
      <c r="L103" s="546"/>
      <c r="M103" s="546"/>
      <c r="N103" s="577"/>
    </row>
    <row r="104" spans="4:17" ht="15" thickBot="1" x14ac:dyDescent="0.35">
      <c r="D104" s="561"/>
      <c r="E104" s="562"/>
      <c r="F104" s="560"/>
      <c r="G104" s="540"/>
      <c r="H104" s="540"/>
      <c r="I104" s="454" t="s">
        <v>446</v>
      </c>
      <c r="J104" s="562"/>
      <c r="K104" s="560"/>
      <c r="L104" s="540"/>
      <c r="M104" s="540"/>
      <c r="N104" s="576"/>
    </row>
    <row r="105" spans="4:17" x14ac:dyDescent="0.3">
      <c r="D105" s="554">
        <v>8</v>
      </c>
      <c r="E105" s="557" t="s">
        <v>427</v>
      </c>
      <c r="F105" s="543">
        <v>200000</v>
      </c>
      <c r="G105" s="539" t="s">
        <v>436</v>
      </c>
      <c r="H105" s="539" t="s">
        <v>433</v>
      </c>
      <c r="I105" s="453" t="s">
        <v>444</v>
      </c>
      <c r="J105" s="557" t="s">
        <v>427</v>
      </c>
      <c r="K105" s="543">
        <v>200000</v>
      </c>
      <c r="L105" s="539" t="s">
        <v>436</v>
      </c>
      <c r="M105" s="539" t="s">
        <v>450</v>
      </c>
      <c r="N105" s="575" t="s">
        <v>448</v>
      </c>
    </row>
    <row r="106" spans="4:17" ht="15" thickBot="1" x14ac:dyDescent="0.35">
      <c r="D106" s="561"/>
      <c r="E106" s="562"/>
      <c r="F106" s="560"/>
      <c r="G106" s="540"/>
      <c r="H106" s="540"/>
      <c r="I106" s="454" t="s">
        <v>445</v>
      </c>
      <c r="J106" s="562"/>
      <c r="K106" s="560"/>
      <c r="L106" s="540"/>
      <c r="M106" s="540"/>
      <c r="N106" s="576"/>
    </row>
    <row r="107" spans="4:17" x14ac:dyDescent="0.3">
      <c r="D107" s="554">
        <v>9</v>
      </c>
      <c r="E107" s="557" t="s">
        <v>451</v>
      </c>
      <c r="F107" s="543">
        <v>200000</v>
      </c>
      <c r="G107" s="539" t="s">
        <v>436</v>
      </c>
      <c r="H107" s="539" t="s">
        <v>452</v>
      </c>
      <c r="I107" s="575" t="s">
        <v>438</v>
      </c>
      <c r="J107" s="557" t="s">
        <v>451</v>
      </c>
      <c r="K107" s="543">
        <v>1000000</v>
      </c>
      <c r="L107" s="539" t="s">
        <v>436</v>
      </c>
      <c r="M107" s="539" t="s">
        <v>452</v>
      </c>
      <c r="N107" s="453" t="s">
        <v>438</v>
      </c>
    </row>
    <row r="108" spans="4:17" ht="15" thickBot="1" x14ac:dyDescent="0.35">
      <c r="D108" s="561"/>
      <c r="E108" s="562"/>
      <c r="F108" s="560"/>
      <c r="G108" s="540"/>
      <c r="H108" s="540"/>
      <c r="I108" s="576"/>
      <c r="J108" s="562"/>
      <c r="K108" s="560"/>
      <c r="L108" s="540"/>
      <c r="M108" s="540"/>
      <c r="N108" s="454" t="s">
        <v>453</v>
      </c>
    </row>
    <row r="109" spans="4:17" ht="15" thickBot="1" x14ac:dyDescent="0.35">
      <c r="D109" s="455">
        <v>10</v>
      </c>
      <c r="E109" s="456" t="s">
        <v>427</v>
      </c>
      <c r="F109" s="457">
        <v>200000</v>
      </c>
      <c r="G109" s="456" t="s">
        <v>436</v>
      </c>
      <c r="H109" s="456" t="s">
        <v>433</v>
      </c>
      <c r="I109" s="454" t="s">
        <v>454</v>
      </c>
      <c r="J109" s="456" t="s">
        <v>451</v>
      </c>
      <c r="K109" s="457">
        <v>200000</v>
      </c>
      <c r="L109" s="456" t="s">
        <v>436</v>
      </c>
      <c r="M109" s="456" t="s">
        <v>455</v>
      </c>
      <c r="N109" s="454" t="s">
        <v>438</v>
      </c>
    </row>
    <row r="110" spans="4:17" ht="15" thickBot="1" x14ac:dyDescent="0.35">
      <c r="D110" s="455">
        <v>11</v>
      </c>
      <c r="E110" s="456" t="s">
        <v>427</v>
      </c>
      <c r="F110" s="457">
        <v>200000</v>
      </c>
      <c r="G110" s="456" t="s">
        <v>436</v>
      </c>
      <c r="H110" s="456" t="s">
        <v>456</v>
      </c>
      <c r="I110" s="454" t="s">
        <v>438</v>
      </c>
      <c r="J110" s="458" t="s">
        <v>427</v>
      </c>
      <c r="K110" s="462">
        <v>200000</v>
      </c>
      <c r="L110" s="458" t="s">
        <v>436</v>
      </c>
      <c r="M110" s="458" t="s">
        <v>429</v>
      </c>
      <c r="N110" s="459" t="s">
        <v>443</v>
      </c>
      <c r="P110" s="467" t="s">
        <v>479</v>
      </c>
      <c r="Q110" s="11">
        <f>SUM(K89:K106)+K110</f>
        <v>3050000</v>
      </c>
    </row>
    <row r="111" spans="4:17" ht="15.6" thickTop="1" thickBot="1" x14ac:dyDescent="0.35">
      <c r="D111" s="455">
        <v>12</v>
      </c>
      <c r="E111" s="460" t="s">
        <v>457</v>
      </c>
      <c r="F111" s="457">
        <v>200000</v>
      </c>
      <c r="G111" s="456" t="s">
        <v>436</v>
      </c>
      <c r="H111" s="456" t="s">
        <v>458</v>
      </c>
      <c r="I111" s="454" t="s">
        <v>438</v>
      </c>
      <c r="J111" s="563"/>
      <c r="K111" s="564"/>
      <c r="L111" s="564"/>
      <c r="M111" s="564"/>
      <c r="N111" s="565"/>
      <c r="P111" s="467" t="s">
        <v>451</v>
      </c>
      <c r="Q111" s="11">
        <f>K107+K109</f>
        <v>1200000</v>
      </c>
    </row>
    <row r="112" spans="4:17" ht="15" thickBot="1" x14ac:dyDescent="0.35">
      <c r="D112" s="455">
        <v>13</v>
      </c>
      <c r="E112" s="456" t="s">
        <v>451</v>
      </c>
      <c r="F112" s="457">
        <v>200000</v>
      </c>
      <c r="G112" s="456" t="s">
        <v>436</v>
      </c>
      <c r="H112" s="456" t="s">
        <v>452</v>
      </c>
      <c r="I112" s="454" t="s">
        <v>459</v>
      </c>
      <c r="J112" s="566"/>
      <c r="K112" s="567"/>
      <c r="L112" s="567"/>
      <c r="M112" s="567"/>
      <c r="N112" s="568"/>
      <c r="P112" s="467" t="s">
        <v>464</v>
      </c>
      <c r="Q112" s="11">
        <f>K129</f>
        <v>1400000</v>
      </c>
    </row>
    <row r="113" spans="4:17" ht="15" thickBot="1" x14ac:dyDescent="0.35">
      <c r="D113" s="455">
        <v>14</v>
      </c>
      <c r="E113" s="456" t="s">
        <v>451</v>
      </c>
      <c r="F113" s="457">
        <v>200000</v>
      </c>
      <c r="G113" s="456" t="s">
        <v>436</v>
      </c>
      <c r="H113" s="456" t="s">
        <v>458</v>
      </c>
      <c r="I113" s="454" t="s">
        <v>454</v>
      </c>
      <c r="J113" s="566"/>
      <c r="K113" s="567"/>
      <c r="L113" s="567"/>
      <c r="M113" s="567"/>
      <c r="N113" s="568"/>
      <c r="Q113" s="11">
        <f>SUM(Q110:Q112)</f>
        <v>5650000</v>
      </c>
    </row>
    <row r="114" spans="4:17" ht="15" thickBot="1" x14ac:dyDescent="0.35">
      <c r="D114" s="461">
        <v>15</v>
      </c>
      <c r="E114" s="458" t="s">
        <v>451</v>
      </c>
      <c r="F114" s="462">
        <v>600000</v>
      </c>
      <c r="G114" s="458" t="s">
        <v>436</v>
      </c>
      <c r="H114" s="458" t="s">
        <v>452</v>
      </c>
      <c r="I114" s="459" t="s">
        <v>460</v>
      </c>
      <c r="J114" s="569"/>
      <c r="K114" s="570"/>
      <c r="L114" s="570"/>
      <c r="M114" s="570"/>
      <c r="N114" s="571"/>
    </row>
    <row r="115" spans="4:17" ht="15.6" thickTop="1" thickBot="1" x14ac:dyDescent="0.35">
      <c r="D115" s="548" t="s">
        <v>22</v>
      </c>
      <c r="E115" s="549"/>
      <c r="F115" s="457">
        <v>4100000</v>
      </c>
      <c r="G115" s="456"/>
      <c r="H115" s="456"/>
      <c r="I115" s="456"/>
      <c r="J115" s="456"/>
      <c r="K115" s="457">
        <v>4250000</v>
      </c>
      <c r="L115" s="456"/>
      <c r="M115" s="456"/>
      <c r="N115" s="454"/>
    </row>
    <row r="116" spans="4:17" ht="15" thickBot="1" x14ac:dyDescent="0.35">
      <c r="D116" s="550" t="s">
        <v>461</v>
      </c>
      <c r="E116" s="551"/>
      <c r="F116" s="457">
        <v>2335000</v>
      </c>
      <c r="G116" s="456"/>
      <c r="H116" s="456"/>
      <c r="I116" s="456"/>
      <c r="J116" s="456"/>
      <c r="K116" s="457">
        <v>2250000</v>
      </c>
      <c r="L116" s="456"/>
      <c r="M116" s="456"/>
      <c r="N116" s="454"/>
    </row>
    <row r="117" spans="4:17" ht="15" thickBot="1" x14ac:dyDescent="0.35">
      <c r="D117" s="552" t="s">
        <v>462</v>
      </c>
      <c r="E117" s="553"/>
      <c r="F117" s="462">
        <v>1765000</v>
      </c>
      <c r="G117" s="458"/>
      <c r="H117" s="458"/>
      <c r="I117" s="458"/>
      <c r="J117" s="458"/>
      <c r="K117" s="462">
        <v>2000000</v>
      </c>
      <c r="L117" s="458"/>
      <c r="M117" s="458"/>
      <c r="N117" s="459"/>
    </row>
    <row r="118" spans="4:17" ht="15.6" thickTop="1" thickBot="1" x14ac:dyDescent="0.35">
      <c r="D118" s="572" t="s">
        <v>463</v>
      </c>
      <c r="E118" s="573"/>
      <c r="F118" s="573"/>
      <c r="G118" s="573"/>
      <c r="H118" s="573"/>
      <c r="I118" s="573"/>
      <c r="J118" s="573"/>
      <c r="K118" s="573"/>
      <c r="L118" s="573"/>
      <c r="M118" s="573"/>
      <c r="N118" s="574"/>
    </row>
    <row r="119" spans="4:17" x14ac:dyDescent="0.3">
      <c r="D119" s="554">
        <v>1</v>
      </c>
      <c r="E119" s="557" t="s">
        <v>464</v>
      </c>
      <c r="F119" s="543">
        <v>500000</v>
      </c>
      <c r="G119" s="539" t="s">
        <v>436</v>
      </c>
      <c r="H119" s="539" t="s">
        <v>465</v>
      </c>
      <c r="I119" s="453" t="s">
        <v>444</v>
      </c>
      <c r="J119" s="557" t="s">
        <v>464</v>
      </c>
      <c r="K119" s="543">
        <v>500000</v>
      </c>
      <c r="L119" s="539" t="s">
        <v>436</v>
      </c>
      <c r="M119" s="539" t="s">
        <v>465</v>
      </c>
      <c r="N119" s="453" t="s">
        <v>444</v>
      </c>
    </row>
    <row r="120" spans="4:17" x14ac:dyDescent="0.3">
      <c r="D120" s="555"/>
      <c r="E120" s="558"/>
      <c r="F120" s="544"/>
      <c r="G120" s="546"/>
      <c r="H120" s="546"/>
      <c r="I120" s="453" t="s">
        <v>466</v>
      </c>
      <c r="J120" s="558"/>
      <c r="K120" s="544"/>
      <c r="L120" s="546"/>
      <c r="M120" s="546"/>
      <c r="N120" s="453" t="s">
        <v>467</v>
      </c>
    </row>
    <row r="121" spans="4:17" ht="15" thickBot="1" x14ac:dyDescent="0.35">
      <c r="D121" s="561"/>
      <c r="E121" s="562"/>
      <c r="F121" s="560"/>
      <c r="G121" s="540"/>
      <c r="H121" s="540"/>
      <c r="I121" s="454" t="s">
        <v>454</v>
      </c>
      <c r="J121" s="562"/>
      <c r="K121" s="560"/>
      <c r="L121" s="540"/>
      <c r="M121" s="540"/>
      <c r="N121" s="463"/>
    </row>
    <row r="122" spans="4:17" x14ac:dyDescent="0.3">
      <c r="D122" s="554">
        <v>2</v>
      </c>
      <c r="E122" s="557" t="s">
        <v>464</v>
      </c>
      <c r="F122" s="543">
        <v>200000</v>
      </c>
      <c r="G122" s="539" t="s">
        <v>436</v>
      </c>
      <c r="H122" s="539" t="s">
        <v>468</v>
      </c>
      <c r="I122" s="453" t="s">
        <v>444</v>
      </c>
      <c r="J122" s="557" t="s">
        <v>464</v>
      </c>
      <c r="K122" s="543">
        <v>3500004</v>
      </c>
      <c r="L122" s="539" t="s">
        <v>436</v>
      </c>
      <c r="M122" s="539" t="s">
        <v>468</v>
      </c>
      <c r="N122" s="453" t="s">
        <v>444</v>
      </c>
    </row>
    <row r="123" spans="4:17" ht="15" thickBot="1" x14ac:dyDescent="0.35">
      <c r="D123" s="555"/>
      <c r="E123" s="562"/>
      <c r="F123" s="560"/>
      <c r="G123" s="540"/>
      <c r="H123" s="540"/>
      <c r="I123" s="454" t="s">
        <v>469</v>
      </c>
      <c r="J123" s="562"/>
      <c r="K123" s="560"/>
      <c r="L123" s="540"/>
      <c r="M123" s="540"/>
      <c r="N123" s="454" t="s">
        <v>470</v>
      </c>
    </row>
    <row r="124" spans="4:17" x14ac:dyDescent="0.3">
      <c r="D124" s="555"/>
      <c r="E124" s="557" t="s">
        <v>464</v>
      </c>
      <c r="F124" s="543">
        <v>200000</v>
      </c>
      <c r="G124" s="539" t="s">
        <v>436</v>
      </c>
      <c r="H124" s="539" t="s">
        <v>471</v>
      </c>
      <c r="I124" s="453" t="s">
        <v>444</v>
      </c>
      <c r="J124" s="557" t="s">
        <v>464</v>
      </c>
      <c r="K124" s="543">
        <v>3500004</v>
      </c>
      <c r="L124" s="539" t="s">
        <v>436</v>
      </c>
      <c r="M124" s="539" t="s">
        <v>471</v>
      </c>
      <c r="N124" s="453" t="s">
        <v>444</v>
      </c>
    </row>
    <row r="125" spans="4:17" ht="15" thickBot="1" x14ac:dyDescent="0.35">
      <c r="D125" s="561"/>
      <c r="E125" s="562"/>
      <c r="F125" s="560"/>
      <c r="G125" s="540"/>
      <c r="H125" s="540"/>
      <c r="I125" s="454" t="s">
        <v>469</v>
      </c>
      <c r="J125" s="562"/>
      <c r="K125" s="560"/>
      <c r="L125" s="540"/>
      <c r="M125" s="540"/>
      <c r="N125" s="454" t="s">
        <v>439</v>
      </c>
    </row>
    <row r="126" spans="4:17" x14ac:dyDescent="0.3">
      <c r="D126" s="554">
        <v>3</v>
      </c>
      <c r="E126" s="557" t="s">
        <v>464</v>
      </c>
      <c r="F126" s="543">
        <v>500000</v>
      </c>
      <c r="G126" s="539" t="s">
        <v>436</v>
      </c>
      <c r="H126" s="539" t="s">
        <v>472</v>
      </c>
      <c r="I126" s="453" t="s">
        <v>444</v>
      </c>
      <c r="J126" s="557" t="s">
        <v>464</v>
      </c>
      <c r="K126" s="543">
        <v>2000005</v>
      </c>
      <c r="L126" s="539" t="s">
        <v>436</v>
      </c>
      <c r="M126" s="539" t="s">
        <v>472</v>
      </c>
      <c r="N126" s="453" t="s">
        <v>444</v>
      </c>
    </row>
    <row r="127" spans="4:17" x14ac:dyDescent="0.3">
      <c r="D127" s="555"/>
      <c r="E127" s="558"/>
      <c r="F127" s="544"/>
      <c r="G127" s="546"/>
      <c r="H127" s="546"/>
      <c r="I127" s="453" t="s">
        <v>466</v>
      </c>
      <c r="J127" s="558"/>
      <c r="K127" s="544"/>
      <c r="L127" s="546"/>
      <c r="M127" s="546"/>
      <c r="N127" s="453" t="s">
        <v>473</v>
      </c>
    </row>
    <row r="128" spans="4:17" ht="15" thickBot="1" x14ac:dyDescent="0.35">
      <c r="D128" s="556"/>
      <c r="E128" s="559"/>
      <c r="F128" s="545"/>
      <c r="G128" s="547"/>
      <c r="H128" s="547"/>
      <c r="I128" s="459" t="s">
        <v>454</v>
      </c>
      <c r="J128" s="559"/>
      <c r="K128" s="545"/>
      <c r="L128" s="547"/>
      <c r="M128" s="547"/>
      <c r="N128" s="464"/>
    </row>
    <row r="129" spans="4:14" ht="15.6" thickTop="1" thickBot="1" x14ac:dyDescent="0.35">
      <c r="D129" s="548" t="s">
        <v>22</v>
      </c>
      <c r="E129" s="549"/>
      <c r="F129" s="457">
        <v>1400000</v>
      </c>
      <c r="G129" s="451"/>
      <c r="H129" s="451"/>
      <c r="I129" s="451"/>
      <c r="J129" s="451"/>
      <c r="K129" s="457">
        <v>1400000</v>
      </c>
      <c r="L129" s="451"/>
      <c r="M129" s="451"/>
      <c r="N129" s="452"/>
    </row>
    <row r="130" spans="4:14" ht="15" thickBot="1" x14ac:dyDescent="0.35">
      <c r="D130" s="550" t="s">
        <v>461</v>
      </c>
      <c r="E130" s="551"/>
      <c r="F130" s="457">
        <v>400000</v>
      </c>
      <c r="G130" s="451"/>
      <c r="H130" s="451"/>
      <c r="I130" s="451"/>
      <c r="J130" s="451"/>
      <c r="K130" s="457">
        <v>400000</v>
      </c>
      <c r="L130" s="451"/>
      <c r="M130" s="451"/>
      <c r="N130" s="452"/>
    </row>
    <row r="131" spans="4:14" ht="15" thickBot="1" x14ac:dyDescent="0.35">
      <c r="D131" s="552" t="s">
        <v>462</v>
      </c>
      <c r="E131" s="553"/>
      <c r="F131" s="462">
        <v>1000000</v>
      </c>
      <c r="G131" s="465"/>
      <c r="H131" s="465"/>
      <c r="I131" s="465"/>
      <c r="J131" s="465"/>
      <c r="K131" s="462">
        <v>1000000</v>
      </c>
      <c r="L131" s="465"/>
      <c r="M131" s="465"/>
      <c r="N131" s="466"/>
    </row>
    <row r="132" spans="4:14" ht="15" thickTop="1" x14ac:dyDescent="0.3">
      <c r="D132" s="541" t="s">
        <v>474</v>
      </c>
      <c r="E132" s="541"/>
      <c r="F132" s="541"/>
      <c r="G132" s="541"/>
      <c r="H132" s="541"/>
      <c r="I132" s="541"/>
      <c r="J132" s="541"/>
      <c r="K132" s="541"/>
      <c r="L132" s="541"/>
      <c r="M132" s="541"/>
      <c r="N132" s="541"/>
    </row>
    <row r="133" spans="4:14" ht="14.4" customHeight="1" x14ac:dyDescent="0.3">
      <c r="D133" s="542" t="s">
        <v>475</v>
      </c>
      <c r="E133" s="542"/>
      <c r="F133" s="542"/>
      <c r="G133" s="542"/>
      <c r="H133" s="542"/>
      <c r="I133" s="542"/>
      <c r="J133" s="542"/>
      <c r="K133" s="542"/>
      <c r="L133" s="542"/>
      <c r="M133" s="542"/>
      <c r="N133" s="542"/>
    </row>
    <row r="134" spans="4:14" ht="14.4" customHeight="1" x14ac:dyDescent="0.3">
      <c r="D134" s="542" t="s">
        <v>476</v>
      </c>
      <c r="E134" s="542"/>
      <c r="F134" s="542"/>
      <c r="G134" s="542"/>
      <c r="H134" s="542"/>
      <c r="I134" s="542"/>
      <c r="J134" s="542"/>
      <c r="K134" s="542"/>
      <c r="L134" s="542"/>
      <c r="M134" s="542"/>
      <c r="N134" s="542"/>
    </row>
    <row r="135" spans="4:14" ht="24" customHeight="1" x14ac:dyDescent="0.3">
      <c r="D135" s="542" t="s">
        <v>477</v>
      </c>
      <c r="E135" s="542"/>
      <c r="F135" s="542"/>
      <c r="G135" s="542"/>
      <c r="H135" s="542"/>
      <c r="I135" s="542"/>
      <c r="J135" s="542"/>
      <c r="K135" s="542"/>
      <c r="L135" s="542"/>
      <c r="M135" s="542"/>
      <c r="N135" s="542"/>
    </row>
    <row r="136" spans="4:14" ht="14.4" customHeight="1" x14ac:dyDescent="0.3">
      <c r="D136" s="542" t="s">
        <v>478</v>
      </c>
      <c r="E136" s="542"/>
      <c r="F136" s="542"/>
      <c r="G136" s="542"/>
      <c r="H136" s="542"/>
      <c r="I136" s="542"/>
      <c r="J136" s="542"/>
      <c r="K136" s="542"/>
      <c r="L136" s="542"/>
      <c r="M136" s="542"/>
      <c r="N136" s="542"/>
    </row>
  </sheetData>
  <mergeCells count="139">
    <mergeCell ref="D86:N86"/>
    <mergeCell ref="D87:D88"/>
    <mergeCell ref="E87:I87"/>
    <mergeCell ref="J87:N87"/>
    <mergeCell ref="D89:D90"/>
    <mergeCell ref="E89:E90"/>
    <mergeCell ref="F89:F90"/>
    <mergeCell ref="G89:G90"/>
    <mergeCell ref="H89:H90"/>
    <mergeCell ref="J89:J90"/>
    <mergeCell ref="K89:K90"/>
    <mergeCell ref="L89:L90"/>
    <mergeCell ref="M89:M90"/>
    <mergeCell ref="N89:N90"/>
    <mergeCell ref="D91:D92"/>
    <mergeCell ref="E91:E92"/>
    <mergeCell ref="F91:F92"/>
    <mergeCell ref="G91:G92"/>
    <mergeCell ref="H91:H92"/>
    <mergeCell ref="J91:J92"/>
    <mergeCell ref="K91:K92"/>
    <mergeCell ref="L91:L92"/>
    <mergeCell ref="M91:M92"/>
    <mergeCell ref="D93:D94"/>
    <mergeCell ref="E93:E94"/>
    <mergeCell ref="F93:F94"/>
    <mergeCell ref="G93:G94"/>
    <mergeCell ref="H93:H94"/>
    <mergeCell ref="J93:J94"/>
    <mergeCell ref="K93:K94"/>
    <mergeCell ref="L93:L94"/>
    <mergeCell ref="M93:M94"/>
    <mergeCell ref="D95:D96"/>
    <mergeCell ref="E95:E96"/>
    <mergeCell ref="F95:F96"/>
    <mergeCell ref="G95:G96"/>
    <mergeCell ref="H95:H96"/>
    <mergeCell ref="J95:J96"/>
    <mergeCell ref="K95:K96"/>
    <mergeCell ref="L95:L96"/>
    <mergeCell ref="M95:M96"/>
    <mergeCell ref="M97:M98"/>
    <mergeCell ref="D99:D101"/>
    <mergeCell ref="E99:E101"/>
    <mergeCell ref="F99:F101"/>
    <mergeCell ref="G99:G101"/>
    <mergeCell ref="H99:H101"/>
    <mergeCell ref="J99:J101"/>
    <mergeCell ref="K99:K101"/>
    <mergeCell ref="L99:L101"/>
    <mergeCell ref="M99:M101"/>
    <mergeCell ref="D97:D98"/>
    <mergeCell ref="E97:E98"/>
    <mergeCell ref="F97:F98"/>
    <mergeCell ref="G97:G98"/>
    <mergeCell ref="H97:H98"/>
    <mergeCell ref="I97:I98"/>
    <mergeCell ref="J97:J98"/>
    <mergeCell ref="K97:K98"/>
    <mergeCell ref="L97:L98"/>
    <mergeCell ref="M105:M106"/>
    <mergeCell ref="N99:N101"/>
    <mergeCell ref="D102:D104"/>
    <mergeCell ref="E102:E104"/>
    <mergeCell ref="F102:F104"/>
    <mergeCell ref="G102:G104"/>
    <mergeCell ref="H102:H104"/>
    <mergeCell ref="J102:J104"/>
    <mergeCell ref="K102:K104"/>
    <mergeCell ref="L102:L104"/>
    <mergeCell ref="M102:M104"/>
    <mergeCell ref="N102:N104"/>
    <mergeCell ref="M107:M108"/>
    <mergeCell ref="J111:N114"/>
    <mergeCell ref="D115:E115"/>
    <mergeCell ref="D116:E116"/>
    <mergeCell ref="D117:E117"/>
    <mergeCell ref="D118:N118"/>
    <mergeCell ref="N105:N106"/>
    <mergeCell ref="D107:D108"/>
    <mergeCell ref="E107:E108"/>
    <mergeCell ref="F107:F108"/>
    <mergeCell ref="G107:G108"/>
    <mergeCell ref="H107:H108"/>
    <mergeCell ref="I107:I108"/>
    <mergeCell ref="J107:J108"/>
    <mergeCell ref="K107:K108"/>
    <mergeCell ref="L107:L108"/>
    <mergeCell ref="D105:D106"/>
    <mergeCell ref="E105:E106"/>
    <mergeCell ref="F105:F106"/>
    <mergeCell ref="G105:G106"/>
    <mergeCell ref="H105:H106"/>
    <mergeCell ref="J105:J106"/>
    <mergeCell ref="K105:K106"/>
    <mergeCell ref="L105:L106"/>
    <mergeCell ref="K119:K121"/>
    <mergeCell ref="L119:L121"/>
    <mergeCell ref="M119:M121"/>
    <mergeCell ref="D122:D125"/>
    <mergeCell ref="E122:E123"/>
    <mergeCell ref="F122:F123"/>
    <mergeCell ref="G122:G123"/>
    <mergeCell ref="H122:H123"/>
    <mergeCell ref="J122:J123"/>
    <mergeCell ref="K122:K123"/>
    <mergeCell ref="D119:D121"/>
    <mergeCell ref="E119:E121"/>
    <mergeCell ref="F119:F121"/>
    <mergeCell ref="G119:G121"/>
    <mergeCell ref="H119:H121"/>
    <mergeCell ref="J119:J121"/>
    <mergeCell ref="L122:L123"/>
    <mergeCell ref="M122:M123"/>
    <mergeCell ref="E124:E125"/>
    <mergeCell ref="F124:F125"/>
    <mergeCell ref="G124:G125"/>
    <mergeCell ref="H124:H125"/>
    <mergeCell ref="J124:J125"/>
    <mergeCell ref="K124:K125"/>
    <mergeCell ref="L124:L125"/>
    <mergeCell ref="M124:M125"/>
    <mergeCell ref="D132:N132"/>
    <mergeCell ref="D133:N133"/>
    <mergeCell ref="D134:N134"/>
    <mergeCell ref="D135:N135"/>
    <mergeCell ref="D136:N136"/>
    <mergeCell ref="K126:K128"/>
    <mergeCell ref="L126:L128"/>
    <mergeCell ref="M126:M128"/>
    <mergeCell ref="D129:E129"/>
    <mergeCell ref="D130:E130"/>
    <mergeCell ref="D131:E131"/>
    <mergeCell ref="D126:D128"/>
    <mergeCell ref="E126:E128"/>
    <mergeCell ref="F126:F128"/>
    <mergeCell ref="G126:G128"/>
    <mergeCell ref="H126:H128"/>
    <mergeCell ref="J126:J128"/>
  </mergeCell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37B4B-A69F-48A7-BA12-624C3D2B1D7E}">
  <dimension ref="A1"/>
  <sheetViews>
    <sheetView topLeftCell="A13" workbookViewId="0">
      <selection activeCell="F33" sqref="F33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Documentation</vt:lpstr>
      <vt:lpstr>Runs</vt:lpstr>
      <vt:lpstr>Conv</vt:lpstr>
      <vt:lpstr>Natl Spnr</vt:lpstr>
      <vt:lpstr>Fishery</vt:lpstr>
      <vt:lpstr>Hatchery</vt:lpstr>
      <vt:lpstr>Blocked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Beamesderfer</dc:creator>
  <cp:lastModifiedBy>xxx</cp:lastModifiedBy>
  <cp:lastPrinted>2018-02-01T18:29:11Z</cp:lastPrinted>
  <dcterms:created xsi:type="dcterms:W3CDTF">2017-07-05T20:34:17Z</dcterms:created>
  <dcterms:modified xsi:type="dcterms:W3CDTF">2020-08-13T16:38:33Z</dcterms:modified>
</cp:coreProperties>
</file>